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AC22" i="1" l="1"/>
  <c r="AC21" i="1"/>
  <c r="AC20" i="1"/>
  <c r="AC16" i="1"/>
  <c r="AC15" i="1"/>
  <c r="AC14" i="1"/>
  <c r="AC13" i="1"/>
  <c r="AC19" i="1"/>
  <c r="AC7" i="1"/>
  <c r="AC18" i="1"/>
  <c r="AC17" i="1"/>
  <c r="AC5" i="1"/>
  <c r="AC6" i="1"/>
  <c r="AC10" i="1"/>
  <c r="AC9" i="1"/>
  <c r="AC12" i="1"/>
  <c r="AC8" i="1"/>
  <c r="AC11" i="1"/>
  <c r="AC4" i="1"/>
  <c r="A11" i="10" l="1"/>
  <c r="B11" i="10"/>
  <c r="D11" i="10"/>
  <c r="E11" i="10"/>
  <c r="G11" i="10"/>
  <c r="H11" i="10"/>
  <c r="I11" i="10"/>
  <c r="L11" i="10" s="1"/>
  <c r="J11" i="10"/>
  <c r="M11" i="10"/>
  <c r="N11" i="10"/>
  <c r="O11" i="10"/>
  <c r="P11" i="10"/>
  <c r="Q11" i="10"/>
  <c r="R11" i="10"/>
  <c r="S11" i="10"/>
  <c r="Y11" i="10"/>
  <c r="AD11" i="10"/>
  <c r="AE11" i="10"/>
  <c r="AF11" i="10"/>
  <c r="AG11" i="10"/>
  <c r="AH11" i="10"/>
  <c r="AI11" i="10"/>
  <c r="AJ11" i="10"/>
  <c r="U11" i="1"/>
  <c r="AR11" i="1"/>
  <c r="W11" i="1"/>
  <c r="R11" i="1"/>
  <c r="S11" i="1"/>
  <c r="P11" i="1"/>
  <c r="N11" i="1"/>
  <c r="AI11" i="1" s="1"/>
  <c r="J11" i="1"/>
  <c r="K11" i="1"/>
  <c r="L11" i="1"/>
  <c r="AC11" i="10" l="1"/>
  <c r="K11" i="10"/>
  <c r="AM11" i="1"/>
  <c r="AL11" i="1"/>
  <c r="AK11" i="1"/>
  <c r="AN11" i="1"/>
  <c r="AH11" i="1"/>
  <c r="AG11" i="1"/>
  <c r="AJ11" i="1"/>
  <c r="U16" i="1" l="1"/>
  <c r="AR16" i="1"/>
  <c r="W16" i="1"/>
  <c r="R16" i="1"/>
  <c r="S16" i="1"/>
  <c r="P16" i="1"/>
  <c r="AI16" i="1"/>
  <c r="J16" i="1"/>
  <c r="K16" i="1"/>
  <c r="L16" i="1"/>
  <c r="AM16" i="1" l="1"/>
  <c r="AL16" i="1"/>
  <c r="AK16" i="1"/>
  <c r="AN16" i="1"/>
  <c r="AH16" i="1"/>
  <c r="AG16" i="1"/>
  <c r="AJ16" i="1"/>
  <c r="C1" i="20"/>
  <c r="C1" i="19"/>
  <c r="C1" i="18"/>
  <c r="C1" i="17"/>
  <c r="I1" i="15"/>
  <c r="C1" i="16"/>
  <c r="E20" i="10" l="1"/>
  <c r="H20" i="10"/>
  <c r="K20" i="10" s="1"/>
  <c r="I20" i="10"/>
  <c r="L20" i="10" s="1"/>
  <c r="J20" i="10"/>
  <c r="M20" i="10"/>
  <c r="N20" i="10"/>
  <c r="O20" i="10"/>
  <c r="P20" i="10"/>
  <c r="Q20" i="10"/>
  <c r="AH20" i="10" s="1"/>
  <c r="R20" i="10"/>
  <c r="S20" i="10"/>
  <c r="AD20" i="10"/>
  <c r="AE20" i="10"/>
  <c r="AF20" i="10"/>
  <c r="AJ20" i="10"/>
  <c r="E21" i="10"/>
  <c r="H21" i="10"/>
  <c r="I21" i="10"/>
  <c r="J21" i="10"/>
  <c r="M21" i="10"/>
  <c r="AD21" i="10" s="1"/>
  <c r="N21" i="10"/>
  <c r="AE21" i="10" s="1"/>
  <c r="O21" i="10"/>
  <c r="AF21" i="10" s="1"/>
  <c r="P21" i="10"/>
  <c r="Q21" i="10"/>
  <c r="AH21" i="10" s="1"/>
  <c r="R21" i="10"/>
  <c r="S21" i="10"/>
  <c r="AJ21" i="10" s="1"/>
  <c r="E22" i="10"/>
  <c r="H22" i="10"/>
  <c r="I22" i="10"/>
  <c r="J22" i="10"/>
  <c r="M22" i="10"/>
  <c r="AD22" i="10" s="1"/>
  <c r="N22" i="10"/>
  <c r="AE22" i="10" s="1"/>
  <c r="O22" i="10"/>
  <c r="AF22" i="10" s="1"/>
  <c r="P22" i="10"/>
  <c r="Q22" i="10"/>
  <c r="AH22" i="10" s="1"/>
  <c r="R22" i="10"/>
  <c r="S22" i="10"/>
  <c r="AJ22" i="10" s="1"/>
  <c r="L21" i="10" l="1"/>
  <c r="K22" i="10"/>
  <c r="K21" i="10"/>
  <c r="L22" i="10"/>
  <c r="AC21" i="10"/>
  <c r="AC20" i="10"/>
  <c r="AC22" i="10"/>
  <c r="AR23" i="1" l="1"/>
  <c r="AN23" i="1"/>
  <c r="AL23" i="1"/>
  <c r="AK23" i="1"/>
  <c r="AJ23" i="1"/>
  <c r="AI23" i="1"/>
  <c r="AH23" i="1"/>
  <c r="AG23" i="1"/>
  <c r="AM23" i="1"/>
  <c r="W23" i="1"/>
  <c r="U23" i="1"/>
  <c r="S23" i="1"/>
  <c r="R23" i="1"/>
  <c r="P23" i="1"/>
  <c r="L23" i="1"/>
  <c r="K23" i="1"/>
  <c r="J23" i="1"/>
  <c r="AR22" i="1"/>
  <c r="AB22" i="1"/>
  <c r="W22" i="1"/>
  <c r="U22" i="1"/>
  <c r="S22" i="1"/>
  <c r="R22" i="1"/>
  <c r="P22" i="1"/>
  <c r="N22" i="1"/>
  <c r="AK22" i="1" s="1"/>
  <c r="L22" i="1"/>
  <c r="K22" i="1"/>
  <c r="J22" i="1"/>
  <c r="AR21" i="1"/>
  <c r="AB21" i="1"/>
  <c r="W21" i="1"/>
  <c r="U21" i="1"/>
  <c r="S21" i="1"/>
  <c r="R21" i="1"/>
  <c r="P21" i="1"/>
  <c r="N21" i="1"/>
  <c r="AI21" i="1" s="1"/>
  <c r="L21" i="1"/>
  <c r="K21" i="1"/>
  <c r="J21" i="1"/>
  <c r="AR20" i="1"/>
  <c r="AB20" i="1"/>
  <c r="W20" i="1"/>
  <c r="U20" i="1"/>
  <c r="S20" i="1"/>
  <c r="R20" i="1"/>
  <c r="P20" i="1"/>
  <c r="N20" i="1"/>
  <c r="AK20" i="1" s="1"/>
  <c r="L20" i="1"/>
  <c r="K20" i="1"/>
  <c r="J20" i="1"/>
  <c r="AR19" i="1"/>
  <c r="AB19" i="1"/>
  <c r="W19" i="1"/>
  <c r="U19" i="1"/>
  <c r="S19" i="1"/>
  <c r="R19" i="1"/>
  <c r="P19" i="1"/>
  <c r="N19" i="1"/>
  <c r="AI19" i="1" s="1"/>
  <c r="L19" i="1"/>
  <c r="K19" i="1"/>
  <c r="J19" i="1"/>
  <c r="AR18" i="1"/>
  <c r="AB18" i="1"/>
  <c r="W18" i="1"/>
  <c r="U18" i="1"/>
  <c r="S18" i="1"/>
  <c r="R18" i="1"/>
  <c r="P18" i="1"/>
  <c r="N18" i="1"/>
  <c r="AK18" i="1" s="1"/>
  <c r="L18" i="1"/>
  <c r="K18" i="1"/>
  <c r="J18" i="1"/>
  <c r="AR17" i="1"/>
  <c r="AN17" i="1"/>
  <c r="AM17" i="1"/>
  <c r="AL17" i="1"/>
  <c r="AJ17" i="1"/>
  <c r="AI17" i="1"/>
  <c r="AH17" i="1"/>
  <c r="AG17" i="1"/>
  <c r="AB17" i="1"/>
  <c r="AK17" i="1" s="1"/>
  <c r="W17" i="1"/>
  <c r="U17" i="1"/>
  <c r="S17" i="1"/>
  <c r="R17" i="1"/>
  <c r="P17" i="1"/>
  <c r="L17" i="1"/>
  <c r="K17" i="1"/>
  <c r="J17" i="1"/>
  <c r="AR15" i="1"/>
  <c r="AB15" i="1"/>
  <c r="W15" i="1"/>
  <c r="U15" i="1"/>
  <c r="S15" i="1"/>
  <c r="R15" i="1"/>
  <c r="P15" i="1"/>
  <c r="N15" i="1"/>
  <c r="AI15" i="1" s="1"/>
  <c r="L15" i="1"/>
  <c r="K15" i="1"/>
  <c r="J15" i="1"/>
  <c r="AR14" i="1"/>
  <c r="AB14" i="1"/>
  <c r="W14" i="1"/>
  <c r="U14" i="1"/>
  <c r="S14" i="1"/>
  <c r="R14" i="1"/>
  <c r="P14" i="1"/>
  <c r="N14" i="1"/>
  <c r="AK14" i="1" s="1"/>
  <c r="L14" i="1"/>
  <c r="K14" i="1"/>
  <c r="J14" i="1"/>
  <c r="AR13" i="1"/>
  <c r="AB13" i="1"/>
  <c r="W13" i="1"/>
  <c r="U13" i="1"/>
  <c r="S13" i="1"/>
  <c r="R13" i="1"/>
  <c r="P13" i="1"/>
  <c r="N13" i="1"/>
  <c r="AI13" i="1" s="1"/>
  <c r="L13" i="1"/>
  <c r="K13" i="1"/>
  <c r="J13" i="1"/>
  <c r="AR12" i="1"/>
  <c r="W12" i="1"/>
  <c r="U12" i="1"/>
  <c r="S12" i="1"/>
  <c r="R12" i="1"/>
  <c r="P12" i="1"/>
  <c r="N12" i="1"/>
  <c r="AK12" i="1" s="1"/>
  <c r="L12" i="1"/>
  <c r="K12" i="1"/>
  <c r="J12"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B5" i="1"/>
  <c r="W5" i="1"/>
  <c r="U5" i="1"/>
  <c r="S5" i="1"/>
  <c r="R5" i="1"/>
  <c r="P5" i="1"/>
  <c r="N5" i="1"/>
  <c r="AI5" i="1" s="1"/>
  <c r="L5" i="1"/>
  <c r="K5" i="1"/>
  <c r="J5" i="1"/>
  <c r="AR4" i="1"/>
  <c r="W4" i="1"/>
  <c r="U4" i="1"/>
  <c r="S4" i="1"/>
  <c r="R4" i="1"/>
  <c r="P4" i="1"/>
  <c r="N4" i="1"/>
  <c r="AK4" i="1" s="1"/>
  <c r="L4" i="1"/>
  <c r="K4" i="1"/>
  <c r="J4" i="1"/>
  <c r="AR24" i="1"/>
  <c r="AM10" i="1" l="1"/>
  <c r="AM13" i="1"/>
  <c r="AM15" i="1"/>
  <c r="AM18" i="1"/>
  <c r="AM22" i="1"/>
  <c r="AM7" i="1"/>
  <c r="AN9" i="1"/>
  <c r="AL22" i="1"/>
  <c r="AJ9" i="1"/>
  <c r="AN12" i="1"/>
  <c r="AM5" i="1"/>
  <c r="AJ10" i="1"/>
  <c r="AH12" i="1"/>
  <c r="AL18" i="1"/>
  <c r="AM19" i="1"/>
  <c r="AN21" i="1"/>
  <c r="AN5" i="1"/>
  <c r="AM9" i="1"/>
  <c r="AJ12" i="1"/>
  <c r="AN19" i="1"/>
  <c r="AM20" i="1"/>
  <c r="AM21" i="1"/>
  <c r="AL4" i="1"/>
  <c r="AN14" i="1"/>
  <c r="AL20" i="1"/>
  <c r="AN4" i="1"/>
  <c r="AH13" i="1"/>
  <c r="AH15" i="1"/>
  <c r="AH20" i="1"/>
  <c r="AH22" i="1"/>
  <c r="AN22" i="1"/>
  <c r="AH4" i="1"/>
  <c r="AL7" i="1"/>
  <c r="AK10" i="1"/>
  <c r="AH10" i="1"/>
  <c r="AN10" i="1"/>
  <c r="AJ13" i="1"/>
  <c r="AJ14" i="1"/>
  <c r="AJ15" i="1"/>
  <c r="AI18" i="1"/>
  <c r="AH19" i="1"/>
  <c r="AI20" i="1"/>
  <c r="AH21" i="1"/>
  <c r="AI22" i="1"/>
  <c r="AH14" i="1"/>
  <c r="AI14" i="1"/>
  <c r="AH18" i="1"/>
  <c r="AN18" i="1"/>
  <c r="AN20" i="1"/>
  <c r="AH5" i="1"/>
  <c r="AI7" i="1"/>
  <c r="AJ4" i="1"/>
  <c r="AJ5" i="1"/>
  <c r="AH9" i="1"/>
  <c r="AI10" i="1"/>
  <c r="AL12" i="1"/>
  <c r="AN13" i="1"/>
  <c r="AM14" i="1"/>
  <c r="AL14" i="1"/>
  <c r="AN15" i="1"/>
  <c r="AJ18" i="1"/>
  <c r="AJ19" i="1"/>
  <c r="AJ20" i="1"/>
  <c r="AJ21" i="1"/>
  <c r="AJ22" i="1"/>
  <c r="AL8" i="1"/>
  <c r="AI4" i="1"/>
  <c r="AM4" i="1"/>
  <c r="AG5" i="1"/>
  <c r="AK5" i="1"/>
  <c r="AJ7" i="1"/>
  <c r="AN7" i="1"/>
  <c r="AI8" i="1"/>
  <c r="AM8" i="1"/>
  <c r="AG9" i="1"/>
  <c r="AK9" i="1"/>
  <c r="AI12" i="1"/>
  <c r="AM12" i="1"/>
  <c r="AG13" i="1"/>
  <c r="AK13" i="1"/>
  <c r="AG15" i="1"/>
  <c r="AK15" i="1"/>
  <c r="AG19" i="1"/>
  <c r="AK19" i="1"/>
  <c r="AG21" i="1"/>
  <c r="AK21" i="1"/>
  <c r="AH8" i="1"/>
  <c r="AL5" i="1"/>
  <c r="AG7" i="1"/>
  <c r="AK7" i="1"/>
  <c r="AJ8" i="1"/>
  <c r="AN8" i="1"/>
  <c r="AL9" i="1"/>
  <c r="AL13" i="1"/>
  <c r="AL15" i="1"/>
  <c r="AL19" i="1"/>
  <c r="AL21" i="1"/>
  <c r="AG4" i="1"/>
  <c r="AH7" i="1"/>
  <c r="AG8" i="1"/>
  <c r="AG10" i="1"/>
  <c r="AG12" i="1"/>
  <c r="AG14" i="1"/>
  <c r="AG18" i="1"/>
  <c r="AG20" i="1"/>
  <c r="AG22" i="1"/>
  <c r="AG7" i="10" l="1"/>
  <c r="AI7" i="10"/>
  <c r="A19" i="10"/>
  <c r="B19" i="10"/>
  <c r="D19" i="10"/>
  <c r="E19" i="10"/>
  <c r="H19" i="10"/>
  <c r="I19" i="10"/>
  <c r="AC19" i="10" s="1"/>
  <c r="J19" i="10"/>
  <c r="M19" i="10"/>
  <c r="N19" i="10"/>
  <c r="AE19" i="10" s="1"/>
  <c r="O19" i="10"/>
  <c r="AF19" i="10" s="1"/>
  <c r="P19" i="10"/>
  <c r="Q19" i="10"/>
  <c r="R19" i="10"/>
  <c r="S19" i="10"/>
  <c r="AJ19" i="10" s="1"/>
  <c r="AD19" i="10"/>
  <c r="AH19" i="10"/>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2" i="10"/>
  <c r="B22" i="10"/>
  <c r="D22"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23" i="1" s="1"/>
  <c r="F11" i="1" l="1"/>
  <c r="F14" i="1"/>
  <c r="C14" i="1" s="1"/>
  <c r="F16" i="1"/>
  <c r="C16" i="1" s="1"/>
  <c r="F21" i="1"/>
  <c r="F9" i="1"/>
  <c r="C9" i="1" s="1"/>
  <c r="F13" i="1"/>
  <c r="C13" i="1" s="1"/>
  <c r="F22" i="1"/>
  <c r="F20" i="1"/>
  <c r="C20" i="1" s="1"/>
  <c r="C19" i="10" s="1"/>
  <c r="F18" i="1"/>
  <c r="C18" i="1" s="1"/>
  <c r="F17" i="1"/>
  <c r="C17" i="1" s="1"/>
  <c r="F10" i="1"/>
  <c r="C10" i="1" s="1"/>
  <c r="F6" i="1"/>
  <c r="C6" i="1" s="1"/>
  <c r="F7" i="1"/>
  <c r="C7" i="1" s="1"/>
  <c r="F19" i="1"/>
  <c r="C19" i="1" s="1"/>
  <c r="F15" i="1"/>
  <c r="C15" i="1" s="1"/>
  <c r="F12" i="1"/>
  <c r="C12" i="1" s="1"/>
  <c r="F5" i="1"/>
  <c r="C5" i="1" s="1"/>
  <c r="F4" i="1"/>
  <c r="C4" i="1" s="1"/>
  <c r="F8" i="1"/>
  <c r="C8" i="1" s="1"/>
  <c r="C11" i="1" l="1"/>
  <c r="C11" i="10" s="1"/>
  <c r="F11" i="10"/>
  <c r="C21" i="1"/>
  <c r="C20" i="10" s="1"/>
  <c r="F20" i="10"/>
  <c r="C23" i="1"/>
  <c r="C22" i="10" s="1"/>
  <c r="F22" i="10"/>
  <c r="C22"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<sst xmlns="http://schemas.openxmlformats.org/spreadsheetml/2006/main" count="1464" uniqueCount="577">
  <si>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</si>
  <si>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</si>
  <si>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</si>
  <si>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</si>
  <si>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</si>
  <si>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</si>
  <si>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</si>
  <si>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</si>
  <si>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</si>
  <si>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</si>
  <si>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</si>
  <si>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</si>
  <si>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</si>
  <si>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</si>
  <si>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</si>
  <si>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</si>
  <si>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</si>
  <si>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</si>
  <si>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</si>
  <si>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</si>
  <si>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</si>
  <si>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</si>
  <si>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</si>
  <si>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</si>
  <si>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</si>
  <si>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</si>
  <si>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</si>
  <si>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</si>
  <si>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</si>
  <si>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</si>
  <si>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</si>
  <si>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</si>
  <si>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</si>
  <si>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</si>
  <si>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</si>
  <si>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</si>
  <si>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</si>
  <si>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</si>
  <si>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</si>
  <si>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</si>
  <si>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</si>
  <si>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</si>
  <si>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</si>
  <si>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</si>
  <si>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</si>
  <si>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</si>
  <si>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</si>
  <si>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</si>
  <si>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</si>
  <si>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</si>
  <si>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</si>
  <si>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</si>
  <si>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</si>
  <si>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</si>
  <si>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</si>
  <si>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</si>
  <si>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</si>
  <si>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</si>
  <si>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</si>
  <si>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</si>
  <si>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</si>
  <si>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</si>
  <si>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</si>
  <si>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</si>
  <si>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</si>
  <si>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</si>
  <si>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</si>
  <si>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</si>
  <si>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</si>
  <si>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</si>
  <si>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</si>
  <si>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</si>
  <si>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</si>
  <si>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</si>
  <si>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</si>
  <si>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</si>
  <si>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</si>
  <si>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</si>
  <si>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</si>
  <si>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</si>
  <si>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</si>
  <si>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</si>
  <si>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</si>
  <si>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</si>
  <si>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</si>
  <si>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</si>
  <si>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</si>
  <si>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</si>
  <si>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</si>
  <si>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</si>
  <si>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</si>
  <si>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</si>
  <si>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</si>
  <si>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</si>
  <si>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</si>
  <si>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</si>
  <si>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</si>
  <si>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</si>
  <si>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</si>
  <si>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</si>
  <si>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</si>
  <si>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</si>
  <si>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</si>
  <si>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</si>
  <si>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</si>
  <si>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</si>
  <si>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</si>
  <si>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</si>
  <si>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</si>
  <si>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</si>
  <si>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</si>
  <si>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</si>
  <si>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</si>
  <si>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</si>
  <si>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</si>
  <si>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</si>
  <si>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</si>
  <si>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</si>
  <si>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</si>
  <si>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</si>
  <si>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</si>
  <si>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</si>
  <si>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</si>
  <si>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</si>
  <si>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</si>
  <si>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</si>
  <si>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</si>
  <si>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</si>
  <si>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</si>
  <si>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</si>
  <si>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</si>
  <si>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</si>
  <si>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</si>
  <si>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</si>
  <si>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</si>
  <si>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</si>
  <si>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</si>
  <si>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</si>
  <si>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</si>
  <si>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</si>
  <si>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</si>
  <si>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</si>
  <si>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</si>
  <si>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</si>
  <si>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</si>
  <si>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</si>
  <si>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</si>
  <si>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</si>
  <si>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</si>
  <si>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</si>
  <si>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</si>
  <si>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</si>
  <si>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</si>
  <si>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</si>
  <si>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</si>
  <si>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</si>
  <si>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</si>
  <si>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</si>
  <si>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</si>
  <si>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</si>
  <si>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</si>
  <si>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</si>
  <si>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</si>
  <si>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</si>
  <si>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</si>
  <si>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</si>
  <si>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</si>
  <si>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</si>
  <si>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</si>
  <si>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</si>
  <si>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</si>
  <si>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</si>
  <si>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</si>
  <si>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</si>
  <si>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</si>
  <si>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</si>
  <si>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</si>
  <si>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</si>
  <si>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</si>
  <si>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</si>
  <si>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</si>
  <si>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</si>
  <si>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</si>
  <si>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</si>
  <si>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</si>
  <si>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</si>
  <si>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</si>
  <si>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</si>
  <si>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</si>
  <si>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</si>
  <si>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</si>
  <si>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</si>
  <si>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</si>
  <si>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</si>
  <si>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</si>
  <si>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</si>
  <si>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</si>
  <si>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</si>
  <si>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</si>
  <si>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</si>
  <si>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</si>
  <si>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</si>
  <si>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</si>
  <si>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</si>
  <si>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</si>
  <si>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</si>
  <si>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</si>
  <si>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</si>
  <si>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</si>
  <si>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</si>
  <si>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</si>
  <si>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</si>
  <si>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</si>
  <si>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</si>
  <si>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</si>
  <si>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</si>
  <si>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</si>
  <si>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</si>
  <si>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</si>
  <si>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</si>
  <si>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</si>
  <si>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</si>
  <si>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</si>
  <si>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</si>
  <si>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</si>
  <si>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</si>
  <si>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</si>
  <si>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</si>
  <si>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</si>
  <si>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</si>
  <si>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</si>
  <si>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</si>
  <si>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</si>
  <si>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</si>
  <si>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</si>
  <si>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</si>
  <si>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</si>
  <si>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</si>
  <si>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</si>
  <si>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</si>
  <si>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</si>
  <si>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</si>
  <si>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</si>
  <si>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</si>
  <si>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</si>
  <si>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</si>
  <si>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</si>
  <si>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</si>
  <si>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</si>
  <si>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</si>
  <si>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</si>
  <si>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</si>
  <si>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</si>
  <si>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</si>
  <si>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</si>
  <si>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</si>
  <si>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</si>
  <si>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</si>
  <si>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</si>
  <si>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</si>
  <si>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</si>
  <si>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</si>
  <si>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</si>
  <si>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</si>
  <si>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</si>
  <si>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</si>
  <si>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</si>
  <si>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</si>
  <si>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</si>
  <si>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</si>
  <si>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</si>
  <si>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</si>
  <si>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</si>
  <si>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</si>
  <si>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</si>
  <si>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</si>
  <si>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</si>
  <si>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</si>
  <si>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</si>
  <si>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</si>
  <si>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</si>
  <si>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</si>
  <si>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</si>
  <si>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</si>
  <si>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</si>
  <si>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</si>
  <si>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</si>
  <si>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</si>
  <si>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</si>
  <si>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</si>
  <si>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</si>
  <si>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</si>
  <si>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</si>
  <si>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</si>
  <si>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</si>
  <si>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</si>
  <si>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</si>
  <si>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</si>
  <si>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</si>
  <si>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</si>
  <si>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</si>
  <si>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</si>
  <si>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</si>
  <si>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</si>
  <si>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</si>
  <si>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</si>
  <si>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</si>
  <si>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</si>
  <si>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</si>
  <si>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</si>
  <si>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</si>
  <si>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</si>
  <si>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</si>
  <si>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</si>
  <si>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</si>
  <si>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</si>
  <si>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</si>
  <si>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</si>
  <si>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</si>
  <si>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</si>
  <si>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</si>
  <si>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</si>
  <si>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</si>
  <si>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</si>
  <si>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</si>
  <si>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</si>
  <si>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</si>
  <si>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</si>
  <si>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</si>
  <si>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</si>
  <si>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</si>
  <si>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</si>
  <si>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</si>
  <si>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</si>
  <si>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</si>
  <si>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</si>
  <si>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</si>
  <si>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</si>
  <si>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</si>
  <si>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</si>
  <si>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</si>
  <si>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</si>
  <si>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</si>
  <si>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</si>
  <si>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</si>
  <si>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</si>
  <si>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</si>
  <si>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</si>
  <si>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</si>
  <si>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</si>
  <si>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</si>
  <si>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</si>
  <si>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</si>
  <si>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</si>
  <si>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</si>
  <si>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</si>
  <si>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</si>
  <si>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</si>
  <si>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</si>
  <si>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</si>
  <si>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</si>
  <si>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</si>
  <si>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</si>
  <si>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</si>
  <si>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</si>
  <si>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</si>
  <si>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</si>
  <si>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</si>
  <si>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</si>
  <si>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</si>
  <si>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</si>
  <si>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</si>
  <si>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</si>
  <si>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</si>
  <si>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</si>
  <si>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</si>
  <si>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</si>
  <si>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</si>
  <si>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</si>
  <si>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</si>
  <si>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</si>
  <si>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</si>
  <si>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</si>
  <si>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</si>
  <si>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</si>
  <si>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</si>
  <si>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</si>
  <si>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</si>
  <si>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</si>
  <si>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</si>
  <si>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</si>
  <si>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</si>
  <si>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</si>
  <si>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</si>
  <si>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</si>
  <si>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</si>
  <si>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</si>
  <si>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</si>
  <si>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</si>
  <si>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</si>
  <si>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</si>
  <si>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</si>
  <si>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</si>
  <si>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</si>
  <si>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</si>
  <si>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</si>
  <si>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</si>
  <si>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</si>
  <si>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</si>
  <si>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</si>
  <si>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</si>
  <si>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</si>
  <si>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</si>
  <si>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</si>
  <si>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</si>
  <si>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</si>
  <si>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</si>
  <si>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</si>
  <si>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</si>
  <si>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</si>
  <si>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</si>
  <si>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</si>
  <si>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</si>
  <si>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</si>
  <si>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</si>
  <si>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</si>
  <si>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</si>
  <si>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</si>
  <si>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</si>
  <si>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</si>
  <si>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</si>
  <si>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</si>
  <si>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</si>
  <si>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</si>
  <si>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</si>
  <si>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</si>
  <si>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</si>
  <si>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</si>
  <si>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</si>
  <si>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</si>
  <si>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</si>
  <si>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</si>
  <si>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</si>
  <si>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</si>
  <si>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</si>
  <si>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</si>
  <si>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</si>
  <si>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</si>
  <si>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</si>
  <si>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</si>
  <si>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</si>
  <si>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</si>
  <si>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</si>
  <si>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</si>
  <si>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</si>
  <si>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</si>
  <si>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</si>
  <si>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</si>
  <si>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</si>
  <si>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</si>
  <si>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</si>
  <si>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</si>
  <si>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</si>
  <si>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</si>
  <si>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</si>
  <si>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</si>
  <si>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</si>
  <si>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</si>
  <si>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</si>
  <si>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</si>
  <si>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</si>
  <si>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</si>
  <si>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</si>
  <si>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</si>
  <si>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</si>
  <si>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</si>
  <si>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</si>
  <si>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</si>
  <si>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</si>
  <si>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</si>
  <si>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</si>
  <si>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</si>
  <si>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</si>
  <si>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</si>
  <si>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</si>
  <si>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</si>
  <si>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</si>
  <si>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</si>
  <si>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</si>
  <si>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</si>
  <si>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</si>
  <si>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</si>
  <si>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</si>
  <si>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</si>
  <si>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</si>
  <si>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</si>
  <si>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</si>
  <si>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</si>
  <si>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</si>
  <si>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</si>
  <si>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</si>
  <si>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</si>
  <si>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</si>
  <si>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</si>
  <si>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</si>
  <si>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</si>
  <si>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</si>
  <si>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</si>
  <si>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</si>
  <si>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</si>
  <si>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</si>
  <si>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</si>
  <si>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</si>
  <si>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</si>
  <si>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</si>
  <si>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</si>
  <si>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</si>
  <si>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</si>
  <si>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</si>
  <si>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</si>
  <si>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</si>
  <si>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</si>
  <si>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</si>
  <si>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</si>
  <si>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</si>
  <si>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</si>
  <si>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</si>
  <si>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</si>
  <si>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</si>
  <si>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</si>
  <si>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</si>
  <si>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</si>
  <si>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</si>
  <si>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</si>
  <si>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</si>
  <si>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</si>
  <si>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</si>
  <si>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</si>
  <si>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</si>
  <si>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</si>
  <si>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</si>
  <si>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</si>
  <si>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</si>
  <si>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</si>
  <si>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</si>
  <si>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</si>
  <si>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</si>
  <si>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</si>
  <si>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</si>
  <si>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</si>
  <si>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</si>
  <si>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</si>
  <si>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</si>
  <si>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</si>
  <si>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</si>
  <si>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</si>
  <si>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</si>
  <si>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</si>
  <si>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</si>
  <si>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</si>
  <si>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</si>
  <si>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</si>
  <si>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</si>
  <si>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</si>
  <si>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</si>
  <si>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</si>
  <si>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</si>
  <si>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Diego Rincon</t>
  </si>
  <si>
    <t>17 (66)</t>
  </si>
  <si>
    <t>17 (87)</t>
  </si>
  <si>
    <t xml:space="preserve">15 (55) </t>
  </si>
  <si>
    <t>18 (2)</t>
  </si>
  <si>
    <t>18 (30)</t>
  </si>
  <si>
    <t>19 (37)</t>
  </si>
  <si>
    <t>20 (38)</t>
  </si>
  <si>
    <t>21 (72)</t>
  </si>
  <si>
    <t>24 (107)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</si>
</sst>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6"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7">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7" t="s">
        <v>106</v>
      </c>
      <c r="C59" s="96" t="s">
        <v>105</v>
      </c>
      <c r="D59" s="231" t="s">
        <v>137</v>
      </c>
      <c r="E59" s="231" t="s">
        <v>137</v>
      </c>
      <c r="F59" s="97" t="s">
        <v>103</v>
      </c>
      <c r="H59" s="98" t="s">
        <v>138</v>
      </c>
      <c r="X59" s="89"/>
    </row>
    <row r="60" spans="1:24" ht="15.75" x14ac:dyDescent="0.25">
      <c r="A60" s="99">
        <v>18</v>
      </c>
      <c r="B60" s="227"/>
      <c r="C60" s="96" t="s">
        <v>139</v>
      </c>
      <c r="D60" s="231"/>
      <c r="E60" s="231"/>
      <c r="F60" s="97" t="s">
        <v>140</v>
      </c>
      <c r="H60" s="92" t="s">
        <v>141</v>
      </c>
      <c r="X60" s="89"/>
    </row>
    <row r="61" spans="1:24" ht="15.75" x14ac:dyDescent="0.25">
      <c r="A61" s="95">
        <v>19</v>
      </c>
      <c r="B61" s="227"/>
      <c r="C61" s="100"/>
      <c r="D61" s="231"/>
      <c r="E61" s="231"/>
      <c r="F61" s="101"/>
      <c r="H61" s="92" t="s">
        <v>142</v>
      </c>
      <c r="I61" s="91"/>
      <c r="X61" s="89"/>
    </row>
    <row r="62" spans="1:24" ht="15.75" x14ac:dyDescent="0.25">
      <c r="A62" s="99">
        <v>20</v>
      </c>
      <c r="B62" s="227"/>
      <c r="C62" s="97" t="s">
        <v>137</v>
      </c>
      <c r="D62" s="232" t="s">
        <v>103</v>
      </c>
      <c r="E62" s="97" t="s">
        <v>103</v>
      </c>
      <c r="F62" s="101"/>
      <c r="H62" s="92" t="s">
        <v>143</v>
      </c>
      <c r="X62" s="89"/>
    </row>
    <row r="63" spans="1:24" ht="15.75" x14ac:dyDescent="0.25">
      <c r="A63" s="95">
        <v>21</v>
      </c>
      <c r="B63" s="229" t="s">
        <v>105</v>
      </c>
      <c r="C63" s="97" t="s">
        <v>144</v>
      </c>
      <c r="D63" s="232"/>
      <c r="E63" s="97" t="s">
        <v>140</v>
      </c>
      <c r="F63" s="101"/>
      <c r="H63" s="92" t="s">
        <v>145</v>
      </c>
      <c r="X63" s="89"/>
    </row>
    <row r="64" spans="1:24" ht="15.75" x14ac:dyDescent="0.25">
      <c r="A64" s="99">
        <v>22</v>
      </c>
      <c r="B64" s="229"/>
      <c r="C64" s="101"/>
      <c r="D64" s="232"/>
      <c r="E64" s="101"/>
      <c r="F64" s="101"/>
      <c r="H64" s="92" t="s">
        <v>146</v>
      </c>
      <c r="X64" s="89"/>
    </row>
    <row r="65" spans="1:24" ht="15.75" x14ac:dyDescent="0.25">
      <c r="A65" s="95">
        <v>23</v>
      </c>
      <c r="B65" s="229"/>
      <c r="C65" s="101"/>
      <c r="D65" s="232"/>
      <c r="E65" s="101"/>
      <c r="F65" s="101"/>
      <c r="H65" s="92"/>
      <c r="X65" s="89"/>
    </row>
    <row r="66" spans="1:24" ht="15.75" x14ac:dyDescent="0.25">
      <c r="A66" s="99">
        <v>24</v>
      </c>
      <c r="B66" s="229"/>
      <c r="C66" s="101"/>
      <c r="D66" s="232"/>
      <c r="E66" s="101"/>
      <c r="F66" s="101"/>
      <c r="H66" s="92" t="s">
        <v>147</v>
      </c>
      <c r="X66" s="89"/>
    </row>
    <row r="67" spans="1:24" ht="15.75" x14ac:dyDescent="0.25">
      <c r="A67" s="95">
        <v>25</v>
      </c>
      <c r="B67" s="229"/>
      <c r="C67" s="101"/>
      <c r="D67" s="231" t="s">
        <v>137</v>
      </c>
      <c r="E67" s="101"/>
      <c r="F67" s="101"/>
      <c r="H67" s="92" t="s">
        <v>148</v>
      </c>
      <c r="X67" s="89"/>
    </row>
    <row r="68" spans="1:24" ht="15.75" x14ac:dyDescent="0.25">
      <c r="A68" s="99">
        <v>26</v>
      </c>
      <c r="B68" s="229"/>
      <c r="C68" s="231" t="s">
        <v>137</v>
      </c>
      <c r="D68" s="231"/>
      <c r="E68" s="101"/>
      <c r="F68" s="101"/>
      <c r="H68" s="92"/>
      <c r="X68" s="89"/>
    </row>
    <row r="69" spans="1:24" ht="15.75" x14ac:dyDescent="0.25">
      <c r="A69" s="95">
        <v>27</v>
      </c>
      <c r="B69" s="227" t="s">
        <v>106</v>
      </c>
      <c r="C69" s="231"/>
      <c r="D69" s="231"/>
      <c r="E69" s="101"/>
      <c r="F69" s="101"/>
      <c r="H69" s="92"/>
      <c r="X69" s="89"/>
    </row>
    <row r="70" spans="1:24" ht="15.75" x14ac:dyDescent="0.25">
      <c r="A70" s="99">
        <v>28</v>
      </c>
      <c r="B70" s="227"/>
      <c r="C70" s="229" t="s">
        <v>105</v>
      </c>
      <c r="D70" s="231"/>
      <c r="E70" s="101"/>
      <c r="F70" s="101"/>
      <c r="H70" s="92" t="s">
        <v>149</v>
      </c>
      <c r="X70" s="89"/>
    </row>
    <row r="71" spans="1:24" ht="15.75" x14ac:dyDescent="0.25">
      <c r="A71" s="95">
        <v>29</v>
      </c>
      <c r="B71" s="227"/>
      <c r="C71" s="229"/>
      <c r="D71" s="231"/>
      <c r="E71" s="101"/>
      <c r="F71" s="101"/>
      <c r="H71" s="92"/>
      <c r="X71" s="89"/>
    </row>
    <row r="72" spans="1:24" ht="15.75" x14ac:dyDescent="0.25">
      <c r="A72" s="99">
        <v>30</v>
      </c>
      <c r="B72" s="227"/>
      <c r="C72" s="229"/>
      <c r="D72" s="229" t="s">
        <v>105</v>
      </c>
      <c r="E72" s="101"/>
      <c r="F72" s="101"/>
      <c r="H72" s="92" t="s">
        <v>150</v>
      </c>
      <c r="X72" s="89"/>
    </row>
    <row r="73" spans="1:24" ht="15.75" x14ac:dyDescent="0.25">
      <c r="A73" s="95">
        <v>31</v>
      </c>
      <c r="B73" s="227"/>
      <c r="C73" s="229"/>
      <c r="D73" s="229"/>
      <c r="E73" s="97" t="s">
        <v>137</v>
      </c>
      <c r="F73" s="101"/>
      <c r="H73" s="92"/>
      <c r="X73" s="89"/>
    </row>
    <row r="74" spans="1:24" ht="15.75" x14ac:dyDescent="0.25">
      <c r="A74" s="99">
        <v>32</v>
      </c>
      <c r="B74" s="227"/>
      <c r="C74" s="229"/>
      <c r="D74" s="229"/>
      <c r="E74" s="97" t="s">
        <v>144</v>
      </c>
      <c r="F74" s="101"/>
      <c r="H74" s="92" t="s">
        <v>151</v>
      </c>
      <c r="X74" s="89"/>
    </row>
    <row r="75" spans="1:24" ht="15.75" x14ac:dyDescent="0.25">
      <c r="A75" s="95">
        <v>33</v>
      </c>
      <c r="B75" s="227"/>
      <c r="C75" s="227" t="s">
        <v>106</v>
      </c>
      <c r="D75" s="229"/>
      <c r="E75" s="96" t="s">
        <v>105</v>
      </c>
      <c r="F75" s="96" t="s">
        <v>105</v>
      </c>
      <c r="H75" s="92"/>
      <c r="X75" s="89"/>
    </row>
    <row r="76" spans="1:24" ht="15.75" x14ac:dyDescent="0.25">
      <c r="A76" s="99">
        <v>34</v>
      </c>
      <c r="B76" s="230" t="s">
        <v>152</v>
      </c>
      <c r="C76" s="227"/>
      <c r="D76" s="229"/>
      <c r="E76" s="96" t="s">
        <v>139</v>
      </c>
      <c r="F76" s="96" t="s">
        <v>139</v>
      </c>
      <c r="H76" s="92" t="s">
        <v>153</v>
      </c>
      <c r="X76" s="89"/>
    </row>
    <row r="77" spans="1:24" ht="15.75" x14ac:dyDescent="0.25">
      <c r="A77" s="95">
        <v>35</v>
      </c>
      <c r="B77" s="230"/>
      <c r="C77" s="230" t="s">
        <v>152</v>
      </c>
      <c r="D77" s="227" t="s">
        <v>106</v>
      </c>
      <c r="E77" s="227" t="s">
        <v>106</v>
      </c>
      <c r="F77" s="100"/>
      <c r="H77" s="92"/>
      <c r="X77" s="89"/>
    </row>
    <row r="78" spans="1:24" ht="15.75" x14ac:dyDescent="0.25">
      <c r="A78" s="99">
        <v>36</v>
      </c>
      <c r="B78" s="230"/>
      <c r="C78" s="230"/>
      <c r="D78" s="227"/>
      <c r="E78" s="227"/>
      <c r="F78" s="102" t="s">
        <v>106</v>
      </c>
      <c r="H78" s="92" t="s">
        <v>154</v>
      </c>
      <c r="X78" s="89"/>
    </row>
    <row r="79" spans="1:24" ht="15.75" x14ac:dyDescent="0.25">
      <c r="A79" s="228" t="s">
        <v>155</v>
      </c>
      <c r="B79" s="228"/>
      <c r="C79" s="228"/>
      <c r="D79" s="228"/>
      <c r="E79" s="228"/>
      <c r="F79" s="22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12</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12</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12</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568</v>
      </c>
    </row>
    <row r="4" spans="1:5" x14ac:dyDescent="0.25">
      <c r="A4" s="105" t="s">
        <v>399</v>
      </c>
      <c r="B4" s="105" t="s">
        <v>400</v>
      </c>
      <c r="C4" s="105">
        <v>6</v>
      </c>
      <c r="D4" s="105">
        <v>3</v>
      </c>
      <c r="E4" s="105" t="s">
        <v>569</v>
      </c>
    </row>
    <row r="5" spans="1:5" x14ac:dyDescent="0.25">
      <c r="A5" s="223" t="s">
        <v>402</v>
      </c>
      <c r="B5" s="223" t="s">
        <v>570</v>
      </c>
      <c r="C5" s="223">
        <v>10</v>
      </c>
      <c r="D5" s="223">
        <v>4</v>
      </c>
      <c r="E5" s="223" t="s">
        <v>571</v>
      </c>
    </row>
    <row r="6" spans="1:5" x14ac:dyDescent="0.25">
      <c r="A6" s="153" t="s">
        <v>405</v>
      </c>
      <c r="B6" s="153" t="s">
        <v>406</v>
      </c>
      <c r="C6" s="153">
        <v>14</v>
      </c>
      <c r="D6" s="153">
        <v>4</v>
      </c>
      <c r="E6" s="153" t="s">
        <v>572</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573</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574</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575</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576</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E4" activePane="bottomRight" state="frozen"/>
      <selection pane="topRight" activeCell="E1" sqref="E1"/>
      <selection pane="bottomLeft" activeCell="A4" sqref="A4"/>
      <selection pane="bottomRight" activeCell="I14" sqref="I14"/>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43133</v>
      </c>
      <c r="I2" s="32">
        <f>AVERAGE(I4:I23)</f>
        <v>1.1100000000000001</v>
      </c>
      <c r="J2" s="32"/>
      <c r="N2" s="37">
        <f ca="1">AVERAGE(N4:N23)</f>
        <v>0.59580564687352977</v>
      </c>
      <c r="O2" s="32">
        <f>AVERAGE(O4:O23)</f>
        <v>4.5699999999999994</v>
      </c>
      <c r="Q2" s="32">
        <f>AVERAGE(Q4:Q23)</f>
        <v>5.75</v>
      </c>
      <c r="R2" s="116">
        <f>AVERAGE(R4:R23)</f>
        <v>0.90435644954822547</v>
      </c>
      <c r="S2" s="116">
        <f>AVERAGE(S4:S23)</f>
        <v>0.96602162823062088</v>
      </c>
      <c r="T2" s="38">
        <f>SUM(T4:T23)</f>
        <v>43340</v>
      </c>
      <c r="U2" s="38">
        <f>SUM(U4:U23)</f>
        <v>1470</v>
      </c>
      <c r="V2" s="38">
        <f>SUM(V4:V23)</f>
        <v>7140</v>
      </c>
      <c r="W2" s="39">
        <f>T2/V2</f>
        <v>6.0700280112044815</v>
      </c>
      <c r="AD2" s="37">
        <f>AVERAGE(AD21:AD23)</f>
        <v>2.5</v>
      </c>
      <c r="AE2" s="33">
        <f>AVERAGE(AE21:AE23)</f>
        <v>387.33333333333331</v>
      </c>
      <c r="AF2" s="33"/>
      <c r="AK2" s="32"/>
      <c r="AL2" s="32"/>
      <c r="AM2" s="32"/>
      <c r="AN2" s="32"/>
      <c r="AO2" s="32">
        <f>AVERAGE(AO21:AO24)</f>
        <v>1.5</v>
      </c>
      <c r="AP2" s="32"/>
      <c r="AQ2" s="32">
        <f>AVERAGE(AQ21:AQ24)</f>
        <v>0.5</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10.642857142857142</v>
      </c>
      <c r="D4" s="216" t="s">
        <v>450</v>
      </c>
      <c r="E4" s="1">
        <v>22</v>
      </c>
      <c r="F4" s="2">
        <f ca="1">8-659+D2-D1-112-62</f>
        <v>40</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0.23942884084114555</v>
      </c>
      <c r="O4" s="25">
        <v>6</v>
      </c>
      <c r="P4" s="20">
        <f t="shared" ref="P4:P6" si="2">O4*10+19</f>
        <v>79</v>
      </c>
      <c r="Q4" s="26">
        <v>5</v>
      </c>
      <c r="R4" s="115">
        <f t="shared" ref="R4:R5" si="3">(Q4/7)^0.5</f>
        <v>0.84515425472851657</v>
      </c>
      <c r="S4" s="115">
        <f t="shared" ref="S4:S5" si="4">IF(Q4=7,1,((Q4+0.99)/7)^0.5)</f>
        <v>0.92504826128926143</v>
      </c>
      <c r="T4" s="29">
        <v>8030</v>
      </c>
      <c r="U4" s="29">
        <f>T4-AS4</f>
        <v>-10</v>
      </c>
      <c r="V4" s="7">
        <v>710</v>
      </c>
      <c r="W4" s="8">
        <f t="shared" ref="W4:W5" si="5">T4/V4</f>
        <v>11.309859154929578</v>
      </c>
      <c r="X4" s="21">
        <v>0</v>
      </c>
      <c r="Y4" s="22">
        <v>7</v>
      </c>
      <c r="Z4" s="21">
        <v>2</v>
      </c>
      <c r="AA4" s="22">
        <v>5</v>
      </c>
      <c r="AB4" s="21">
        <v>7</v>
      </c>
      <c r="AC4" s="22">
        <f>5+1/21+1/21+1/21+1/21+1/21</f>
        <v>5.2380952380952372</v>
      </c>
      <c r="AD4" s="21">
        <v>4</v>
      </c>
      <c r="AE4" s="9">
        <v>645</v>
      </c>
      <c r="AF4" s="9">
        <v>1496</v>
      </c>
      <c r="AG4" s="23">
        <f ca="1">(AD4+1+(LOG(I4)*4/3)+N4)*(Q4/7)^0.5</f>
        <v>4.835746670069538</v>
      </c>
      <c r="AH4" s="23">
        <f ca="1">(AD4+1+N4+(LOG(I4)*4/3))*(IF(Q4=7, (Q4/7)^0.5, ((Q4+1)/7)^0.5))</f>
        <v>5.2972950671551553</v>
      </c>
      <c r="AI4" s="120">
        <f ca="1">(Z4+N4+(LOG(I4)*4/3))*(Q4/7)^0.5</f>
        <v>2.3002839058839877</v>
      </c>
      <c r="AJ4" s="120">
        <f ca="1">(Z4+N4+(LOG(I4)*4/3))*(IF(Q4=7, (Q4/7)^0.5, ((Q4+1)/7)^0.5))</f>
        <v>2.5198347678375006</v>
      </c>
      <c r="AK4" s="8">
        <f ca="1">(((Y4+LOG(I4)*4/3+N4)+(AB4+LOG(I4)*4/3+N4)*2)/8)*(Q4/7)^0.5</f>
        <v>2.4472706923224639</v>
      </c>
      <c r="AL4" s="8">
        <f ca="1">(AD4+LOG(I4)*4/3+N4)*0.7+(AC4+LOG(I4)*4/3+N4)*0.3</f>
        <v>5.0931611936265071</v>
      </c>
      <c r="AM4" s="8">
        <f ca="1">(0.5*(AC4+LOG(I4)*4/3+N4)+ 0.3*(AD4+LOG(I4)*4/3+N4))/10</f>
        <v>0.43964337168059675</v>
      </c>
      <c r="AN4" s="8">
        <f ca="1">(0.4*(Y4+LOG(I4)*4/3+N4)+0.3*(AD4+LOG(I4)*4/3+N4))/10</f>
        <v>0.45052128355385557</v>
      </c>
      <c r="AO4" s="20">
        <v>4</v>
      </c>
      <c r="AP4" s="20">
        <v>1</v>
      </c>
      <c r="AQ4" s="20">
        <v>2</v>
      </c>
      <c r="AR4" s="129">
        <f t="shared" ref="AR4:AR5" si="6">IF(AP4=4,IF(AQ4=0,0.137+0.0697,0.137+0.02),IF(AP4=3,IF(AQ4=0,0.0958+0.0697,0.0958+0.02),IF(AP4=2,IF(AQ4=0,0.0415+0.0697,0.0415+0.02),IF(AP4=1,IF(AQ4=0,0.0294+0.0697,0.0294+0.02),IF(AP4=0,IF(AQ4=0,0.0063+0.0697,0.0063+0.02))))))</f>
        <v>4.9399999999999999E-2</v>
      </c>
      <c r="AS4">
        <v>8040</v>
      </c>
    </row>
    <row r="5" spans="1:45" x14ac:dyDescent="0.25">
      <c r="A5" s="15" t="s">
        <v>369</v>
      </c>
      <c r="B5" s="15" t="s">
        <v>370</v>
      </c>
      <c r="C5" s="121">
        <f t="shared" ref="C5" ca="1" si="7">((33*112)-(E5*112)-(F5))/112</f>
        <v>15.160714285714286</v>
      </c>
      <c r="D5" s="215" t="s">
        <v>306</v>
      </c>
      <c r="E5" s="16">
        <v>17</v>
      </c>
      <c r="F5" s="2">
        <f ca="1">8-159+16-570-5+D2-D1-2-12-49+9-11+44-40</f>
        <v>94</v>
      </c>
      <c r="G5" s="18" t="s">
        <v>177</v>
      </c>
      <c r="H5" s="4">
        <v>3</v>
      </c>
      <c r="I5" s="27">
        <v>1</v>
      </c>
      <c r="J5" s="22">
        <f t="shared" ref="J5" si="8">LOG(I5)*4/3</f>
        <v>0</v>
      </c>
      <c r="K5" s="6">
        <f t="shared" si="0"/>
        <v>9</v>
      </c>
      <c r="L5" s="6">
        <f t="shared" si="1"/>
        <v>16</v>
      </c>
      <c r="M5" s="130">
        <v>43046</v>
      </c>
      <c r="N5" s="131">
        <f t="shared" ref="N5" ca="1" si="9">IF((TODAY()-M5)&gt;335,1,((TODAY()-M5)^0.64)/(336^0.64))</f>
        <v>0.42114842817984777</v>
      </c>
      <c r="O5" s="19">
        <v>4.2</v>
      </c>
      <c r="P5" s="20">
        <f t="shared" si="2"/>
        <v>61</v>
      </c>
      <c r="Q5" s="26">
        <v>5</v>
      </c>
      <c r="R5" s="115">
        <f t="shared" si="3"/>
        <v>0.84515425472851657</v>
      </c>
      <c r="S5" s="115">
        <f t="shared" si="4"/>
        <v>0.92504826128926143</v>
      </c>
      <c r="T5" s="29">
        <v>500</v>
      </c>
      <c r="U5" s="29">
        <f t="shared" ref="U5" si="10">T5-AS5</f>
        <v>-40</v>
      </c>
      <c r="V5" s="29">
        <v>250</v>
      </c>
      <c r="W5" s="8">
        <f t="shared" si="5"/>
        <v>2</v>
      </c>
      <c r="X5" s="21">
        <v>0</v>
      </c>
      <c r="Y5" s="22">
        <v>4</v>
      </c>
      <c r="Z5" s="21">
        <v>4</v>
      </c>
      <c r="AA5" s="22">
        <v>3</v>
      </c>
      <c r="AB5" s="21">
        <f>4+0.25+(0.25*0.16*3/90)+0.25*3/90*0.16</f>
        <v>4.2526666666666664</v>
      </c>
      <c r="AC5" s="22">
        <f>3+1/15+1/15+1/15</f>
        <v>3.2000000000000006</v>
      </c>
      <c r="AD5" s="21">
        <v>0.4</v>
      </c>
      <c r="AE5" s="9">
        <v>360</v>
      </c>
      <c r="AF5" s="9">
        <v>1991</v>
      </c>
      <c r="AG5" s="23">
        <f t="shared" ref="AG5" ca="1" si="11">(AD5+1+(LOG(I5)*4/3)+N5)*(Q5/7)^0.5</f>
        <v>1.5391513425683485</v>
      </c>
      <c r="AH5" s="23">
        <f t="shared" ref="AH5" ca="1" si="12">(AD5+1+N5+(LOG(I5)*4/3))*(IF(Q5=7, (Q5/7)^0.5, ((Q5+1)/7)^0.5))</f>
        <v>1.6860558194780917</v>
      </c>
      <c r="AI5" s="120">
        <f t="shared" ref="AI5" ca="1" si="13">(Z5+N5+(LOG(I5)*4/3))*(Q5/7)^0.5</f>
        <v>3.7365524048624916</v>
      </c>
      <c r="AJ5" s="120">
        <f t="shared" ref="AJ5" ca="1" si="14">(Z5+N5+(LOG(I5)*4/3))*(IF(Q5=7, (Q5/7)^0.5, ((Q5+1)/7)^0.5))</f>
        <v>4.0931880788867252</v>
      </c>
      <c r="AK5" s="8">
        <f t="shared" ref="AK5" ca="1" si="15">(((Y5+LOG(I5)*4/3+N5)+(AB5+LOG(I5)*4/3+N5)*2)/8)*(Q5/7)^0.5</f>
        <v>1.4545927289137857</v>
      </c>
      <c r="AL5" s="8">
        <f t="shared" ref="AL5" ca="1" si="16">(AD5+LOG(I5)*4/3+N5)*0.7+(AC5+LOG(I5)*4/3+N5)*0.3</f>
        <v>1.6611484281798479</v>
      </c>
      <c r="AM5" s="8">
        <f t="shared" ref="AM5" ca="1" si="17">(0.5*(AC5+LOG(I5)*4/3+N5)+ 0.3*(AD5+LOG(I5)*4/3+N5))/10</f>
        <v>0.20569187425438784</v>
      </c>
      <c r="AN5" s="8">
        <f t="shared" ref="AN5" ca="1" si="18">(0.4*(Y5+LOG(I5)*4/3+N5)+0.3*(AD5+LOG(I5)*4/3+N5))/10</f>
        <v>0.20148038997258935</v>
      </c>
      <c r="AO5" s="20">
        <v>1</v>
      </c>
      <c r="AP5" s="20">
        <v>1</v>
      </c>
      <c r="AQ5" s="20">
        <v>3</v>
      </c>
      <c r="AR5" s="129">
        <f t="shared" si="6"/>
        <v>4.9399999999999999E-2</v>
      </c>
      <c r="AS5">
        <v>540</v>
      </c>
    </row>
    <row r="6" spans="1:45" x14ac:dyDescent="0.25">
      <c r="A6" s="15" t="s">
        <v>39</v>
      </c>
      <c r="B6" s="15" t="s">
        <v>370</v>
      </c>
      <c r="C6" s="121">
        <f ca="1">((33*112)-(E6*112)-(F6))/112</f>
        <v>15.633928571428571</v>
      </c>
      <c r="D6" s="215" t="s">
        <v>451</v>
      </c>
      <c r="E6" s="16">
        <v>17</v>
      </c>
      <c r="F6" s="17">
        <f ca="1">72+D2-D1-112-112-112-112-112+17-112-112+10-112-27</f>
        <v>41</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1370</v>
      </c>
      <c r="U6" s="29">
        <f>T6-AS6</f>
        <v>0</v>
      </c>
      <c r="V6" s="29">
        <v>470</v>
      </c>
      <c r="W6" s="8">
        <f>T6/V6</f>
        <v>2.9148936170212765</v>
      </c>
      <c r="X6" s="21">
        <v>0</v>
      </c>
      <c r="Y6" s="22">
        <v>5</v>
      </c>
      <c r="Z6" s="21">
        <v>6.7</v>
      </c>
      <c r="AA6" s="22">
        <v>3</v>
      </c>
      <c r="AB6" s="21">
        <v>2</v>
      </c>
      <c r="AC6" s="22">
        <f>3+1/15+1/15+1/15+1/15+1/15*80/90</f>
        <v>3.3259259259259268</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3.9529680246554113</v>
      </c>
      <c r="AM6" s="8">
        <f>(0.5*(AC6+LOG(I6)*4/3+N6)+ 0.3*(AD6+LOG(I6)*4/3+N6))/10</f>
        <v>0.35071151604650702</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1370</v>
      </c>
    </row>
    <row r="7" spans="1:45" x14ac:dyDescent="0.25">
      <c r="A7" s="15" t="s">
        <v>41</v>
      </c>
      <c r="B7" s="15" t="s">
        <v>194</v>
      </c>
      <c r="C7" s="121">
        <f ca="1">((33*112)-(E7*112)-(F7))/112</f>
        <v>15.133928571428571</v>
      </c>
      <c r="D7" s="226" t="s">
        <v>308</v>
      </c>
      <c r="E7" s="16">
        <v>17</v>
      </c>
      <c r="F7" s="2">
        <f ca="1">8-159+16-570-5+D2-D1-2-31-25</f>
        <v>97</v>
      </c>
      <c r="G7" s="18" t="s">
        <v>296</v>
      </c>
      <c r="H7" s="40">
        <v>6</v>
      </c>
      <c r="I7" s="27">
        <v>1.4</v>
      </c>
      <c r="J7" s="22">
        <f>LOG(I7)*4/3</f>
        <v>0.19483738090431735</v>
      </c>
      <c r="K7" s="6">
        <f>(H7)*(H7)*(I7)</f>
        <v>50.4</v>
      </c>
      <c r="L7" s="6">
        <f>(H7+1)*(H7+1)*I7</f>
        <v>68.599999999999994</v>
      </c>
      <c r="M7" s="130">
        <v>43051</v>
      </c>
      <c r="N7" s="131">
        <f ca="1">IF((TODAY()-M7)&gt;335,1,((TODAY()-M7)^0.64)/(336^0.64))</f>
        <v>0.40549334227153849</v>
      </c>
      <c r="O7" s="19">
        <v>5</v>
      </c>
      <c r="P7" s="20">
        <f>O7*10+19</f>
        <v>69</v>
      </c>
      <c r="Q7" s="26">
        <v>6</v>
      </c>
      <c r="R7" s="115">
        <f>(Q7/7)^0.5</f>
        <v>0.92582009977255142</v>
      </c>
      <c r="S7" s="115">
        <f>IF(Q7=7,1,((Q7+0.99)/7)^0.5)</f>
        <v>0.99928545900129484</v>
      </c>
      <c r="T7" s="29">
        <v>2610</v>
      </c>
      <c r="U7" s="29">
        <f>T7-AS7</f>
        <v>190</v>
      </c>
      <c r="V7" s="29">
        <v>330</v>
      </c>
      <c r="W7" s="8">
        <f>T7/V7</f>
        <v>7.9090909090909092</v>
      </c>
      <c r="X7" s="21">
        <v>0</v>
      </c>
      <c r="Y7" s="22">
        <v>6</v>
      </c>
      <c r="Z7" s="21">
        <v>3</v>
      </c>
      <c r="AA7" s="22">
        <v>3</v>
      </c>
      <c r="AB7" s="21">
        <f>5+0.2+0.2</f>
        <v>5.4</v>
      </c>
      <c r="AC7" s="22">
        <f>3.34+0.34+0.33+0.33+0.33+0.33+0.33</f>
        <v>5.33</v>
      </c>
      <c r="AD7" s="21">
        <v>3</v>
      </c>
      <c r="AE7" s="9">
        <v>507</v>
      </c>
      <c r="AF7" s="9">
        <v>2020</v>
      </c>
      <c r="AG7" s="23">
        <f t="shared" ref="AG7:AG19" ca="1" si="19">(AD7+1+(LOG(I7)*4/3)+N7)*(Q7/7)^0.5</f>
        <v>4.259078649117404</v>
      </c>
      <c r="AH7" s="23">
        <f t="shared" ref="AH7:AH19" ca="1" si="20">(AD7+1+N7+(LOG(I7)*4/3))*(IF(Q7=7, (Q7/7)^0.5, ((Q7+1)/7)^0.5))</f>
        <v>4.6003307231758557</v>
      </c>
      <c r="AI7" s="120">
        <f t="shared" ref="AI7:AI19" ca="1" si="21">(Z7+N7+(LOG(I7)*4/3))*(Q7/7)^0.5</f>
        <v>3.333258549344853</v>
      </c>
      <c r="AJ7" s="120">
        <f t="shared" ref="AJ7:AJ19" ca="1" si="22">(Z7+N7+(LOG(I7)*4/3))*(IF(Q7=7, (Q7/7)^0.5, ((Q7+1)/7)^0.5))</f>
        <v>3.6003307231758557</v>
      </c>
      <c r="AK7" s="8">
        <f t="shared" ref="AK7:AK19" ca="1" si="23">(((Y7+LOG(I7)*4/3+N7)+(AB7+LOG(I7)*4/3+N7)*2)/8)*(Q7/7)^0.5</f>
        <v>2.1526465532825578</v>
      </c>
      <c r="AL7" s="8">
        <f t="shared" ref="AL7:AL19" ca="1" si="24">(AD7+LOG(I7)*4/3+N7)*0.7+(AC7+LOG(I7)*4/3+N7)*0.3</f>
        <v>4.2993307231758564</v>
      </c>
      <c r="AM7" s="8">
        <f t="shared" ref="AM7:AM19" ca="1" si="25">(0.5*(AC7+LOG(I7)*4/3+N7)+ 0.3*(AD7+LOG(I7)*4/3+N7))/10</f>
        <v>0.40452645785406849</v>
      </c>
      <c r="AN7" s="8">
        <f t="shared" ref="AN7:AN19" ca="1" si="26">(0.4*(Y7+LOG(I7)*4/3+N7)+0.3*(AD7+LOG(I7)*4/3+N7))/10</f>
        <v>0.37202315062230989</v>
      </c>
      <c r="AO7" s="20">
        <v>2</v>
      </c>
      <c r="AP7" s="20">
        <v>2</v>
      </c>
      <c r="AQ7" s="20">
        <v>1</v>
      </c>
      <c r="AR7" s="129">
        <f>IF(AP7=4,IF(AQ7=0,0.137+0.0697,0.137+0.02),IF(AP7=3,IF(AQ7=0,0.0958+0.0697,0.0958+0.02),IF(AP7=2,IF(AQ7=0,0.0415+0.0697,0.0415+0.02),IF(AP7=1,IF(AQ7=0,0.0294+0.0697,0.0294+0.02),IF(AP7=0,IF(AQ7=0,0.0063+0.0697,0.0063+0.02))))))</f>
        <v>6.1499999999999999E-2</v>
      </c>
      <c r="AS7">
        <v>2420</v>
      </c>
    </row>
    <row r="8" spans="1:45" x14ac:dyDescent="0.25">
      <c r="A8" s="15" t="s">
        <v>38</v>
      </c>
      <c r="B8" s="15" t="s">
        <v>194</v>
      </c>
      <c r="C8" s="121">
        <f ca="1">((33*112)-(E8*112)-(F8))/112</f>
        <v>15.044642857142858</v>
      </c>
      <c r="D8" s="226" t="s">
        <v>382</v>
      </c>
      <c r="E8" s="16">
        <v>17</v>
      </c>
      <c r="F8" s="2">
        <f ca="1">8-159+16-570-5+D2-D1-2-31-15</f>
        <v>107</v>
      </c>
      <c r="G8" s="18" t="s">
        <v>70</v>
      </c>
      <c r="H8" s="4">
        <v>0</v>
      </c>
      <c r="I8" s="27">
        <v>1.5</v>
      </c>
      <c r="J8" s="22">
        <f>LOG(I8)*4/3</f>
        <v>0.23478834540757498</v>
      </c>
      <c r="K8" s="6">
        <f>(H8)*(H8)*(I8)</f>
        <v>0</v>
      </c>
      <c r="L8" s="6">
        <f>(H8+1)*(H8+1)*I8</f>
        <v>1.5</v>
      </c>
      <c r="M8" s="130">
        <v>43081</v>
      </c>
      <c r="N8" s="131">
        <f ca="1">IF((TODAY()-M8)&gt;335,1,((TODAY()-M8)^0.64)/(336^0.64))</f>
        <v>0.30295979789674227</v>
      </c>
      <c r="O8" s="19">
        <v>3.5</v>
      </c>
      <c r="P8" s="20">
        <f>O8*10+19</f>
        <v>54</v>
      </c>
      <c r="Q8" s="26">
        <v>7</v>
      </c>
      <c r="R8" s="115">
        <f>(Q8/7)^0.5</f>
        <v>1</v>
      </c>
      <c r="S8" s="115">
        <f>IF(Q8=7,1,((Q8+0.99)/7)^0.5)</f>
        <v>1</v>
      </c>
      <c r="T8" s="29">
        <v>6440</v>
      </c>
      <c r="U8" s="29">
        <f>T8-AS8</f>
        <v>370</v>
      </c>
      <c r="V8" s="29">
        <v>370</v>
      </c>
      <c r="W8" s="8">
        <f>T8/V8</f>
        <v>17.405405405405407</v>
      </c>
      <c r="X8" s="21">
        <v>0</v>
      </c>
      <c r="Y8" s="22">
        <v>6</v>
      </c>
      <c r="Z8" s="21">
        <v>5</v>
      </c>
      <c r="AA8" s="22">
        <v>6</v>
      </c>
      <c r="AB8" s="21">
        <f>5.8+0.2</f>
        <v>6</v>
      </c>
      <c r="AC8" s="22">
        <f>5+0.34+0.33+0.33+0.25+0.25</f>
        <v>6.5</v>
      </c>
      <c r="AD8" s="21">
        <v>0</v>
      </c>
      <c r="AE8" s="9">
        <v>690</v>
      </c>
      <c r="AF8" s="9">
        <v>2197</v>
      </c>
      <c r="AG8" s="23">
        <f t="shared" ca="1" si="19"/>
        <v>1.5377481433043172</v>
      </c>
      <c r="AH8" s="23">
        <f t="shared" ca="1" si="20"/>
        <v>1.5377481433043172</v>
      </c>
      <c r="AI8" s="120">
        <f t="shared" ca="1" si="21"/>
        <v>5.5377481433043165</v>
      </c>
      <c r="AJ8" s="120">
        <f t="shared" ca="1" si="22"/>
        <v>5.5377481433043165</v>
      </c>
      <c r="AK8" s="8">
        <f t="shared" ca="1" si="23"/>
        <v>2.4516555537391187</v>
      </c>
      <c r="AL8" s="8">
        <f t="shared" ca="1" si="24"/>
        <v>2.4877481433043171</v>
      </c>
      <c r="AM8" s="8">
        <f t="shared" ca="1" si="25"/>
        <v>0.36801985146434535</v>
      </c>
      <c r="AN8" s="8">
        <f t="shared" ca="1" si="26"/>
        <v>0.27764237003130221</v>
      </c>
      <c r="AO8" s="20">
        <v>1</v>
      </c>
      <c r="AP8" s="20">
        <v>2</v>
      </c>
      <c r="AQ8" s="20">
        <v>2</v>
      </c>
      <c r="AR8" s="129">
        <f>IF(AP8=4,IF(AQ8=0,0.137+0.0697,0.137+0.02),IF(AP8=3,IF(AQ8=0,0.0958+0.0697,0.0958+0.02),IF(AP8=2,IF(AQ8=0,0.0415+0.0697,0.0415+0.02),IF(AP8=1,IF(AQ8=0,0.0294+0.0697,0.0294+0.02),IF(AP8=0,IF(AQ8=0,0.0063+0.0697,0.0063+0.02))))))</f>
        <v>6.1499999999999999E-2</v>
      </c>
      <c r="AS8" s="214">
        <v>6070</v>
      </c>
    </row>
    <row r="9" spans="1:45" x14ac:dyDescent="0.25">
      <c r="A9" s="15" t="s">
        <v>364</v>
      </c>
      <c r="B9" s="24" t="s">
        <v>194</v>
      </c>
      <c r="C9" s="121">
        <f ca="1">((33*112)-(E9*112)-(F9))/112</f>
        <v>14.741071428571429</v>
      </c>
      <c r="D9" s="216" t="s">
        <v>301</v>
      </c>
      <c r="E9" s="1">
        <v>18</v>
      </c>
      <c r="F9" s="2">
        <f ca="1">8-159+16-570-5+D2-D1-2-12-112</f>
        <v>29</v>
      </c>
      <c r="G9" s="3" t="s">
        <v>70</v>
      </c>
      <c r="H9" s="4">
        <v>2</v>
      </c>
      <c r="I9" s="5">
        <v>0.5</v>
      </c>
      <c r="J9" s="22">
        <f>LOG(I9)*4/3</f>
        <v>-0.40137332755197491</v>
      </c>
      <c r="K9" s="6">
        <f>(H9)*(H9)*(I9)</f>
        <v>2</v>
      </c>
      <c r="L9" s="6">
        <f>(H9+1)*(H9+1)*I9</f>
        <v>4.5</v>
      </c>
      <c r="M9" s="130">
        <v>43046</v>
      </c>
      <c r="N9" s="131">
        <f ca="1">IF((TODAY()-M9)&gt;335,1,((TODAY()-M9)^0.64)/(336^0.64))</f>
        <v>0.42114842817984777</v>
      </c>
      <c r="O9" s="25">
        <v>5.4</v>
      </c>
      <c r="P9" s="20">
        <f>O9*10+19</f>
        <v>73</v>
      </c>
      <c r="Q9" s="26">
        <v>6</v>
      </c>
      <c r="R9" s="115">
        <f>(Q9/7)^0.5</f>
        <v>0.92582009977255142</v>
      </c>
      <c r="S9" s="115">
        <f>IF(Q9=7,1,((Q9+0.99)/7)^0.5)</f>
        <v>0.99928545900129484</v>
      </c>
      <c r="T9" s="29">
        <v>2400</v>
      </c>
      <c r="U9" s="29">
        <f>T9-AS9</f>
        <v>60</v>
      </c>
      <c r="V9" s="7">
        <v>450</v>
      </c>
      <c r="W9" s="8">
        <f>T9/V9</f>
        <v>5.333333333333333</v>
      </c>
      <c r="X9" s="21">
        <v>0</v>
      </c>
      <c r="Y9" s="22">
        <v>6</v>
      </c>
      <c r="Z9" s="21">
        <v>4</v>
      </c>
      <c r="AA9" s="22">
        <v>4</v>
      </c>
      <c r="AB9" s="21">
        <f>2.67+0.33+0.33*0.16+0.25</f>
        <v>3.3028</v>
      </c>
      <c r="AC9" s="22">
        <f>3.27+0.33+1/15+1/15+1/15+1/15+1/15+1/15</f>
        <v>4.0000000000000009</v>
      </c>
      <c r="AD9" s="21">
        <v>6</v>
      </c>
      <c r="AE9" s="9">
        <v>488</v>
      </c>
      <c r="AF9" s="9">
        <v>1928</v>
      </c>
      <c r="AG9" s="23">
        <f t="shared" ca="1" si="19"/>
        <v>6.4990488840441687</v>
      </c>
      <c r="AH9" s="23">
        <f t="shared" ca="1" si="20"/>
        <v>7.0197751006278724</v>
      </c>
      <c r="AI9" s="120">
        <f t="shared" ca="1" si="21"/>
        <v>3.7215885847265149</v>
      </c>
      <c r="AJ9" s="120">
        <f t="shared" ca="1" si="22"/>
        <v>4.0197751006278724</v>
      </c>
      <c r="AK9" s="8">
        <f t="shared" ca="1" si="23"/>
        <v>1.465680300825225</v>
      </c>
      <c r="AL9" s="8">
        <f t="shared" ca="1" si="24"/>
        <v>5.4197751006278727</v>
      </c>
      <c r="AM9" s="8">
        <f t="shared" ca="1" si="25"/>
        <v>0.38158200805022985</v>
      </c>
      <c r="AN9" s="8">
        <f t="shared" ca="1" si="26"/>
        <v>0.42138425704395105</v>
      </c>
      <c r="AO9" s="20">
        <v>2</v>
      </c>
      <c r="AP9" s="20">
        <v>0</v>
      </c>
      <c r="AQ9" s="20">
        <v>3</v>
      </c>
      <c r="AR9" s="129">
        <f>IF(AP9=4,IF(AQ9=0,0.137+0.0697,0.137+0.02),IF(AP9=3,IF(AQ9=0,0.0958+0.0697,0.0958+0.02),IF(AP9=2,IF(AQ9=0,0.0415+0.0697,0.0415+0.02),IF(AP9=1,IF(AQ9=0,0.0294+0.0697,0.0294+0.02),IF(AP9=0,IF(AQ9=0,0.0063+0.0697,0.0063+0.02))))))</f>
        <v>2.63E-2</v>
      </c>
      <c r="AS9">
        <v>2340</v>
      </c>
    </row>
    <row r="10" spans="1:45" x14ac:dyDescent="0.25">
      <c r="A10" s="15" t="s">
        <v>309</v>
      </c>
      <c r="B10" s="15" t="s">
        <v>194</v>
      </c>
      <c r="C10" s="121">
        <f t="shared" ref="C10:C11" ca="1" si="27">((33*112)-(E10*112)-(F10))/112</f>
        <v>15.169642857142858</v>
      </c>
      <c r="D10" s="216" t="s">
        <v>299</v>
      </c>
      <c r="E10" s="1">
        <v>17</v>
      </c>
      <c r="F10" s="2">
        <f ca="1">8-159+16-570-5+D2-D1-2-60</f>
        <v>93</v>
      </c>
      <c r="G10" s="3" t="s">
        <v>296</v>
      </c>
      <c r="H10" s="4">
        <v>3</v>
      </c>
      <c r="I10" s="5">
        <v>1.3</v>
      </c>
      <c r="J10" s="22">
        <f t="shared" ref="J10:J11" si="28">LOG(I10)*4/3</f>
        <v>0.15192446974244905</v>
      </c>
      <c r="K10" s="6">
        <f t="shared" ref="K10:K12" si="29">(H10)*(H10)*(I10)</f>
        <v>11.700000000000001</v>
      </c>
      <c r="L10" s="6">
        <f t="shared" ref="L10:L12" si="30">(H10+1)*(H10+1)*I10</f>
        <v>20.8</v>
      </c>
      <c r="M10" s="130">
        <v>43045</v>
      </c>
      <c r="N10" s="131">
        <f t="shared" ref="N10:N11" ca="1" si="31">IF((TODAY()-M10)&gt;335,1,((TODAY()-M10)^0.64)/(336^0.64))</f>
        <v>0.42424015486581296</v>
      </c>
      <c r="O10" s="25">
        <v>5</v>
      </c>
      <c r="P10" s="20">
        <f t="shared" ref="P10:P12" si="32">O10*10+19</f>
        <v>69</v>
      </c>
      <c r="Q10" s="26">
        <v>5</v>
      </c>
      <c r="R10" s="115">
        <f t="shared" ref="R10:R11" si="33">(Q10/7)^0.5</f>
        <v>0.84515425472851657</v>
      </c>
      <c r="S10" s="115">
        <f t="shared" ref="S10:S11" si="34">IF(Q10=7,1,((Q10+0.99)/7)^0.5)</f>
        <v>0.92504826128926143</v>
      </c>
      <c r="T10" s="29">
        <v>1070</v>
      </c>
      <c r="U10" s="29">
        <f t="shared" ref="U10:U11" si="35">T10-AS10</f>
        <v>-90</v>
      </c>
      <c r="V10" s="7">
        <v>330</v>
      </c>
      <c r="W10" s="8">
        <f t="shared" ref="W10:W12" si="36">T10/V10</f>
        <v>3.2424242424242422</v>
      </c>
      <c r="X10" s="21">
        <v>0</v>
      </c>
      <c r="Y10" s="22">
        <v>5</v>
      </c>
      <c r="Z10" s="21">
        <v>3</v>
      </c>
      <c r="AA10" s="22">
        <v>4</v>
      </c>
      <c r="AB10" s="21">
        <f>2+(0.33*0.16)+0.33+(0.33*0.16)</f>
        <v>2.4356</v>
      </c>
      <c r="AC10" s="22">
        <f>3.73+1/15+1/15+1/15+1/15+1/15+1/15+1/15</f>
        <v>4.1966666666666672</v>
      </c>
      <c r="AD10" s="21">
        <v>3</v>
      </c>
      <c r="AE10" s="9">
        <v>381</v>
      </c>
      <c r="AF10" s="9">
        <v>1920</v>
      </c>
      <c r="AG10" s="23">
        <f t="shared" ca="1" si="19"/>
        <v>3.8675650028257968</v>
      </c>
      <c r="AH10" s="23">
        <f t="shared" ca="1" si="20"/>
        <v>4.2367051893304408</v>
      </c>
      <c r="AI10" s="120">
        <f t="shared" ca="1" si="21"/>
        <v>3.0224107480972808</v>
      </c>
      <c r="AJ10" s="120">
        <f t="shared" ca="1" si="22"/>
        <v>3.3108850895578898</v>
      </c>
      <c r="AK10" s="8">
        <f t="shared" ca="1" si="23"/>
        <v>1.2254413288764157</v>
      </c>
      <c r="AL10" s="8">
        <f t="shared" ca="1" si="24"/>
        <v>3.9351646246082614</v>
      </c>
      <c r="AM10" s="8">
        <f t="shared" ca="1" si="25"/>
        <v>0.34592650330199426</v>
      </c>
      <c r="AN10" s="8">
        <f t="shared" ca="1" si="26"/>
        <v>0.33033152372257835</v>
      </c>
      <c r="AO10" s="20">
        <v>3</v>
      </c>
      <c r="AP10" s="20">
        <v>1</v>
      </c>
      <c r="AQ10" s="20">
        <v>2</v>
      </c>
      <c r="AR10" s="129">
        <f t="shared" ref="AR10:AR11" si="37">IF(AP10=4,IF(AQ10=0,0.137+0.0697,0.137+0.02),IF(AP10=3,IF(AQ10=0,0.0958+0.0697,0.0958+0.02),IF(AP10=2,IF(AQ10=0,0.0415+0.0697,0.0415+0.02),IF(AP10=1,IF(AQ10=0,0.0294+0.0697,0.0294+0.02),IF(AP10=0,IF(AQ10=0,0.0063+0.0697,0.0063+0.02))))))</f>
        <v>4.9399999999999999E-2</v>
      </c>
      <c r="AS10">
        <v>1160</v>
      </c>
    </row>
    <row r="11" spans="1:45" x14ac:dyDescent="0.25">
      <c r="A11" s="15" t="s">
        <v>33</v>
      </c>
      <c r="B11" s="15" t="s">
        <v>194</v>
      </c>
      <c r="C11" s="121">
        <f t="shared" ca="1" si="27"/>
        <v>15.482142857142858</v>
      </c>
      <c r="D11" s="226" t="s">
        <v>566</v>
      </c>
      <c r="E11" s="1">
        <v>17</v>
      </c>
      <c r="F11" s="2">
        <f ca="1">58++D2-D1-112-112-112-112-112-112-112-81</f>
        <v>58</v>
      </c>
      <c r="G11" s="3" t="s">
        <v>45</v>
      </c>
      <c r="H11" s="4">
        <v>3</v>
      </c>
      <c r="I11" s="5">
        <v>1.2</v>
      </c>
      <c r="J11" s="22">
        <f t="shared" si="28"/>
        <v>0.10557499473016642</v>
      </c>
      <c r="K11" s="6">
        <f t="shared" si="29"/>
        <v>10.799999999999999</v>
      </c>
      <c r="L11" s="6">
        <f t="shared" si="30"/>
        <v>19.2</v>
      </c>
      <c r="M11" s="130">
        <v>43122</v>
      </c>
      <c r="N11" s="131">
        <f t="shared" ca="1" si="31"/>
        <v>0.11210737430592951</v>
      </c>
      <c r="O11" s="25">
        <v>3.7</v>
      </c>
      <c r="P11" s="20">
        <f t="shared" si="32"/>
        <v>56</v>
      </c>
      <c r="Q11" s="26">
        <v>7</v>
      </c>
      <c r="R11" s="115">
        <f t="shared" si="33"/>
        <v>1</v>
      </c>
      <c r="S11" s="115">
        <f t="shared" si="34"/>
        <v>1</v>
      </c>
      <c r="T11" s="29">
        <v>3840</v>
      </c>
      <c r="U11" s="29">
        <f t="shared" si="35"/>
        <v>200</v>
      </c>
      <c r="V11" s="7">
        <v>410</v>
      </c>
      <c r="W11" s="8">
        <f t="shared" si="36"/>
        <v>9.3658536585365848</v>
      </c>
      <c r="X11" s="21">
        <v>0</v>
      </c>
      <c r="Y11" s="22">
        <v>6</v>
      </c>
      <c r="Z11" s="21">
        <v>3</v>
      </c>
      <c r="AA11" s="22">
        <v>3</v>
      </c>
      <c r="AB11" s="21">
        <v>6</v>
      </c>
      <c r="AC11" s="22">
        <f>4+0.25+0.25</f>
        <v>4.5</v>
      </c>
      <c r="AD11" s="21">
        <v>3</v>
      </c>
      <c r="AE11" s="9">
        <v>509</v>
      </c>
      <c r="AF11" s="9">
        <v>2080</v>
      </c>
      <c r="AG11" s="23">
        <f t="shared" ca="1" si="19"/>
        <v>4.2176823690360958</v>
      </c>
      <c r="AH11" s="23">
        <f t="shared" ca="1" si="20"/>
        <v>4.2176823690360958</v>
      </c>
      <c r="AI11" s="120">
        <f t="shared" ca="1" si="21"/>
        <v>3.2176823690360958</v>
      </c>
      <c r="AJ11" s="120">
        <f t="shared" ca="1" si="22"/>
        <v>3.2176823690360958</v>
      </c>
      <c r="AK11" s="8">
        <f t="shared" ref="AK11" ca="1" si="38">(((Y11+LOG(I11)*4/3+N11)+(AB11+LOG(I11)*4/3+N11)*2)/8)*(Q11/7)^0.5</f>
        <v>2.3316308883885357</v>
      </c>
      <c r="AL11" s="8">
        <f t="shared" ref="AL11" ca="1" si="39">(AD11+LOG(I11)*4/3+N11)*0.7+(AC11+LOG(I11)*4/3+N11)*0.3</f>
        <v>3.6676823690360956</v>
      </c>
      <c r="AM11" s="8">
        <f t="shared" ref="AM11" ca="1" si="40">(0.5*(AC11+LOG(I11)*4/3+N11)+ 0.3*(AD11+LOG(I11)*4/3+N11))/10</f>
        <v>0.33241458952288766</v>
      </c>
      <c r="AN11" s="8">
        <f t="shared" ca="1" si="26"/>
        <v>0.34523776583252669</v>
      </c>
      <c r="AO11" s="20">
        <v>2</v>
      </c>
      <c r="AP11" s="20">
        <v>0</v>
      </c>
      <c r="AQ11" s="20">
        <v>2</v>
      </c>
      <c r="AR11" s="129">
        <f t="shared" si="37"/>
        <v>2.63E-2</v>
      </c>
      <c r="AS11" s="193">
        <v>3640</v>
      </c>
    </row>
    <row r="12" spans="1:45" x14ac:dyDescent="0.25">
      <c r="A12" s="15" t="s">
        <v>35</v>
      </c>
      <c r="B12" s="15" t="s">
        <v>194</v>
      </c>
      <c r="C12" s="121">
        <f ca="1">((33*112)-(E12*112)-(F12))/112</f>
        <v>15.357142857142858</v>
      </c>
      <c r="D12" s="226" t="s">
        <v>452</v>
      </c>
      <c r="E12" s="16">
        <v>17</v>
      </c>
      <c r="F12" s="2">
        <f ca="1">-35+D2-D1-67-112-112-112+87-112-112-112-112+6</f>
        <v>72</v>
      </c>
      <c r="G12" s="18" t="s">
        <v>45</v>
      </c>
      <c r="H12" s="40">
        <v>6</v>
      </c>
      <c r="I12" s="27">
        <v>1.1000000000000001</v>
      </c>
      <c r="J12" s="22">
        <f>LOG(I12)*4/3</f>
        <v>5.5190246877633437E-2</v>
      </c>
      <c r="K12" s="6">
        <f t="shared" si="29"/>
        <v>39.6</v>
      </c>
      <c r="L12" s="6">
        <f t="shared" si="30"/>
        <v>53.900000000000006</v>
      </c>
      <c r="M12" s="130">
        <v>43097</v>
      </c>
      <c r="N12" s="131">
        <f ca="1">IF((TODAY()-M12)&gt;335,1,((TODAY()-M12)^0.64)/(336^0.64))</f>
        <v>0.23942884084114555</v>
      </c>
      <c r="O12" s="25">
        <v>3.5</v>
      </c>
      <c r="P12" s="20">
        <f t="shared" si="32"/>
        <v>54</v>
      </c>
      <c r="Q12" s="20">
        <v>5</v>
      </c>
      <c r="R12" s="115">
        <f>(Q12/7)^0.5</f>
        <v>0.84515425472851657</v>
      </c>
      <c r="S12" s="115">
        <f>IF(Q12=7,1,((Q12+0.99)/7)^0.5)</f>
        <v>0.92504826128926143</v>
      </c>
      <c r="T12" s="29">
        <v>1470</v>
      </c>
      <c r="U12" s="29">
        <f>T12-AS12</f>
        <v>260</v>
      </c>
      <c r="V12" s="29">
        <v>350</v>
      </c>
      <c r="W12" s="8">
        <f t="shared" si="36"/>
        <v>4.2</v>
      </c>
      <c r="X12" s="21">
        <v>0</v>
      </c>
      <c r="Y12" s="22">
        <v>6</v>
      </c>
      <c r="Z12" s="21">
        <v>3</v>
      </c>
      <c r="AA12" s="22">
        <v>3</v>
      </c>
      <c r="AB12" s="21">
        <v>3</v>
      </c>
      <c r="AC12" s="22">
        <f>5.19+0.25+0.25+1/17+0.25</f>
        <v>5.9988235294117649</v>
      </c>
      <c r="AD12" s="21">
        <v>4</v>
      </c>
      <c r="AE12" s="9">
        <v>497</v>
      </c>
      <c r="AF12" s="9">
        <v>2036</v>
      </c>
      <c r="AG12" s="23">
        <f ca="1">(AD12+1+(LOG(I12)*4/3)+N12)*(Q12/7)^0.5</f>
        <v>4.4747698491523424</v>
      </c>
      <c r="AH12" s="23">
        <f ca="1">(AD12+1+N12+(LOG(I12)*4/3))*(IF(Q12=7, (Q12/7)^0.5, ((Q12+1)/7)^0.5))</f>
        <v>4.9018647720494553</v>
      </c>
      <c r="AI12" s="120">
        <f t="shared" ca="1" si="21"/>
        <v>2.7844613396953095</v>
      </c>
      <c r="AJ12" s="120">
        <f t="shared" ca="1" si="22"/>
        <v>3.050224572504352</v>
      </c>
      <c r="AK12" s="8">
        <f t="shared" ca="1" si="23"/>
        <v>1.3611058479089349</v>
      </c>
      <c r="AL12" s="8">
        <f ca="1">(AD12+LOG(I12)*4/3+N12)*0.7+(AC12+LOG(I12)*4/3+N12)*0.3</f>
        <v>4.8942661465423081</v>
      </c>
      <c r="AM12" s="8">
        <f ca="1">(0.5*(AC12+LOG(I12)*4/3+N12)+ 0.3*(AD12+LOG(I12)*4/3+N12))/10</f>
        <v>0.44351070348809057</v>
      </c>
      <c r="AN12" s="8">
        <f ca="1">(0.4*(Y12+LOG(I12)*4/3+N12)+0.3*(AD12+LOG(I12)*4/3+N12))/10</f>
        <v>0.38062333614031452</v>
      </c>
      <c r="AO12" s="20">
        <v>2</v>
      </c>
      <c r="AP12" s="20">
        <v>3</v>
      </c>
      <c r="AQ12" s="20">
        <v>1</v>
      </c>
      <c r="AR12" s="129">
        <f>IF(AP12=4,IF(AQ12=0,0.137+0.0697,0.137+0.02),IF(AP12=3,IF(AQ12=0,0.0958+0.0697,0.0958+0.02),IF(AP12=2,IF(AQ12=0,0.0415+0.0697,0.0415+0.02),IF(AP12=1,IF(AQ12=0,0.0294+0.0697,0.0294+0.02),IF(AP12=0,IF(AQ12=0,0.0063+0.0697,0.0063+0.02))))))</f>
        <v>0.1158</v>
      </c>
      <c r="AS12">
        <v>1210</v>
      </c>
    </row>
    <row r="13" spans="1:45" x14ac:dyDescent="0.25">
      <c r="A13" s="15" t="s">
        <v>293</v>
      </c>
      <c r="B13" s="15" t="s">
        <v>95</v>
      </c>
      <c r="C13" s="121">
        <f ca="1">((33*112)-(E13*112)-(F13))/112</f>
        <v>14.803571428571429</v>
      </c>
      <c r="D13" s="215" t="s">
        <v>295</v>
      </c>
      <c r="E13" s="16">
        <v>18</v>
      </c>
      <c r="F13" s="17">
        <f ca="1">8-159+16-570-5+D2-D1-2-19-112</f>
        <v>22</v>
      </c>
      <c r="G13" s="18" t="s">
        <v>296</v>
      </c>
      <c r="H13" s="4">
        <v>3</v>
      </c>
      <c r="I13" s="27">
        <v>1</v>
      </c>
      <c r="J13" s="22">
        <f>LOG(I13)*4/3</f>
        <v>0</v>
      </c>
      <c r="K13" s="6">
        <f>(H13)*(H13)*(I13)</f>
        <v>9</v>
      </c>
      <c r="L13" s="6">
        <f>(H13+1)*(H13+1)*I13</f>
        <v>16</v>
      </c>
      <c r="M13" s="130">
        <v>43045</v>
      </c>
      <c r="N13" s="131">
        <f ca="1">IF((TODAY()-M13)&gt;335,1,((TODAY()-M13)^0.64)/(336^0.64))</f>
        <v>0.42424015486581296</v>
      </c>
      <c r="O13" s="19">
        <v>5</v>
      </c>
      <c r="P13" s="20">
        <f>O13*10+19</f>
        <v>69</v>
      </c>
      <c r="Q13" s="20">
        <v>6</v>
      </c>
      <c r="R13" s="115">
        <f>(Q13/7)^0.5</f>
        <v>0.92582009977255142</v>
      </c>
      <c r="S13" s="115">
        <f>IF(Q13=7,1,((Q13+0.99)/7)^0.5)</f>
        <v>0.99928545900129484</v>
      </c>
      <c r="T13" s="29">
        <v>1670</v>
      </c>
      <c r="U13" s="29">
        <f>T13-AS13</f>
        <v>-100</v>
      </c>
      <c r="V13" s="29">
        <v>370</v>
      </c>
      <c r="W13" s="8">
        <f>T13/V13</f>
        <v>4.5135135135135132</v>
      </c>
      <c r="X13" s="21">
        <v>0</v>
      </c>
      <c r="Y13" s="22">
        <v>3</v>
      </c>
      <c r="Z13" s="21">
        <v>6</v>
      </c>
      <c r="AA13" s="22">
        <v>3</v>
      </c>
      <c r="AB13" s="21">
        <f>3.25+0.25+0.25+0.25</f>
        <v>4</v>
      </c>
      <c r="AC13" s="22">
        <f>4.22+0.33+0.33+1/17+1/17+1/17*79/90+0.33*11/90+1/17+1/17</f>
        <v>5.207261437908496</v>
      </c>
      <c r="AD13" s="21">
        <v>3</v>
      </c>
      <c r="AE13" s="9">
        <v>461</v>
      </c>
      <c r="AF13" s="9">
        <v>1941</v>
      </c>
      <c r="AG13" s="23">
        <f t="shared" ca="1" si="19"/>
        <v>4.0960504615955955</v>
      </c>
      <c r="AH13" s="23">
        <f t="shared" ca="1" si="20"/>
        <v>4.4242401548658128</v>
      </c>
      <c r="AI13" s="120">
        <f t="shared" ca="1" si="21"/>
        <v>5.9476906611406983</v>
      </c>
      <c r="AJ13" s="120">
        <f t="shared" ca="1" si="22"/>
        <v>6.4242401548658128</v>
      </c>
      <c r="AK13" s="8">
        <f t="shared" ca="1" si="23"/>
        <v>1.4202914106267792</v>
      </c>
      <c r="AL13" s="8">
        <f t="shared" ca="1" si="24"/>
        <v>4.0864185862383611</v>
      </c>
      <c r="AM13" s="8">
        <f t="shared" ca="1" si="25"/>
        <v>0.38430228428468982</v>
      </c>
      <c r="AN13" s="8">
        <f t="shared" ca="1" si="26"/>
        <v>0.23969681084060693</v>
      </c>
      <c r="AO13" s="20">
        <v>2</v>
      </c>
      <c r="AP13" s="20">
        <v>3</v>
      </c>
      <c r="AQ13" s="20">
        <v>2</v>
      </c>
      <c r="AR13" s="129">
        <f>IF(AP13=4,IF(AQ13=0,0.137+0.0697,0.137+0.02),IF(AP13=3,IF(AQ13=0,0.0958+0.0697,0.0958+0.02),IF(AP13=2,IF(AQ13=0,0.0415+0.0697,0.0415+0.02),IF(AP13=1,IF(AQ13=0,0.0294+0.0697,0.0294+0.02),IF(AP13=0,IF(AQ13=0,0.0063+0.0697,0.0063+0.02))))))</f>
        <v>0.1158</v>
      </c>
      <c r="AS13">
        <v>1770</v>
      </c>
    </row>
    <row r="14" spans="1:45" x14ac:dyDescent="0.25">
      <c r="A14" s="15" t="s">
        <v>367</v>
      </c>
      <c r="B14" s="24" t="s">
        <v>95</v>
      </c>
      <c r="C14" s="121">
        <f ca="1">((33*112)-(E14*112)-(F14))/112</f>
        <v>14.910714285714286</v>
      </c>
      <c r="D14" s="216" t="s">
        <v>300</v>
      </c>
      <c r="E14" s="1">
        <v>18</v>
      </c>
      <c r="F14" s="2">
        <f ca="1">8-159+16-570-5+D2-D1-2-31-112</f>
        <v>10</v>
      </c>
      <c r="G14" s="3" t="s">
        <v>0</v>
      </c>
      <c r="H14" s="4">
        <v>4</v>
      </c>
      <c r="I14" s="5">
        <v>0.5</v>
      </c>
      <c r="J14" s="22">
        <f>LOG(I14)*4/3</f>
        <v>-0.40137332755197491</v>
      </c>
      <c r="K14" s="6">
        <f>(H14)*(H14)*(I14)</f>
        <v>8</v>
      </c>
      <c r="L14" s="6">
        <f>(H14+1)*(H14+1)*I14</f>
        <v>12.5</v>
      </c>
      <c r="M14" s="130">
        <v>43046</v>
      </c>
      <c r="N14" s="131">
        <f ca="1">IF((TODAY()-M14)&gt;335,1,((TODAY()-M14)^0.64)/(336^0.64))</f>
        <v>0.42114842817984777</v>
      </c>
      <c r="O14" s="25">
        <v>5</v>
      </c>
      <c r="P14" s="20">
        <f>O14*10+19</f>
        <v>69</v>
      </c>
      <c r="Q14" s="26">
        <v>7</v>
      </c>
      <c r="R14" s="115">
        <f>(Q14/7)^0.5</f>
        <v>1</v>
      </c>
      <c r="S14" s="115">
        <f>IF(Q14=7,1,((Q14+0.99)/7)^0.5)</f>
        <v>1</v>
      </c>
      <c r="T14" s="29">
        <v>1270</v>
      </c>
      <c r="U14" s="29">
        <f>T14-AS14</f>
        <v>10</v>
      </c>
      <c r="V14" s="7">
        <v>350</v>
      </c>
      <c r="W14" s="8">
        <f>T14/V14</f>
        <v>3.6285714285714286</v>
      </c>
      <c r="X14" s="21">
        <v>0</v>
      </c>
      <c r="Y14" s="22">
        <v>2</v>
      </c>
      <c r="Z14" s="21">
        <v>5</v>
      </c>
      <c r="AA14" s="22">
        <v>3</v>
      </c>
      <c r="AB14" s="21">
        <f>2+(0.33*0.16)+(0.33*0.16)+(0.33*0.16)</f>
        <v>2.1583999999999999</v>
      </c>
      <c r="AC14" s="22">
        <f>5+1/20+1/20+1/20+1/20+1/20+1/20+1/20</f>
        <v>5.3499999999999988</v>
      </c>
      <c r="AD14" s="21">
        <v>5</v>
      </c>
      <c r="AE14" s="9">
        <v>367</v>
      </c>
      <c r="AF14" s="9">
        <v>1910</v>
      </c>
      <c r="AG14" s="23">
        <f t="shared" ca="1" si="19"/>
        <v>6.0197751006278724</v>
      </c>
      <c r="AH14" s="23">
        <f t="shared" ca="1" si="20"/>
        <v>6.0197751006278724</v>
      </c>
      <c r="AI14" s="120">
        <f t="shared" ca="1" si="21"/>
        <v>5.0197751006278724</v>
      </c>
      <c r="AJ14" s="120">
        <f t="shared" ca="1" si="22"/>
        <v>5.0197751006278724</v>
      </c>
      <c r="AK14" s="8">
        <f t="shared" ca="1" si="23"/>
        <v>0.79701566273545232</v>
      </c>
      <c r="AL14" s="8">
        <f t="shared" ca="1" si="24"/>
        <v>5.1247751006278719</v>
      </c>
      <c r="AM14" s="8">
        <f t="shared" ca="1" si="25"/>
        <v>0.41908200805022966</v>
      </c>
      <c r="AN14" s="8">
        <f t="shared" ca="1" si="26"/>
        <v>0.2313842570439511</v>
      </c>
      <c r="AO14" s="20">
        <v>4</v>
      </c>
      <c r="AP14" s="20">
        <v>2</v>
      </c>
      <c r="AQ14" s="20">
        <v>2</v>
      </c>
      <c r="AR14" s="129">
        <f>IF(AP14=4,IF(AQ14=0,0.137+0.0697,0.137+0.02),IF(AP14=3,IF(AQ14=0,0.0958+0.0697,0.0958+0.02),IF(AP14=2,IF(AQ14=0,0.0415+0.0697,0.0415+0.02),IF(AP14=1,IF(AQ14=0,0.0294+0.0697,0.0294+0.02),IF(AP14=0,IF(AQ14=0,0.0063+0.0697,0.0063+0.02))))))</f>
        <v>6.1499999999999999E-2</v>
      </c>
      <c r="AS14">
        <v>1260</v>
      </c>
    </row>
    <row r="15" spans="1:45" x14ac:dyDescent="0.25">
      <c r="A15" s="15" t="s">
        <v>371</v>
      </c>
      <c r="B15" s="15" t="s">
        <v>95</v>
      </c>
      <c r="C15" s="121">
        <f t="shared" ref="C15:C16" ca="1" si="41">((33*112)-(E15*112)-(F15))/112</f>
        <v>15.178571428571429</v>
      </c>
      <c r="D15" s="215" t="s">
        <v>302</v>
      </c>
      <c r="E15" s="16">
        <v>17</v>
      </c>
      <c r="F15" s="2">
        <f ca="1">8-159+16-570-5+D2-D1-2-12-49</f>
        <v>92</v>
      </c>
      <c r="G15" s="18" t="s">
        <v>177</v>
      </c>
      <c r="H15" s="4">
        <v>3</v>
      </c>
      <c r="I15" s="27">
        <v>0.5</v>
      </c>
      <c r="J15" s="22">
        <f t="shared" ref="J15:J16" si="42">LOG(I15)*4/3</f>
        <v>-0.40137332755197491</v>
      </c>
      <c r="K15" s="6">
        <f t="shared" ref="K15:K16" si="43">(H15)*(H15)*(I15)</f>
        <v>4.5</v>
      </c>
      <c r="L15" s="6">
        <f t="shared" ref="L15:L16" si="44">(H15+1)*(H15+1)*I15</f>
        <v>8</v>
      </c>
      <c r="M15" s="130">
        <v>43046</v>
      </c>
      <c r="N15" s="131">
        <f t="shared" ref="N15" ca="1" si="45">IF((TODAY()-M15)&gt;335,1,((TODAY()-M15)^0.64)/(336^0.64))</f>
        <v>0.42114842817984777</v>
      </c>
      <c r="O15" s="19">
        <v>4.0999999999999996</v>
      </c>
      <c r="P15" s="20">
        <f t="shared" ref="P15:P16" si="46">O15*10+19</f>
        <v>60</v>
      </c>
      <c r="Q15" s="26">
        <v>6</v>
      </c>
      <c r="R15" s="115">
        <f t="shared" ref="R15:R16" si="47">(Q15/7)^0.5</f>
        <v>0.92582009977255142</v>
      </c>
      <c r="S15" s="115">
        <f t="shared" ref="S15:S16" si="48">IF(Q15=7,1,((Q15+0.99)/7)^0.5)</f>
        <v>0.99928545900129484</v>
      </c>
      <c r="T15" s="29">
        <v>670</v>
      </c>
      <c r="U15" s="29">
        <f t="shared" ref="U15:U17" si="49">T15-AS15</f>
        <v>0</v>
      </c>
      <c r="V15" s="29">
        <v>270</v>
      </c>
      <c r="W15" s="8">
        <f t="shared" ref="W15:W16" si="50">T15/V15</f>
        <v>2.4814814814814814</v>
      </c>
      <c r="X15" s="21">
        <v>0</v>
      </c>
      <c r="Y15" s="22">
        <v>3</v>
      </c>
      <c r="Z15" s="21">
        <v>4</v>
      </c>
      <c r="AA15" s="22">
        <v>4</v>
      </c>
      <c r="AB15" s="21">
        <f>3+(0.25*0.16*31/90)+(0.25*0.16*3/90)</f>
        <v>3.0151111111111111</v>
      </c>
      <c r="AC15" s="22">
        <f>4+1/17+1/17+1/17</f>
        <v>4.1764705882352935</v>
      </c>
      <c r="AD15" s="21">
        <v>1.3</v>
      </c>
      <c r="AE15" s="9">
        <v>352</v>
      </c>
      <c r="AF15" s="9">
        <v>1986</v>
      </c>
      <c r="AG15" s="23">
        <f t="shared" ca="1" si="19"/>
        <v>2.1476944151131776</v>
      </c>
      <c r="AH15" s="23">
        <f t="shared" ca="1" si="20"/>
        <v>2.3197751006278726</v>
      </c>
      <c r="AI15" s="120">
        <f t="shared" ca="1" si="21"/>
        <v>3.7215885847265149</v>
      </c>
      <c r="AJ15" s="120">
        <f t="shared" ca="1" si="22"/>
        <v>4.0197751006278724</v>
      </c>
      <c r="AK15" s="8">
        <f t="shared" ca="1" si="23"/>
        <v>1.0519107244568773</v>
      </c>
      <c r="AL15" s="8">
        <f t="shared" ca="1" si="24"/>
        <v>2.1827162770984612</v>
      </c>
      <c r="AM15" s="8">
        <f t="shared" ca="1" si="25"/>
        <v>0.24940553746199451</v>
      </c>
      <c r="AN15" s="8">
        <f t="shared" ca="1" si="26"/>
        <v>0.1603842570439511</v>
      </c>
      <c r="AO15" s="20">
        <v>1</v>
      </c>
      <c r="AP15" s="20">
        <v>3</v>
      </c>
      <c r="AQ15" s="20">
        <v>1</v>
      </c>
      <c r="AR15" s="129">
        <f t="shared" ref="AR15:AR16" si="51">IF(AP15=4,IF(AQ15=0,0.137+0.0697,0.137+0.02),IF(AP15=3,IF(AQ15=0,0.0958+0.0697,0.0958+0.02),IF(AP15=2,IF(AQ15=0,0.0415+0.0697,0.0415+0.02),IF(AP15=1,IF(AQ15=0,0.0294+0.0697,0.0294+0.02),IF(AP15=0,IF(AQ15=0,0.0063+0.0697,0.0063+0.02))))))</f>
        <v>0.1158</v>
      </c>
      <c r="AS15">
        <v>670</v>
      </c>
    </row>
    <row r="16" spans="1:45" x14ac:dyDescent="0.25">
      <c r="A16" s="15" t="s">
        <v>564</v>
      </c>
      <c r="B16" s="15" t="s">
        <v>95</v>
      </c>
      <c r="C16" s="121">
        <f t="shared" ca="1" si="41"/>
        <v>13.758928571428571</v>
      </c>
      <c r="D16" s="215" t="s">
        <v>565</v>
      </c>
      <c r="E16" s="16">
        <v>19</v>
      </c>
      <c r="F16" s="2">
        <f ca="1">8-159+16-570-5+D2-D1-2-12-49-65</f>
        <v>27</v>
      </c>
      <c r="G16" s="18"/>
      <c r="H16" s="4">
        <v>5</v>
      </c>
      <c r="I16" s="27">
        <v>1</v>
      </c>
      <c r="J16" s="22">
        <f t="shared" si="42"/>
        <v>0</v>
      </c>
      <c r="K16" s="6">
        <f t="shared" si="43"/>
        <v>25</v>
      </c>
      <c r="L16" s="6">
        <f t="shared" si="44"/>
        <v>36</v>
      </c>
      <c r="M16" s="130">
        <v>43108</v>
      </c>
      <c r="N16" s="131">
        <v>1.5</v>
      </c>
      <c r="O16" s="19">
        <v>3.5</v>
      </c>
      <c r="P16" s="20">
        <f t="shared" si="46"/>
        <v>54</v>
      </c>
      <c r="Q16" s="26">
        <v>5</v>
      </c>
      <c r="R16" s="115">
        <f t="shared" si="47"/>
        <v>0.84515425472851657</v>
      </c>
      <c r="S16" s="115">
        <f t="shared" si="48"/>
        <v>0.92504826128926143</v>
      </c>
      <c r="T16" s="29">
        <v>980</v>
      </c>
      <c r="U16" s="29">
        <f t="shared" si="49"/>
        <v>10</v>
      </c>
      <c r="V16" s="29">
        <v>330</v>
      </c>
      <c r="W16" s="8">
        <f t="shared" si="50"/>
        <v>2.9696969696969697</v>
      </c>
      <c r="X16" s="21">
        <v>0</v>
      </c>
      <c r="Y16" s="22">
        <v>4</v>
      </c>
      <c r="Z16" s="21">
        <v>5</v>
      </c>
      <c r="AA16" s="22">
        <v>2</v>
      </c>
      <c r="AB16" s="21">
        <v>3</v>
      </c>
      <c r="AC16" s="22">
        <f>5+1/20+1/20+1/20</f>
        <v>5.1499999999999995</v>
      </c>
      <c r="AD16" s="21">
        <v>2</v>
      </c>
      <c r="AE16" s="9">
        <v>414</v>
      </c>
      <c r="AF16" s="9">
        <v>1728</v>
      </c>
      <c r="AG16" s="23">
        <f t="shared" si="19"/>
        <v>3.8031941462783245</v>
      </c>
      <c r="AH16" s="23">
        <f t="shared" si="20"/>
        <v>4.1661904489764812</v>
      </c>
      <c r="AI16" s="120">
        <f t="shared" si="21"/>
        <v>5.4935026557353579</v>
      </c>
      <c r="AJ16" s="120">
        <f t="shared" si="22"/>
        <v>6.017830648521584</v>
      </c>
      <c r="AK16" s="8">
        <f t="shared" ref="AK16" si="52">(((Y16+LOG(I16)*4/3+N16)+(AB16+LOG(I16)*4/3+N16)*2)/8)*(Q16/7)^0.5</f>
        <v>1.5318420866954363</v>
      </c>
      <c r="AL16" s="8">
        <f t="shared" ref="AL16" si="53">(AD16+LOG(I16)*4/3+N16)*0.7+(AC16+LOG(I16)*4/3+N16)*0.3</f>
        <v>4.4449999999999994</v>
      </c>
      <c r="AM16" s="8">
        <f t="shared" ref="AM16" si="54">(0.5*(AC16+LOG(I16)*4/3+N16)+ 0.3*(AD16+LOG(I16)*4/3+N16))/10</f>
        <v>0.4375</v>
      </c>
      <c r="AN16" s="8">
        <f t="shared" si="26"/>
        <v>0.32500000000000001</v>
      </c>
      <c r="AO16" s="20">
        <v>2</v>
      </c>
      <c r="AP16" s="20">
        <v>2</v>
      </c>
      <c r="AQ16" s="20">
        <v>2</v>
      </c>
      <c r="AR16" s="129">
        <f t="shared" si="51"/>
        <v>6.1499999999999999E-2</v>
      </c>
      <c r="AS16" s="193">
        <v>970</v>
      </c>
    </row>
    <row r="17" spans="1:45" x14ac:dyDescent="0.25">
      <c r="A17" s="15" t="s">
        <v>31</v>
      </c>
      <c r="B17" s="15" t="s">
        <v>71</v>
      </c>
      <c r="C17" s="121">
        <f ca="1">((33*112)-(E17*112)-(F17))/112</f>
        <v>15.169642857142858</v>
      </c>
      <c r="D17" s="226" t="s">
        <v>294</v>
      </c>
      <c r="E17" s="16">
        <v>17</v>
      </c>
      <c r="F17" s="17">
        <f ca="1">8-159+16-570-5+D2-D1-62</f>
        <v>93</v>
      </c>
      <c r="G17" s="18" t="s">
        <v>45</v>
      </c>
      <c r="H17" s="4">
        <v>1</v>
      </c>
      <c r="I17" s="27">
        <v>1.4</v>
      </c>
      <c r="J17" s="22">
        <f>LOG(I17)*4/3</f>
        <v>0.19483738090431735</v>
      </c>
      <c r="K17" s="6">
        <f>(H17)*(H17)*(I17)</f>
        <v>1.4</v>
      </c>
      <c r="L17" s="6">
        <f>(H17+1)*(H17+1)*I17</f>
        <v>5.6</v>
      </c>
      <c r="M17" s="130">
        <v>43046</v>
      </c>
      <c r="N17" s="131">
        <v>1.5</v>
      </c>
      <c r="O17" s="19">
        <v>5</v>
      </c>
      <c r="P17" s="20">
        <f>O17*10+19</f>
        <v>69</v>
      </c>
      <c r="Q17" s="20">
        <v>6</v>
      </c>
      <c r="R17" s="115">
        <f>(Q17/7)^0.5</f>
        <v>0.92582009977255142</v>
      </c>
      <c r="S17" s="115">
        <f>IF(Q17=7,1,((Q17+0.99)/7)^0.5)</f>
        <v>0.99928545900129484</v>
      </c>
      <c r="T17" s="29">
        <v>3610</v>
      </c>
      <c r="U17" s="29">
        <f t="shared" si="49"/>
        <v>270</v>
      </c>
      <c r="V17" s="29">
        <v>350</v>
      </c>
      <c r="W17" s="8">
        <f>T17/V17</f>
        <v>10.314285714285715</v>
      </c>
      <c r="X17" s="21">
        <v>0</v>
      </c>
      <c r="Y17" s="22">
        <v>2</v>
      </c>
      <c r="Z17" s="21">
        <v>5.7</v>
      </c>
      <c r="AA17" s="22">
        <v>5.5</v>
      </c>
      <c r="AB17" s="21">
        <f>4.75+0.25+0.25+0.25</f>
        <v>5.5</v>
      </c>
      <c r="AC17" s="22">
        <f>4+0.34+0.33+0.33+0.25+0.25</f>
        <v>5.5</v>
      </c>
      <c r="AD17" s="21">
        <v>5</v>
      </c>
      <c r="AE17" s="9">
        <v>480</v>
      </c>
      <c r="AF17" s="9">
        <v>2007</v>
      </c>
      <c r="AG17" s="23">
        <f t="shared" si="19"/>
        <v>7.1240351117223932</v>
      </c>
      <c r="AH17" s="23">
        <f t="shared" si="20"/>
        <v>7.6948373809043176</v>
      </c>
      <c r="AI17" s="120">
        <f t="shared" si="21"/>
        <v>6.8462890817906281</v>
      </c>
      <c r="AJ17" s="120">
        <f t="shared" si="22"/>
        <v>7.3948373809043177</v>
      </c>
      <c r="AK17" s="8">
        <f t="shared" si="23"/>
        <v>2.0928756045380528</v>
      </c>
      <c r="AL17" s="8">
        <f t="shared" si="24"/>
        <v>6.844837380904317</v>
      </c>
      <c r="AM17" s="8">
        <f t="shared" si="25"/>
        <v>0.56058699047234539</v>
      </c>
      <c r="AN17" s="8">
        <f t="shared" si="26"/>
        <v>0.34863861666330226</v>
      </c>
      <c r="AO17" s="20">
        <v>4</v>
      </c>
      <c r="AP17" s="20">
        <v>3</v>
      </c>
      <c r="AQ17" s="20">
        <v>2</v>
      </c>
      <c r="AR17" s="129">
        <f>IF(AP17=4,IF(AQ17=0,0.137+0.0697,0.137+0.02),IF(AP17=3,IF(AQ17=0,0.0958+0.0697,0.0958+0.02),IF(AP17=2,IF(AQ17=0,0.0415+0.0697,0.0415+0.02),IF(AP17=1,IF(AQ17=0,0.0294+0.0697,0.0294+0.02),IF(AP17=0,IF(AQ17=0,0.0063+0.0697,0.0063+0.02))))))</f>
        <v>0.1158</v>
      </c>
      <c r="AS17">
        <v>3340</v>
      </c>
    </row>
    <row r="18" spans="1:45" x14ac:dyDescent="0.25">
      <c r="A18" s="15" t="s">
        <v>36</v>
      </c>
      <c r="B18" s="15" t="s">
        <v>71</v>
      </c>
      <c r="C18" s="121">
        <f ca="1">((33*112)-(E18*112)-(F18))/112</f>
        <v>15.169642857142858</v>
      </c>
      <c r="D18" s="226" t="s">
        <v>384</v>
      </c>
      <c r="E18" s="16">
        <v>17</v>
      </c>
      <c r="F18" s="2">
        <f ca="1">8-159+16-570-5+D2-D1-2-31-25-4</f>
        <v>93</v>
      </c>
      <c r="G18" s="18" t="s">
        <v>296</v>
      </c>
      <c r="H18" s="40">
        <v>6</v>
      </c>
      <c r="I18" s="27">
        <v>1.2</v>
      </c>
      <c r="J18" s="22">
        <f>LOG(I18)*4/3</f>
        <v>0.10557499473016642</v>
      </c>
      <c r="K18" s="6">
        <f>(H18)*(H18)*(I18)</f>
        <v>43.199999999999996</v>
      </c>
      <c r="L18" s="6">
        <f>(H18+1)*(H18+1)*I18</f>
        <v>58.8</v>
      </c>
      <c r="M18" s="130">
        <v>43054</v>
      </c>
      <c r="N18" s="131">
        <f ca="1">IF((TODAY()-M18)&gt;335,1,((TODAY()-M18)^0.64)/(336^0.64))</f>
        <v>0.39593527945771984</v>
      </c>
      <c r="O18" s="19">
        <v>5</v>
      </c>
      <c r="P18" s="20">
        <f>O18*10+19</f>
        <v>69</v>
      </c>
      <c r="Q18" s="26">
        <v>6</v>
      </c>
      <c r="R18" s="115">
        <f>(Q18/7)^0.5</f>
        <v>0.92582009977255142</v>
      </c>
      <c r="S18" s="115">
        <f>IF(Q18=7,1,((Q18+0.99)/7)^0.5)</f>
        <v>0.99928545900129484</v>
      </c>
      <c r="T18" s="29">
        <v>2210</v>
      </c>
      <c r="U18" s="29">
        <f>T18-AS18</f>
        <v>220</v>
      </c>
      <c r="V18" s="29">
        <v>290</v>
      </c>
      <c r="W18" s="8">
        <f>T18/V18</f>
        <v>7.6206896551724137</v>
      </c>
      <c r="X18" s="21">
        <v>0</v>
      </c>
      <c r="Y18" s="22">
        <v>3</v>
      </c>
      <c r="Z18" s="21">
        <v>5</v>
      </c>
      <c r="AA18" s="22">
        <v>4</v>
      </c>
      <c r="AB18" s="21">
        <f>4+0.25</f>
        <v>4.25</v>
      </c>
      <c r="AC18" s="22">
        <f>4.03+0.34+0.33+0.33+0.33*85/90+0.33+0.33</f>
        <v>6.0016666666666669</v>
      </c>
      <c r="AD18" s="21">
        <v>3</v>
      </c>
      <c r="AE18" s="9">
        <v>481</v>
      </c>
      <c r="AF18" s="9">
        <v>1990</v>
      </c>
      <c r="AG18" s="23">
        <f t="shared" ca="1" si="19"/>
        <v>4.1675886911757942</v>
      </c>
      <c r="AH18" s="23">
        <f t="shared" ca="1" si="20"/>
        <v>4.5015102741878863</v>
      </c>
      <c r="AI18" s="120">
        <f t="shared" ca="1" si="21"/>
        <v>5.0934087909483452</v>
      </c>
      <c r="AJ18" s="120">
        <f t="shared" ca="1" si="22"/>
        <v>5.5015102741878863</v>
      </c>
      <c r="AK18" s="8">
        <f t="shared" ca="1" si="23"/>
        <v>1.5049820029551384</v>
      </c>
      <c r="AL18" s="8">
        <f t="shared" ca="1" si="24"/>
        <v>4.4020102741878855</v>
      </c>
      <c r="AM18" s="8">
        <f t="shared" ca="1" si="25"/>
        <v>0.4302041552683642</v>
      </c>
      <c r="AN18" s="8">
        <f t="shared" ca="1" si="26"/>
        <v>0.24510571919315205</v>
      </c>
      <c r="AO18" s="20">
        <v>2</v>
      </c>
      <c r="AP18" s="20">
        <v>2</v>
      </c>
      <c r="AQ18" s="20">
        <v>1</v>
      </c>
      <c r="AR18" s="129">
        <f>IF(AP18=4,IF(AQ18=0,0.137+0.0697,0.137+0.02),IF(AP18=3,IF(AQ18=0,0.0958+0.0697,0.0958+0.02),IF(AP18=2,IF(AQ18=0,0.0415+0.0697,0.0415+0.02),IF(AP18=1,IF(AQ18=0,0.0294+0.0697,0.0294+0.02),IF(AP18=0,IF(AQ18=0,0.0063+0.0697,0.0063+0.02))))))</f>
        <v>6.1499999999999999E-2</v>
      </c>
      <c r="AS18" s="193">
        <v>1990</v>
      </c>
    </row>
    <row r="19" spans="1:45" x14ac:dyDescent="0.25">
      <c r="A19" s="15" t="s">
        <v>365</v>
      </c>
      <c r="B19" s="15" t="s">
        <v>71</v>
      </c>
      <c r="C19" s="121">
        <f t="shared" ref="C19:C23" ca="1" si="55">((33*112)-(E19*112)-(F19))/112</f>
        <v>15.098214285714286</v>
      </c>
      <c r="D19" s="215" t="s">
        <v>303</v>
      </c>
      <c r="E19" s="16">
        <v>17</v>
      </c>
      <c r="F19" s="2">
        <f ca="1">8-159+16-570-5+D2-D1-2-12-49+9</f>
        <v>101</v>
      </c>
      <c r="G19" s="18" t="s">
        <v>45</v>
      </c>
      <c r="H19" s="4">
        <v>3</v>
      </c>
      <c r="I19" s="27">
        <v>1.1000000000000001</v>
      </c>
      <c r="J19" s="22">
        <f t="shared" ref="J19:J23" si="56">LOG(I19)*4/3</f>
        <v>5.5190246877633437E-2</v>
      </c>
      <c r="K19" s="6">
        <f t="shared" ref="K19:K23" si="57">(H19)*(H19)*(I19)</f>
        <v>9.9</v>
      </c>
      <c r="L19" s="6">
        <f t="shared" ref="L19:L23" si="58">(H19+1)*(H19+1)*I19</f>
        <v>17.600000000000001</v>
      </c>
      <c r="M19" s="130">
        <v>43046</v>
      </c>
      <c r="N19" s="131">
        <f t="shared" ref="N19" ca="1" si="59">IF((TODAY()-M19)&gt;335,1,((TODAY()-M19)^0.64)/(336^0.64))</f>
        <v>0.42114842817984777</v>
      </c>
      <c r="O19" s="19">
        <v>5.0999999999999996</v>
      </c>
      <c r="P19" s="20">
        <f t="shared" ref="P19:P23" si="60">O19*10+19</f>
        <v>70</v>
      </c>
      <c r="Q19" s="26">
        <v>7</v>
      </c>
      <c r="R19" s="115">
        <f t="shared" ref="R19:R23" si="61">(Q19/7)^0.5</f>
        <v>1</v>
      </c>
      <c r="S19" s="115">
        <f t="shared" ref="S19:S23" si="62">IF(Q19=7,1,((Q19+0.99)/7)^0.5)</f>
        <v>1</v>
      </c>
      <c r="T19" s="29">
        <v>760</v>
      </c>
      <c r="U19" s="29">
        <f t="shared" ref="U19" si="63">T19-AS19</f>
        <v>10</v>
      </c>
      <c r="V19" s="29">
        <v>270</v>
      </c>
      <c r="W19" s="8">
        <f t="shared" ref="W19:W23" si="64">T19/V19</f>
        <v>2.8148148148148149</v>
      </c>
      <c r="X19" s="21">
        <v>0</v>
      </c>
      <c r="Y19" s="22">
        <v>4</v>
      </c>
      <c r="Z19" s="21">
        <v>2</v>
      </c>
      <c r="AA19" s="22">
        <v>5</v>
      </c>
      <c r="AB19" s="21">
        <f>3.67+(0.25*0.16)+0.25+0.25*0.16</f>
        <v>4</v>
      </c>
      <c r="AC19" s="22">
        <f>4+1/17+1/17+1/17+1/17*12/90+1/17+1/17+1/17</f>
        <v>4.3607843137254889</v>
      </c>
      <c r="AD19" s="21">
        <v>4</v>
      </c>
      <c r="AE19" s="9">
        <v>393</v>
      </c>
      <c r="AF19" s="9">
        <v>1960</v>
      </c>
      <c r="AG19" s="23">
        <f t="shared" ca="1" si="19"/>
        <v>5.4763386750574812</v>
      </c>
      <c r="AH19" s="23">
        <f t="shared" ca="1" si="20"/>
        <v>5.4763386750574812</v>
      </c>
      <c r="AI19" s="120">
        <f t="shared" ca="1" si="21"/>
        <v>2.4763386750574812</v>
      </c>
      <c r="AJ19" s="120">
        <f t="shared" ca="1" si="22"/>
        <v>2.4763386750574812</v>
      </c>
      <c r="AK19" s="8">
        <f t="shared" ca="1" si="23"/>
        <v>1.6786270031465556</v>
      </c>
      <c r="AL19" s="8">
        <f t="shared" ca="1" si="24"/>
        <v>4.5845739691751275</v>
      </c>
      <c r="AM19" s="8">
        <f t="shared" ca="1" si="25"/>
        <v>0.37614630969087293</v>
      </c>
      <c r="AN19" s="8">
        <f t="shared" ca="1" si="26"/>
        <v>0.31334370725402366</v>
      </c>
      <c r="AO19" s="20">
        <v>3</v>
      </c>
      <c r="AP19" s="20">
        <v>4</v>
      </c>
      <c r="AQ19" s="20">
        <v>3</v>
      </c>
      <c r="AR19" s="129">
        <f t="shared" ref="AR19" si="65">IF(AP19=4,IF(AQ19=0,0.137+0.0697,0.137+0.02),IF(AP19=3,IF(AQ19=0,0.0958+0.0697,0.0958+0.02),IF(AP19=2,IF(AQ19=0,0.0415+0.0697,0.0415+0.02),IF(AP19=1,IF(AQ19=0,0.0294+0.0697,0.0294+0.02),IF(AP19=0,IF(AQ19=0,0.0063+0.0697,0.0063+0.02))))))</f>
        <v>0.157</v>
      </c>
      <c r="AS19">
        <v>750</v>
      </c>
    </row>
    <row r="20" spans="1:45" x14ac:dyDescent="0.25">
      <c r="A20" s="15" t="s">
        <v>307</v>
      </c>
      <c r="B20" s="24" t="s">
        <v>44</v>
      </c>
      <c r="C20" s="121">
        <f t="shared" ca="1" si="55"/>
        <v>15.1875</v>
      </c>
      <c r="D20" s="216" t="s">
        <v>298</v>
      </c>
      <c r="E20" s="1">
        <v>17</v>
      </c>
      <c r="F20" s="2">
        <f ca="1">8-159+16-570-5+D2-D1-2-62</f>
        <v>91</v>
      </c>
      <c r="G20" s="3" t="s">
        <v>0</v>
      </c>
      <c r="H20" s="4">
        <v>4</v>
      </c>
      <c r="I20" s="5">
        <v>1.1000000000000001</v>
      </c>
      <c r="J20" s="22">
        <f t="shared" si="56"/>
        <v>5.5190246877633437E-2</v>
      </c>
      <c r="K20" s="6">
        <f t="shared" si="57"/>
        <v>17.600000000000001</v>
      </c>
      <c r="L20" s="6">
        <f t="shared" si="58"/>
        <v>27.500000000000004</v>
      </c>
      <c r="M20" s="130">
        <v>43045</v>
      </c>
      <c r="N20" s="131">
        <f ca="1">IF((TODAY()-M20)&gt;335,1,((TODAY()-M20)^0.64)/(336^0.64))</f>
        <v>0.42424015486581296</v>
      </c>
      <c r="O20" s="25">
        <v>5.0999999999999996</v>
      </c>
      <c r="P20" s="20">
        <f t="shared" si="60"/>
        <v>70</v>
      </c>
      <c r="Q20" s="26">
        <v>5</v>
      </c>
      <c r="R20" s="115">
        <f t="shared" si="61"/>
        <v>0.84515425472851657</v>
      </c>
      <c r="S20" s="115">
        <f t="shared" si="62"/>
        <v>0.92504826128926143</v>
      </c>
      <c r="T20" s="29">
        <v>1080</v>
      </c>
      <c r="U20" s="29">
        <f>T20-AS20</f>
        <v>110</v>
      </c>
      <c r="V20" s="7">
        <v>310</v>
      </c>
      <c r="W20" s="8">
        <f t="shared" si="64"/>
        <v>3.4838709677419355</v>
      </c>
      <c r="X20" s="21">
        <v>1</v>
      </c>
      <c r="Y20" s="22">
        <v>4</v>
      </c>
      <c r="Z20" s="21">
        <v>2</v>
      </c>
      <c r="AA20" s="22">
        <v>3</v>
      </c>
      <c r="AB20" s="21">
        <f>3.75+0.25+0.25+0.25</f>
        <v>4.5</v>
      </c>
      <c r="AC20" s="22">
        <f>5+1/20+1/20+1/20*5/90+1/20+1/20+1/20+1/20</f>
        <v>5.3027777777777771</v>
      </c>
      <c r="AD20" s="21">
        <v>6</v>
      </c>
      <c r="AE20" s="9">
        <v>407</v>
      </c>
      <c r="AF20" s="9">
        <v>1994</v>
      </c>
      <c r="AG20" s="23">
        <f ca="1">(AD20+1+(LOG(I20)*4/3)+N20)*(Q20/7)^0.5</f>
        <v>6.3212724269792915</v>
      </c>
      <c r="AH20" s="23">
        <f ca="1">(AD20+1+N20+(LOG(I20)*4/3))*(IF(Q20=7, (Q20/7)^0.5, ((Q20+1)/7)^0.5))</f>
        <v>6.924607000783972</v>
      </c>
      <c r="AI20" s="120">
        <f ca="1">(Z20+N20+(LOG(I20)*4/3))*(Q20/7)^0.5</f>
        <v>2.0955011533367087</v>
      </c>
      <c r="AJ20" s="120">
        <f ca="1">(Z20+N20+(LOG(I20)*4/3))*(IF(Q20=7, (Q20/7)^0.5, ((Q20+1)/7)^0.5))</f>
        <v>2.2955065019212149</v>
      </c>
      <c r="AK20" s="8">
        <f ca="1">(((Y20+LOG(I20)*4/3+N20)+(AB20+LOG(I20)*4/3+N20)*2)/8)*(Q20/7)^0.5</f>
        <v>1.5253229053887178</v>
      </c>
      <c r="AL20" s="8">
        <f ca="1">(AD20+LOG(I20)*4/3+N20)*0.7+(AC20+LOG(I20)*4/3+N20)*0.3</f>
        <v>6.2702637350767789</v>
      </c>
      <c r="AM20" s="8">
        <f ca="1">(0.5*(AC20+LOG(I20)*4/3+N20)+ 0.3*(AD20+LOG(I20)*4/3+N20))/10</f>
        <v>0.48349332102836462</v>
      </c>
      <c r="AN20" s="8">
        <f ca="1">(0.4*(Y20+LOG(I20)*4/3+N20)+0.3*(AD20+LOG(I20)*4/3+N20))/10</f>
        <v>0.3735601281220412</v>
      </c>
      <c r="AO20" s="20">
        <v>1</v>
      </c>
      <c r="AP20" s="20">
        <v>1</v>
      </c>
      <c r="AQ20" s="20">
        <v>2</v>
      </c>
      <c r="AR20" s="129">
        <f>IF(AP20=4,IF(AQ20=0,0.137+0.0697,0.137+0.02),IF(AP20=3,IF(AQ20=0,0.0958+0.0697,0.0958+0.02),IF(AP20=2,IF(AQ20=0,0.0415+0.0697,0.0415+0.02),IF(AP20=1,IF(AQ20=0,0.0294+0.0697,0.0294+0.02),IF(AP20=0,IF(AQ20=0,0.0063+0.0697,0.0063+0.02))))))</f>
        <v>4.9399999999999999E-2</v>
      </c>
      <c r="AS20">
        <v>970</v>
      </c>
    </row>
    <row r="21" spans="1:45" x14ac:dyDescent="0.25">
      <c r="A21" s="15" t="s">
        <v>366</v>
      </c>
      <c r="B21" s="15" t="s">
        <v>44</v>
      </c>
      <c r="C21" s="121">
        <f t="shared" ca="1" si="55"/>
        <v>14.803571428571429</v>
      </c>
      <c r="D21" s="215" t="s">
        <v>305</v>
      </c>
      <c r="E21" s="16">
        <v>18</v>
      </c>
      <c r="F21" s="2">
        <f ca="1">8-159+16-570-5+D2-D1-2-12-49+9-11+44-112</f>
        <v>22</v>
      </c>
      <c r="G21" s="18" t="s">
        <v>70</v>
      </c>
      <c r="H21" s="4">
        <v>3</v>
      </c>
      <c r="I21" s="27">
        <v>0.5</v>
      </c>
      <c r="J21" s="22">
        <f t="shared" si="56"/>
        <v>-0.40137332755197491</v>
      </c>
      <c r="K21" s="6">
        <f t="shared" si="57"/>
        <v>4.5</v>
      </c>
      <c r="L21" s="6">
        <f t="shared" si="58"/>
        <v>8</v>
      </c>
      <c r="M21" s="130">
        <v>43046</v>
      </c>
      <c r="N21" s="131">
        <f t="shared" ref="N21:N22" ca="1" si="66">IF((TODAY()-M21)&gt;335,1,((TODAY()-M21)^0.64)/(336^0.64))</f>
        <v>0.42114842817984777</v>
      </c>
      <c r="O21" s="19">
        <v>5</v>
      </c>
      <c r="P21" s="20">
        <f t="shared" si="60"/>
        <v>69</v>
      </c>
      <c r="Q21" s="26">
        <v>5</v>
      </c>
      <c r="R21" s="115">
        <f t="shared" si="61"/>
        <v>0.84515425472851657</v>
      </c>
      <c r="S21" s="115">
        <f t="shared" si="62"/>
        <v>0.92504826128926143</v>
      </c>
      <c r="T21" s="29">
        <v>2130</v>
      </c>
      <c r="U21" s="29">
        <f t="shared" ref="U21:U23" si="67">T21-AS21</f>
        <v>-10</v>
      </c>
      <c r="V21" s="29">
        <v>370</v>
      </c>
      <c r="W21" s="8">
        <f t="shared" si="64"/>
        <v>5.756756756756757</v>
      </c>
      <c r="X21" s="21">
        <v>0</v>
      </c>
      <c r="Y21" s="22">
        <v>5</v>
      </c>
      <c r="Z21" s="21">
        <v>2</v>
      </c>
      <c r="AA21" s="22">
        <v>3</v>
      </c>
      <c r="AB21" s="21">
        <f>4+0.25+0.25+0.25</f>
        <v>4.75</v>
      </c>
      <c r="AC21" s="22">
        <f>6+1/23+1/23+1/23+1/23+1/23+1/23+1/23</f>
        <v>6.3043478260869579</v>
      </c>
      <c r="AD21" s="21">
        <v>3</v>
      </c>
      <c r="AE21" s="9">
        <v>451</v>
      </c>
      <c r="AF21" s="9">
        <v>1977</v>
      </c>
      <c r="AG21" s="23">
        <f t="shared" ref="AG21:AG23" ca="1" si="68">(AD21+1+(LOG(I21)*4/3)+N21)*(Q21/7)^0.5</f>
        <v>3.397330029347398</v>
      </c>
      <c r="AH21" s="23">
        <f t="shared" ref="AH21:AH23" ca="1" si="69">(AD21+1+N21+(LOG(I21)*4/3))*(IF(Q21=7, (Q21/7)^0.5, ((Q21+1)/7)^0.5))</f>
        <v>3.7215885847265149</v>
      </c>
      <c r="AI21" s="120">
        <f t="shared" ref="AI21:AI23" ca="1" si="70">(Z21+N21+(LOG(I21)*4/3))*(Q21/7)^0.5</f>
        <v>1.7070215198903644</v>
      </c>
      <c r="AJ21" s="120">
        <f t="shared" ref="AJ21:AJ23" ca="1" si="71">(Z21+N21+(LOG(I21)*4/3))*(IF(Q21=7, (Q21/7)^0.5, ((Q21+1)/7)^0.5))</f>
        <v>1.8699483851814123</v>
      </c>
      <c r="AK21" s="8">
        <f t="shared" ref="AK21:AK23" ca="1" si="72">(((Y21+LOG(I21)*4/3+N21)+(AB21+LOG(I21)*4/3+N21)*2)/8)*(Q21/7)^0.5</f>
        <v>1.5381094656079355</v>
      </c>
      <c r="AL21" s="8">
        <f t="shared" ref="AL21:AL23" ca="1" si="73">(AD21+LOG(I21)*4/3+N21)*0.7+(AC21+LOG(I21)*4/3+N21)*0.3</f>
        <v>4.0110794484539598</v>
      </c>
      <c r="AM21" s="8">
        <f t="shared" ref="AM21:AM23" ca="1" si="74">(0.5*(AC21+LOG(I21)*4/3+N21)+ 0.3*(AD21+LOG(I21)*4/3+N21))/10</f>
        <v>0.40679939935457765</v>
      </c>
      <c r="AN21" s="8">
        <f t="shared" ref="AN21:AN23" ca="1" si="75">(0.4*(Y21+LOG(I21)*4/3+N21)+0.3*(AD21+LOG(I21)*4/3+N21))/10</f>
        <v>0.29138425704395104</v>
      </c>
      <c r="AO21" s="20">
        <v>2</v>
      </c>
      <c r="AP21" s="20">
        <v>3</v>
      </c>
      <c r="AQ21" s="20">
        <v>1</v>
      </c>
      <c r="AR21" s="129">
        <f t="shared" ref="AR21:AR23" si="76">IF(AP21=4,IF(AQ21=0,0.137+0.0697,0.137+0.02),IF(AP21=3,IF(AQ21=0,0.0958+0.0697,0.0958+0.02),IF(AP21=2,IF(AQ21=0,0.0415+0.0697,0.0415+0.02),IF(AP21=1,IF(AQ21=0,0.0294+0.0697,0.0294+0.02),IF(AP21=0,IF(AQ21=0,0.0063+0.0697,0.0063+0.02))))))</f>
        <v>0.1158</v>
      </c>
      <c r="AS21">
        <v>2140</v>
      </c>
    </row>
    <row r="22" spans="1:45" x14ac:dyDescent="0.25">
      <c r="A22" s="15" t="s">
        <v>368</v>
      </c>
      <c r="B22" s="15" t="s">
        <v>44</v>
      </c>
      <c r="C22" s="121">
        <f t="shared" ca="1" si="55"/>
        <v>15.196428571428571</v>
      </c>
      <c r="D22" s="215" t="s">
        <v>304</v>
      </c>
      <c r="E22" s="16">
        <v>17</v>
      </c>
      <c r="F22" s="2">
        <f ca="1">8-159+16-570-5+D2-D1-2-12-49+9-11</f>
        <v>90</v>
      </c>
      <c r="G22" s="18" t="s">
        <v>296</v>
      </c>
      <c r="H22" s="4">
        <v>4</v>
      </c>
      <c r="I22" s="27">
        <v>0.5</v>
      </c>
      <c r="J22" s="22">
        <f t="shared" si="56"/>
        <v>-0.40137332755197491</v>
      </c>
      <c r="K22" s="6">
        <f t="shared" si="57"/>
        <v>8</v>
      </c>
      <c r="L22" s="6">
        <f t="shared" si="58"/>
        <v>12.5</v>
      </c>
      <c r="M22" s="130">
        <v>43046</v>
      </c>
      <c r="N22" s="131">
        <f t="shared" ca="1" si="66"/>
        <v>0.42114842817984777</v>
      </c>
      <c r="O22" s="19">
        <v>5</v>
      </c>
      <c r="P22" s="20">
        <f t="shared" si="60"/>
        <v>69</v>
      </c>
      <c r="Q22" s="26">
        <v>6</v>
      </c>
      <c r="R22" s="115">
        <f t="shared" si="61"/>
        <v>0.92582009977255142</v>
      </c>
      <c r="S22" s="115">
        <f t="shared" si="62"/>
        <v>0.99928545900129484</v>
      </c>
      <c r="T22" s="29">
        <v>700</v>
      </c>
      <c r="U22" s="29">
        <f t="shared" si="67"/>
        <v>0</v>
      </c>
      <c r="V22" s="29">
        <v>290</v>
      </c>
      <c r="W22" s="8">
        <f t="shared" si="64"/>
        <v>2.4137931034482758</v>
      </c>
      <c r="X22" s="21">
        <v>0</v>
      </c>
      <c r="Y22" s="22">
        <v>4</v>
      </c>
      <c r="Z22" s="21">
        <v>2</v>
      </c>
      <c r="AA22" s="22">
        <v>2</v>
      </c>
      <c r="AB22" s="21">
        <f>3+(0.25*0.16)+(0.25*0.16*3/90)+0.25*3/90</f>
        <v>3.0496666666666665</v>
      </c>
      <c r="AC22" s="22">
        <f>5+1/20+1/20*5/90+1/20+1/20+1/20+1/20</f>
        <v>5.2527777777777773</v>
      </c>
      <c r="AD22" s="21">
        <v>2.5</v>
      </c>
      <c r="AE22" s="9">
        <v>334</v>
      </c>
      <c r="AF22" s="9">
        <v>1923</v>
      </c>
      <c r="AG22" s="23">
        <f t="shared" ca="1" si="68"/>
        <v>3.2586785348402394</v>
      </c>
      <c r="AH22" s="23">
        <f t="shared" ca="1" si="69"/>
        <v>3.5197751006278728</v>
      </c>
      <c r="AI22" s="120">
        <f t="shared" ca="1" si="70"/>
        <v>1.8699483851814123</v>
      </c>
      <c r="AJ22" s="120">
        <f t="shared" ca="1" si="71"/>
        <v>2.0197751006278728</v>
      </c>
      <c r="AK22" s="8">
        <f t="shared" ca="1" si="72"/>
        <v>1.1756362939014813</v>
      </c>
      <c r="AL22" s="8">
        <f t="shared" ca="1" si="73"/>
        <v>3.345608433961206</v>
      </c>
      <c r="AM22" s="8">
        <f t="shared" ca="1" si="74"/>
        <v>0.33922089693911867</v>
      </c>
      <c r="AN22" s="8">
        <f t="shared" ca="1" si="75"/>
        <v>0.23638425704395111</v>
      </c>
      <c r="AO22" s="20">
        <v>1</v>
      </c>
      <c r="AP22" s="20">
        <v>2</v>
      </c>
      <c r="AQ22" s="20">
        <v>1</v>
      </c>
      <c r="AR22" s="129">
        <f t="shared" si="76"/>
        <v>6.1499999999999999E-2</v>
      </c>
      <c r="AS22">
        <v>700</v>
      </c>
    </row>
    <row r="23" spans="1:45" x14ac:dyDescent="0.25">
      <c r="A23" s="15" t="s">
        <v>43</v>
      </c>
      <c r="B23" s="15" t="s">
        <v>44</v>
      </c>
      <c r="C23" s="121">
        <f t="shared" ca="1" si="55"/>
        <v>13.848214285714286</v>
      </c>
      <c r="D23" s="216" t="s">
        <v>567</v>
      </c>
      <c r="E23" s="1">
        <v>19</v>
      </c>
      <c r="F23" s="2">
        <f ca="1">58++D2-D1-112-112-112-112-112-112-112-122</f>
        <v>17</v>
      </c>
      <c r="G23" s="3"/>
      <c r="H23" s="40">
        <v>6</v>
      </c>
      <c r="I23" s="5">
        <v>2</v>
      </c>
      <c r="J23" s="22">
        <f t="shared" si="56"/>
        <v>0.40137332755197491</v>
      </c>
      <c r="K23" s="6">
        <f t="shared" si="57"/>
        <v>72</v>
      </c>
      <c r="L23" s="6">
        <f t="shared" si="58"/>
        <v>98</v>
      </c>
      <c r="M23" s="130">
        <v>43121</v>
      </c>
      <c r="N23" s="131">
        <v>1.5</v>
      </c>
      <c r="O23" s="25">
        <v>3.5</v>
      </c>
      <c r="P23" s="20">
        <f t="shared" si="60"/>
        <v>54</v>
      </c>
      <c r="Q23" s="26">
        <v>5</v>
      </c>
      <c r="R23" s="115">
        <f t="shared" si="61"/>
        <v>0.84515425472851657</v>
      </c>
      <c r="S23" s="115">
        <f t="shared" si="62"/>
        <v>0.92504826128926143</v>
      </c>
      <c r="T23" s="29">
        <v>530</v>
      </c>
      <c r="U23" s="29">
        <f t="shared" si="67"/>
        <v>10</v>
      </c>
      <c r="V23" s="7">
        <v>270</v>
      </c>
      <c r="W23" s="8">
        <f t="shared" si="64"/>
        <v>1.962962962962963</v>
      </c>
      <c r="X23" s="21">
        <v>0</v>
      </c>
      <c r="Y23" s="22">
        <v>4</v>
      </c>
      <c r="Z23" s="21">
        <v>4</v>
      </c>
      <c r="AA23" s="22">
        <v>2</v>
      </c>
      <c r="AB23" s="21">
        <v>4</v>
      </c>
      <c r="AC23" s="22">
        <v>4</v>
      </c>
      <c r="AD23" s="21">
        <v>2</v>
      </c>
      <c r="AE23" s="9">
        <v>377</v>
      </c>
      <c r="AF23" s="9">
        <v>1689</v>
      </c>
      <c r="AG23" s="23">
        <f t="shared" si="68"/>
        <v>4.1424165217934181</v>
      </c>
      <c r="AH23" s="23">
        <f t="shared" si="69"/>
        <v>4.5377899431366924</v>
      </c>
      <c r="AI23" s="120">
        <f t="shared" si="70"/>
        <v>4.9875707765219355</v>
      </c>
      <c r="AJ23" s="120">
        <f t="shared" si="71"/>
        <v>5.4636100429092433</v>
      </c>
      <c r="AK23" s="8">
        <f t="shared" si="72"/>
        <v>1.8703390411957257</v>
      </c>
      <c r="AL23" s="8">
        <f t="shared" si="73"/>
        <v>4.5013733275519749</v>
      </c>
      <c r="AM23" s="8">
        <f t="shared" si="74"/>
        <v>0.41210986620415807</v>
      </c>
      <c r="AN23" s="8">
        <f t="shared" si="75"/>
        <v>0.35309613292863828</v>
      </c>
      <c r="AO23" s="20">
        <v>3</v>
      </c>
      <c r="AP23" s="20">
        <v>1</v>
      </c>
      <c r="AQ23" s="20">
        <v>0</v>
      </c>
      <c r="AR23" s="129">
        <f t="shared" si="76"/>
        <v>9.9099999999999994E-2</v>
      </c>
      <c r="AS23">
        <v>520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77">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4">
    <cfRule type="cellIs" dxfId="24" priority="99" operator="lessThan">
      <formula>6</formula>
    </cfRule>
  </conditionalFormatting>
  <conditionalFormatting sqref="N24">
    <cfRule type="cellIs" dxfId="23" priority="98" operator="lessThan">
      <formula>0.75</formula>
    </cfRule>
  </conditionalFormatting>
  <conditionalFormatting sqref="P24">
    <cfRule type="cellIs" dxfId="22" priority="96" operator="greaterThan">
      <formula>90</formula>
    </cfRule>
    <cfRule type="cellIs" dxfId="21" priority="97" operator="lessThan">
      <formula>85</formula>
    </cfRule>
  </conditionalFormatting>
  <conditionalFormatting sqref="I4:I15 I17:I23">
    <cfRule type="cellIs" dxfId="20" priority="40" operator="lessThan">
      <formula>6</formula>
    </cfRule>
  </conditionalFormatting>
  <conditionalFormatting sqref="N4:N15 N17:N23">
    <cfRule type="cellIs" dxfId="19" priority="39" operator="lessThan">
      <formula>0.75</formula>
    </cfRule>
  </conditionalFormatting>
  <conditionalFormatting sqref="P4:P15 P17:P23">
    <cfRule type="cellIs" dxfId="18" priority="37" operator="greaterThan">
      <formula>90</formula>
    </cfRule>
    <cfRule type="cellIs" dxfId="17" priority="38" operator="lessThan">
      <formula>85</formula>
    </cfRule>
  </conditionalFormatting>
  <conditionalFormatting sqref="C4:C23">
    <cfRule type="colorScale" priority="41">
      <colorScale>
        <cfvo type="min"/>
        <cfvo type="max"/>
        <color rgb="FFFFEF9C"/>
        <color rgb="FF63BE7B"/>
      </colorScale>
    </cfRule>
  </conditionalFormatting>
  <conditionalFormatting sqref="C24">
    <cfRule type="colorScale" priority="5007">
      <colorScale>
        <cfvo type="min"/>
        <cfvo type="max"/>
        <color rgb="FFFFEF9C"/>
        <color rgb="FF63BE7B"/>
      </colorScale>
    </cfRule>
  </conditionalFormatting>
  <conditionalFormatting sqref="I16">
    <cfRule type="cellIs" dxfId="16" priority="20" operator="lessThan">
      <formula>6</formula>
    </cfRule>
  </conditionalFormatting>
  <conditionalFormatting sqref="N16">
    <cfRule type="cellIs" dxfId="15" priority="19" operator="lessThan">
      <formula>0.75</formula>
    </cfRule>
  </conditionalFormatting>
  <conditionalFormatting sqref="P16">
    <cfRule type="cellIs" dxfId="14" priority="17" operator="greaterThan">
      <formula>90</formula>
    </cfRule>
    <cfRule type="cellIs" dxfId="13" priority="18" operator="lessThan">
      <formula>85</formula>
    </cfRule>
  </conditionalFormatting>
  <conditionalFormatting sqref="R4:S23">
    <cfRule type="colorScale" priority="14">
      <colorScale>
        <cfvo type="min"/>
        <cfvo type="percentile" val="50"/>
        <cfvo type="max"/>
        <color rgb="FFF8696B"/>
        <color rgb="FFFFEB84"/>
        <color rgb="FF63BE7B"/>
      </colorScale>
    </cfRule>
  </conditionalFormatting>
  <conditionalFormatting sqref="T4:T23">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9">
      <colorScale>
        <cfvo type="min"/>
        <cfvo type="max"/>
        <color rgb="FFFCFCFF"/>
        <color rgb="FFF8696B"/>
      </colorScale>
    </cfRule>
  </conditionalFormatting>
  <conditionalFormatting sqref="AE4:AE23">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6">
      <colorScale>
        <cfvo type="min"/>
        <cfvo type="percentile" val="50"/>
        <cfvo type="max"/>
        <color rgb="FFF8696B"/>
        <color rgb="FFFCFCFF"/>
        <color rgb="FF63BE7B"/>
      </colorScale>
    </cfRule>
  </conditionalFormatting>
  <conditionalFormatting sqref="AI4:AJ23">
    <cfRule type="colorScale" priority="5">
      <colorScale>
        <cfvo type="min"/>
        <cfvo type="percentile" val="50"/>
        <cfvo type="max"/>
        <color rgb="FFF8696B"/>
        <color rgb="FFFFEB84"/>
        <color rgb="FF63BE7B"/>
      </colorScale>
    </cfRule>
  </conditionalFormatting>
  <conditionalFormatting sqref="AK4:AK23">
    <cfRule type="colorScale" priority="4">
      <colorScale>
        <cfvo type="min"/>
        <cfvo type="percentile" val="50"/>
        <cfvo type="max"/>
        <color rgb="FFF8696B"/>
        <color rgb="FFFCFCFF"/>
        <color rgb="FF63BE7B"/>
      </colorScale>
    </cfRule>
  </conditionalFormatting>
  <conditionalFormatting sqref="AL4:AL23">
    <cfRule type="colorScale" priority="3">
      <colorScale>
        <cfvo type="min"/>
        <cfvo type="percentile" val="50"/>
        <cfvo type="max"/>
        <color rgb="FFF8696B"/>
        <color rgb="FFFFEB84"/>
        <color rgb="FF63BE7B"/>
      </colorScale>
    </cfRule>
  </conditionalFormatting>
  <conditionalFormatting sqref="AM4:AN23">
    <cfRule type="colorScale" priority="2">
      <colorScale>
        <cfvo type="min"/>
        <cfvo type="percentile" val="50"/>
        <cfvo type="max"/>
        <color rgb="FFF8696B"/>
        <color rgb="FFFCFCFF"/>
        <color rgb="FF63BE7B"/>
      </colorScale>
    </cfRule>
  </conditionalFormatting>
  <conditionalFormatting sqref="AR4:AR2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1</v>
      </c>
      <c r="Q6" s="212">
        <f t="shared" ref="Q6:S6" si="7">F11</f>
        <v>1.1000000000000001</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PLANTILLA!D12</f>
        <v>Raul Riquelme</v>
      </c>
      <c r="B10" s="207">
        <f>PLANTILLA!E12</f>
        <v>17</v>
      </c>
      <c r="C10" s="207">
        <f>PLANTILLA!H12</f>
        <v>6</v>
      </c>
      <c r="D10" s="208">
        <f>PLANTILLA!I12</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PLANTILLA!D13</f>
        <v>Fernando Gazón</v>
      </c>
      <c r="B11" s="207">
        <f>PLANTILLA!E13</f>
        <v>18</v>
      </c>
      <c r="C11" s="207">
        <f>PLANTILLA!H13</f>
        <v>3</v>
      </c>
      <c r="D11" s="208">
        <f>PLANTILLA!I13</f>
        <v>1</v>
      </c>
      <c r="E11" s="209">
        <f t="shared" si="1"/>
        <v>1</v>
      </c>
      <c r="F11" s="209">
        <f t="shared" si="2"/>
        <v>1.1000000000000001</v>
      </c>
      <c r="G11" s="209">
        <f t="shared" si="3"/>
        <v>3</v>
      </c>
      <c r="H11" s="209">
        <f t="shared" si="4"/>
        <v>3.99</v>
      </c>
      <c r="I11" s="210">
        <f t="shared" si="5"/>
        <v>9</v>
      </c>
      <c r="J11" s="210">
        <f t="shared" si="6"/>
        <v>17.512110000000003</v>
      </c>
      <c r="K11" s="211"/>
      <c r="O11" t="str">
        <f>A10</f>
        <v>Raul Riquelme</v>
      </c>
      <c r="P11" s="212">
        <f>E10</f>
        <v>1.1000000000000001</v>
      </c>
      <c r="Q11" s="212">
        <f>F10</f>
        <v>1.2000000000000002</v>
      </c>
      <c r="R11" s="212">
        <f>G10</f>
        <v>6</v>
      </c>
      <c r="S11" s="212">
        <f>H10</f>
        <v>6.99</v>
      </c>
    </row>
    <row r="12" spans="1:19" x14ac:dyDescent="0.25">
      <c r="A12" s="206" t="str">
        <f>PLANTILLA!D14</f>
        <v>Roberto Abenoza</v>
      </c>
      <c r="B12" s="207">
        <f>PLANTILLA!E14</f>
        <v>18</v>
      </c>
      <c r="C12" s="207">
        <f>PLANTILLA!H14</f>
        <v>4</v>
      </c>
      <c r="D12" s="208">
        <f>PLANTILLA!I14</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PLANTILLA!D15</f>
        <v>Julio Calle</v>
      </c>
      <c r="B13" s="207">
        <f>PLANTILLA!E15</f>
        <v>17</v>
      </c>
      <c r="C13" s="207">
        <f>PLANTILLA!H15</f>
        <v>3</v>
      </c>
      <c r="D13" s="208">
        <f>PLANTILLA!I15</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PLANTILLA!D17</f>
        <v>Enrique Cubas</v>
      </c>
      <c r="B14" s="207">
        <f>PLANTILLA!E17</f>
        <v>17</v>
      </c>
      <c r="C14" s="207">
        <f>PLANTILLA!H17</f>
        <v>1</v>
      </c>
      <c r="D14" s="208">
        <f>PLANTILLA!I17</f>
        <v>1.4</v>
      </c>
      <c r="E14" s="209">
        <f t="shared" si="1"/>
        <v>1.4</v>
      </c>
      <c r="F14" s="209">
        <f t="shared" si="2"/>
        <v>1.5</v>
      </c>
      <c r="G14" s="209">
        <f t="shared" si="3"/>
        <v>1</v>
      </c>
      <c r="H14" s="209">
        <f t="shared" si="4"/>
        <v>1.99</v>
      </c>
      <c r="I14" s="210">
        <f t="shared" si="5"/>
        <v>1.4</v>
      </c>
      <c r="J14" s="210">
        <f t="shared" si="6"/>
        <v>5.94015</v>
      </c>
      <c r="K14" s="211"/>
      <c r="P14" s="37">
        <f>SUM(P4:P13)/10</f>
        <v>1.1000000000000001</v>
      </c>
      <c r="Q14" s="37">
        <f>SUM(Q4:Q13)/10</f>
        <v>1.2</v>
      </c>
      <c r="R14" s="37"/>
      <c r="S14" s="37"/>
    </row>
    <row r="15" spans="1:19" x14ac:dyDescent="0.25">
      <c r="A15" s="206" t="str">
        <f>PLANTILLA!D18</f>
        <v>J. G. Peñuela</v>
      </c>
      <c r="B15" s="207">
        <f>PLANTILLA!E18</f>
        <v>17</v>
      </c>
      <c r="C15" s="207">
        <f>PLANTILLA!H18</f>
        <v>6</v>
      </c>
      <c r="D15" s="208">
        <f>PLANTILLA!I18</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PLANTILLA!D19</f>
        <v>Paulo Beltrán</v>
      </c>
      <c r="B16" s="207">
        <f>PLANTILLA!E19</f>
        <v>17</v>
      </c>
      <c r="C16" s="207">
        <f>PLANTILLA!H19</f>
        <v>3</v>
      </c>
      <c r="D16" s="208">
        <f>PLANTILLA!I19</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v>
      </c>
      <c r="Q16" s="32">
        <f>SUM(Q3:Q13)</f>
        <v>13.099999999999998</v>
      </c>
      <c r="R16" s="32"/>
    </row>
    <row r="17" spans="1:18" x14ac:dyDescent="0.25">
      <c r="A17" s="206" t="str">
        <f>PLANTILLA!D21</f>
        <v>Nicolás Eans</v>
      </c>
      <c r="B17" s="207">
        <f>PLANTILLA!E21</f>
        <v>18</v>
      </c>
      <c r="C17" s="207">
        <f>PLANTILLA!H21</f>
        <v>3</v>
      </c>
      <c r="D17" s="208">
        <f>PLANTILLA!I21</f>
        <v>0.5</v>
      </c>
      <c r="E17" s="209">
        <f t="shared" si="1"/>
        <v>0.5</v>
      </c>
      <c r="F17" s="209">
        <f t="shared" si="2"/>
        <v>0.6</v>
      </c>
      <c r="G17" s="209">
        <f t="shared" si="3"/>
        <v>3</v>
      </c>
      <c r="H17" s="209">
        <f t="shared" si="4"/>
        <v>3.99</v>
      </c>
      <c r="I17" s="210">
        <f t="shared" si="5"/>
        <v>4.5</v>
      </c>
      <c r="J17" s="210">
        <f t="shared" si="6"/>
        <v>9.5520600000000009</v>
      </c>
      <c r="K17" s="211"/>
      <c r="O17" t="s">
        <v>345</v>
      </c>
      <c r="P17" s="37">
        <f>P16/17</f>
        <v>0.70588235294117652</v>
      </c>
      <c r="Q17" s="37">
        <f>Q16/17</f>
        <v>0.77058823529411757</v>
      </c>
      <c r="R17" s="37"/>
    </row>
    <row r="18" spans="1:18" x14ac:dyDescent="0.25">
      <c r="A18" s="206" t="str">
        <f>PLANTILLA!D22</f>
        <v>Noel Fuster</v>
      </c>
      <c r="B18" s="207">
        <f>PLANTILLA!E22</f>
        <v>17</v>
      </c>
      <c r="C18" s="207">
        <f>PLANTILLA!H22</f>
        <v>4</v>
      </c>
      <c r="D18" s="208">
        <f>PLANTILLA!I22</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PLANTILLA!D23</f>
        <v>Diego Rincon</v>
      </c>
      <c r="B19" s="207">
        <f>PLANTILLA!E23</f>
        <v>19</v>
      </c>
      <c r="C19" s="207">
        <f>PLANTILLA!H23</f>
        <v>6</v>
      </c>
      <c r="D19" s="208">
        <f>PLANTILLA!I23</f>
        <v>2</v>
      </c>
      <c r="E19" s="209">
        <f t="shared" si="1"/>
        <v>2</v>
      </c>
      <c r="F19" s="209">
        <f t="shared" si="2"/>
        <v>2.1</v>
      </c>
      <c r="G19" s="209">
        <f t="shared" si="3"/>
        <v>6</v>
      </c>
      <c r="H19" s="209">
        <f t="shared" si="4"/>
        <v>6.99</v>
      </c>
      <c r="I19" s="210">
        <f t="shared" si="5"/>
        <v>72</v>
      </c>
      <c r="J19" s="210">
        <f t="shared" si="6"/>
        <v>102.60621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0.85010730997191741</v>
      </c>
      <c r="Q21" s="157">
        <f>Q17+Q20</f>
        <v>0.99537516888291178</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40</v>
      </c>
      <c r="D3" s="65" t="str">
        <f>PLANTILLA!G4</f>
        <v>IMP</v>
      </c>
      <c r="E3" s="30">
        <f>PLANTILLA!M4</f>
        <v>43097</v>
      </c>
      <c r="F3" s="47">
        <f>PLANTILLA!Q4</f>
        <v>5</v>
      </c>
      <c r="G3" s="48">
        <f>(F3/7)^0.5</f>
        <v>0.84515425472851657</v>
      </c>
      <c r="H3" s="48">
        <f>IF(F3=7,1,((F3+0.99)/7)^0.5)</f>
        <v>0.92504826128926143</v>
      </c>
      <c r="I3" s="51">
        <f t="shared" ref="I3" ca="1" si="0">IF(TODAY()-E3&gt;335,1,((TODAY()-E3)^0.5)/336^0.5)</f>
        <v>0.3273268353539886</v>
      </c>
      <c r="J3" s="39">
        <f>PLANTILLA!I4</f>
        <v>2.2999999999999998</v>
      </c>
      <c r="K3" s="46">
        <f>PLANTILLA!X4</f>
        <v>0</v>
      </c>
      <c r="L3" s="46">
        <f>PLANTILLA!Y4</f>
        <v>7</v>
      </c>
      <c r="M3" s="46">
        <f>PLANTILLA!Z4</f>
        <v>2</v>
      </c>
      <c r="N3" s="46">
        <f>PLANTILLA!AA4</f>
        <v>5</v>
      </c>
      <c r="O3" s="46">
        <f>PLANTILLA!AB4</f>
        <v>7</v>
      </c>
      <c r="P3" s="46">
        <f>PLANTILLA!AC4</f>
        <v>5.2380952380952372</v>
      </c>
      <c r="Q3" s="46">
        <f>PLANTILLA!AD4</f>
        <v>4</v>
      </c>
      <c r="R3" s="46">
        <f>((2*(O3+1))+(L3+1))/8</f>
        <v>3</v>
      </c>
      <c r="S3" s="46">
        <f>(0.5*P3+ 0.3*Q3)/10</f>
        <v>0.38190476190476186</v>
      </c>
      <c r="T3" s="46">
        <f>(0.4*L3+0.3*Q3)/10</f>
        <v>0.4</v>
      </c>
      <c r="U3" s="46">
        <f ca="1">IF(TODAY()-E3&gt;335,(Q3+1+(LOG(J3)*4/3))*(F3/7)^0.5,(Q3+((TODAY()-E3)^0.5)/(336^0.5)+(LOG(J3)*4/3))*(F3/7)^0.5)</f>
        <v>4.0648797793856541</v>
      </c>
      <c r="V3" s="46">
        <f ca="1">IF(F3=7,U3,IF(TODAY()-E3&gt;335,(Q3+1+(LOG(J3)*4/3))*((F3+0.99)/7)^0.5,(Q3+((TODAY()-E3)^0.5)/(336^0.5)+(LOG(J3)*4/3))*((F3+0.99)/7)^0.5))</f>
        <v>4.449140439431905</v>
      </c>
      <c r="W3" s="37">
        <f ca="1">IF(TODAY()-E3&gt;335,((K3+1+(LOG(J3)*4/3))*0.597)+((L3+1+(LOG(J3)*4/3))*0.276),((K3+(((TODAY()-E3)^0.5)/(336^0.5))+(LOG(J3)*4/3))*0.597)+((L3+(((TODAY()-E3)^0.5)/(336^0.5))+(LOG(J3)*4/3))*0.276))</f>
        <v>2.6388075283885102</v>
      </c>
      <c r="X3" s="37">
        <f ca="1">IF(TODAY()-E3&gt;335,((K3+1+(LOG(J3)*4/3))*0.866)+((L3+1+(LOG(J3)*4/3))*0.425),((K3+(((TODAY()-E3)^0.5)/(336^0.5))+(LOG(J3)*4/3))*0.866)+((L3+(((TODAY()-E3)^0.5)/(336^0.5))+(LOG(J3)*4/3))*0.425))</f>
        <v>4.0202331261736157</v>
      </c>
      <c r="Y3" s="37">
        <f ca="1">W3</f>
        <v>2.6388075283885102</v>
      </c>
      <c r="Z3" s="37">
        <f ca="1">IF(TODAY()-E3&gt;335,((L3+1+(LOG(J3)*4/3))*0.516),((L3+(((TODAY()-E3)^0.5)/(336^0.516))+(LOG(J3)*4/3))*0.516))</f>
        <v>4.0147585687732938</v>
      </c>
      <c r="AA3" s="37">
        <f ca="1">IF(TODAY()-E3&gt;335,((L3+1+(LOG(J3)*4/3))*1),((L3+(((TODAY()-E3)^0.5)/(336^0.5))+(LOG(J3)*4/3))*1))</f>
        <v>7.8096306167107796</v>
      </c>
      <c r="AB3" s="37">
        <f ca="1">Z3/2</f>
        <v>2.0073792843866469</v>
      </c>
      <c r="AC3" s="37">
        <f ca="1">IF(TODAY()-E3&gt;335,((M3+1+(LOG(J3)*4/3))*0.238),((M3+(((TODAY()-E3)^0.5)/(336^0.238))+(LOG(J3)*4/3))*0.238))</f>
        <v>0.94843931292710892</v>
      </c>
      <c r="AD3" s="37">
        <f ca="1">IF(TODAY()-E3&gt;335,((L3+1+(LOG(J3)*4/3))*0.378),((L3+(((TODAY()-E3)^0.5)/(336^0.516))+(LOG(J3)*4/3))*0.378))</f>
        <v>2.9410440678222964</v>
      </c>
      <c r="AE3" s="37">
        <f ca="1">IF(TODAY()-E3&gt;335,((L3+1+(LOG(J3)*4/3))*0.723),((L3+(((TODAY()-E3)^0.5)/(336^0.5))+(LOG(J3)*4/3))*0.723))</f>
        <v>5.6463629358818936</v>
      </c>
      <c r="AF3" s="37">
        <f ca="1">AD3/2</f>
        <v>1.4705220339111482</v>
      </c>
      <c r="AG3" s="37">
        <f ca="1">IF(TODAY()-E3&gt;335,((M3+1+(LOG(J3)*4/3))*0.385),((M3+(((TODAY()-E3)^0.5)/(336^0.238))+(LOG(J3)*4/3))*0.385))</f>
        <v>1.5342400650291468</v>
      </c>
      <c r="AH3" s="37">
        <f ca="1">IF(TODAY()-E3&gt;335,((L3+1+(LOG(J3)*4/3))*0.92),((L3+(((TODAY()-E3)^0.5)/(336^0.5))+(LOG(J3)*4/3))*0.92))</f>
        <v>7.1848601673739179</v>
      </c>
      <c r="AI3" s="37">
        <f ca="1">IF(TODAY()-E3&gt;335,((L3+1+(LOG(J3)*4/3))*0.414),((L3+(((TODAY()-E3)^0.5)/(336^0.414))+(LOG(J3)*4/3))*0.414))</f>
        <v>3.3211581229903437</v>
      </c>
      <c r="AJ3" s="37">
        <f ca="1">IF(TODAY()-E3&gt;335,((M3+1+(LOG(J3)*4/3))*0.167),((M3+(((TODAY()-E3)^0.5)/(336^0.5))+(LOG(J3)*4/3))*0.167))</f>
        <v>0.46920831299070009</v>
      </c>
      <c r="AK3" s="37">
        <f ca="1">IF(TODAY()-E3&gt;335,((N3+1+(LOG(J3)*4/3))*0.588),((N3+(((TODAY()-E3)^0.5)/(336^0.5))+(LOG(J3)*4/3))*0.588))</f>
        <v>3.4160628026259383</v>
      </c>
      <c r="AL3" s="37">
        <f ca="1">IF(TODAY()-E3&gt;335,((L3+1+(LOG(J3)*4/3))*0.754),((L3+(((TODAY()-E3)^0.5)/(336^0.5))+(LOG(J3)*4/3))*0.754))</f>
        <v>5.8884614849999277</v>
      </c>
      <c r="AM3" s="37">
        <f ca="1">IF(TODAY()-E3&gt;335,((L3+1+(LOG(J3)*4/3))*0.708),((L3+(((TODAY()-E3)^0.5)/(336^0.414))+(LOG(J3)*4/3))*0.708))</f>
        <v>5.6796617175776891</v>
      </c>
      <c r="AN3" s="37">
        <f ca="1">IF(TODAY()-E3&gt;335,((Q3+1+(LOG(J3)*4/3))*0.167),((Q3+(((TODAY()-E3)^0.5)/(336^0.5))+(LOG(J3)*4/3))*0.167))</f>
        <v>0.80320831299070028</v>
      </c>
      <c r="AO3" s="37">
        <f ca="1">IF(TODAY()-E3&gt;335,((R3+1+(LOG(J3)*4/3))*0.288),((R3+(((TODAY()-E3)^0.5)/(336^0.5))+(LOG(J3)*4/3))*0.288))</f>
        <v>1.0971736176127043</v>
      </c>
      <c r="AP3" s="37">
        <f ca="1">IF(TODAY()-E3&gt;335,((L3+1+(LOG(J3)*4/3))*0.27),((L3+(((TODAY()-E3)^0.5)/(336^0.5))+(LOG(J3)*4/3))*0.27))</f>
        <v>2.1086002665119108</v>
      </c>
      <c r="AQ3" s="37">
        <f ca="1">IF(TODAY()-E3&gt;335,((L3+1+(LOG(J3)*4/3))*0.594),((L3+(((TODAY()-E3)^0.5)/(336^0.5))+(LOG(J3)*4/3))*0.594))</f>
        <v>4.6389205863262033</v>
      </c>
      <c r="AR3" s="37">
        <f ca="1">AP3/2</f>
        <v>1.0543001332559554</v>
      </c>
      <c r="AS3" s="37">
        <f ca="1">IF(TODAY()-E3&gt;335,((M3+1+(LOG(J3)*4/3))*0.944),((M3+(((TODAY()-E3)^0.5)/(336^0.5))+(LOG(J3)*4/3))*0.944))</f>
        <v>2.6522913021749748</v>
      </c>
      <c r="AT3" s="37">
        <f ca="1">IF(TODAY()-E3&gt;335,((O3+1+(LOG(J3)*4/3))*0.13),((O3+(((TODAY()-E3)^0.5)/(336^0.5))+(LOG(J3)*4/3))*0.13))</f>
        <v>1.0152519801724014</v>
      </c>
      <c r="AU3" s="37">
        <f ca="1">IF(TODAY()-E3&gt;335,((P3+1+(LOG(J3)*4/3))*0.173)+((O3+1+(LOG(J3)*4/3))*0.12),((P3+(((TODAY()-E3)^0.5)/(336^0.5))+(LOG(J3)*4/3))*0.173)+((O3+(((TODAY()-E3)^0.5)/(336^0.5))+(LOG(J3)*4/3))*0.12))</f>
        <v>1.9834122468867343</v>
      </c>
      <c r="AV3" s="37">
        <f ca="1">AT3/2</f>
        <v>0.50762599008620068</v>
      </c>
      <c r="AW3" s="37">
        <f ca="1">IF(TODAY()-E3&gt;335,((L3+1+(LOG(J3)*4/3))*0.189),((L3+(((TODAY()-E3)^0.5)/(336^0.5))+(LOG(J3)*4/3))*0.189))</f>
        <v>1.4760201865583373</v>
      </c>
      <c r="AX3" s="37">
        <f ca="1">IF(TODAY()-E3&gt;335,((L3+1+(LOG(J3)*4/3))*0.4),((L3+(((TODAY()-E3)^0.5)/(336^0.5))+(LOG(J3)*4/3))*0.4))</f>
        <v>3.1238522466843119</v>
      </c>
      <c r="AY3" s="37">
        <f ca="1">AW3/2</f>
        <v>0.73801009327916867</v>
      </c>
      <c r="AZ3" s="37">
        <f ca="1">IF(TODAY()-E3&gt;335,((M3+1+(LOG(J3)*4/3))*1),((M3+(((TODAY()-E3)^0.5)/(336^0.5))+(LOG(J3)*4/3))*1))</f>
        <v>2.8096306167107787</v>
      </c>
      <c r="BA3" s="37">
        <f ca="1">IF(TODAY()-E3&gt;335,((O3+1+(LOG(J3)*4/3))*0.253),((O3+(((TODAY()-E3)^0.5)/(336^0.5))+(LOG(J3)*4/3))*0.253))</f>
        <v>1.9758365460278273</v>
      </c>
      <c r="BB3" s="37">
        <f ca="1">IF(TODAY()-E3&gt;335,((P3+1+(LOG(J3)*4/3))*0.21)+((O3+1+(LOG(J3)*4/3))*0.341),((P3+(((TODAY()-E3)^0.5)/(336^0.5))+(LOG(J3)*4/3))*0.21)+((O3+(((TODAY()-E3)^0.5)/(336^0.5))+(LOG(J3)*4/3))*0.341))</f>
        <v>3.9331064698076394</v>
      </c>
      <c r="BC3" s="37">
        <f ca="1">BA3/2</f>
        <v>0.98791827301391366</v>
      </c>
      <c r="BD3" s="37">
        <f ca="1">IF(TODAY()-E3&gt;335,((L3+1+(LOG(J3)*4/3))*0.291),((L3+(((TODAY()-E3)^0.5)/(336^0.5))+(LOG(J3)*4/3))*0.291))</f>
        <v>2.2726025094628368</v>
      </c>
      <c r="BE3" s="37">
        <f ca="1">IF(TODAY()-E3&gt;335,((L3+1+(LOG(J3)*4/3))*0.348),((L3+(((TODAY()-E3)^0.5)/(336^0.5))+(LOG(J3)*4/3))*0.348))</f>
        <v>2.7177514546153509</v>
      </c>
      <c r="BF3" s="37">
        <f ca="1">IF(TODAY()-E3&gt;335,((M3+1+(LOG(J3)*4/3))*0.881),((M3+(((TODAY()-E3)^0.5)/(336^0.5))+(LOG(J3)*4/3))*0.881))</f>
        <v>2.4752845733221962</v>
      </c>
      <c r="BG3" s="37">
        <f ca="1">IF(TODAY()-E3&gt;335,((N3+1+(LOG(J3)*4/3))*0.574)+((O3+1+(LOG(J3)*4/3))*0.315),((N3+(((TODAY()-E3)^0.5)/(336^0.5))+(LOG(J3)*4/3))*0.574)+((O3+(((TODAY()-E3)^0.5)/(336^0.5))+(LOG(J3)*4/3))*0.315))</f>
        <v>5.7947616182558832</v>
      </c>
      <c r="BH3" s="37">
        <f ca="1">IF(TODAY()-E3&gt;335,((O3+1+(LOG(J3)*4/3))*0.241),((O3+(((TODAY()-E3)^0.5)/(336^0.5))+(LOG(J3)*4/3))*0.241))</f>
        <v>1.8821209786272979</v>
      </c>
      <c r="BI3" s="37">
        <f ca="1">IF(TODAY()-E3&gt;335,((L3+1+(LOG(J3)*4/3))*0.485),((L3+(((TODAY()-E3)^0.5)/(336^0.5))+(LOG(J3)*4/3))*0.485))</f>
        <v>3.7876708491047282</v>
      </c>
      <c r="BJ3" s="37">
        <f ca="1">IF(TODAY()-E3&gt;335,((L3+1+(LOG(J3)*4/3))*0.264),((L3+(((TODAY()-E3)^0.5)/(336^0.5))+(LOG(J3)*4/3))*0.264))</f>
        <v>2.061742482811646</v>
      </c>
      <c r="BK3" s="37">
        <f ca="1">IF(TODAY()-E3&gt;335,((M3+1+(LOG(J3)*4/3))*0.381),((M3+(((TODAY()-E3)^0.5)/(336^0.5))+(LOG(J3)*4/3))*0.381))</f>
        <v>1.0704692649668066</v>
      </c>
      <c r="BL3" s="37">
        <f ca="1">IF(TODAY()-E3&gt;335,((N3+1+(LOG(J3)*4/3))*0.673)+((O3+1+(LOG(J3)*4/3))*0.201),((N3+(((TODAY()-E3)^0.5)/(336^0.5))+(LOG(J3)*4/3))*0.673)+((O3+(((TODAY()-E3)^0.5)/(336^0.5))+(LOG(J3)*4/3))*0.201))</f>
        <v>5.4796171590052216</v>
      </c>
      <c r="BM3" s="37">
        <f ca="1">IF(TODAY()-E3&gt;335,((O3+1+(LOG(J3)*4/3))*0.052),((O3+(((TODAY()-E3)^0.5)/(336^0.5))+(LOG(J3)*4/3))*0.052))</f>
        <v>0.40610079206896055</v>
      </c>
      <c r="BN3" s="37">
        <f ca="1">IF(TODAY()-E3&gt;335,((L3+1+(LOG(J3)*4/3))*0.18),((L3+(((TODAY()-E3)^0.5)/(336^0.5))+(LOG(J3)*4/3))*0.18))</f>
        <v>1.4057335110079403</v>
      </c>
      <c r="BO3" s="37">
        <f ca="1">IF(TODAY()-E3&gt;335,((L3+1+(LOG(J3)*4/3))*0.068),((L3+(((TODAY()-E3)^0.5)/(336^0.5))+(LOG(J3)*4/3))*0.068))</f>
        <v>0.5310548819363331</v>
      </c>
      <c r="BP3" s="37">
        <f ca="1">IF(TODAY()-E3&gt;335,((M3+1+(LOG(J3)*4/3))*0.305),((M3+(((TODAY()-E3)^0.5)/(336^0.5))+(LOG(J3)*4/3))*0.305))</f>
        <v>0.85693733809678752</v>
      </c>
      <c r="BQ3" s="37">
        <f ca="1">IF(TODAY()-E3&gt;335,((N3+1+(LOG(J3)*4/3))*1)+((O3+1+(LOG(J3)*4/3))*0.286),((N3+(((TODAY()-E3)^0.5)/(336^0.5))+(LOG(J3)*4/3))*1)+((O3+(((TODAY()-E3)^0.5)/(336^0.5))+(LOG(J3)*4/3))*0.286))</f>
        <v>8.043184973090062</v>
      </c>
      <c r="BR3" s="37">
        <f ca="1">IF(TODAY()-E3&gt;335,((O3+1+(LOG(J3)*4/3))*0.135),((O3+(((TODAY()-E3)^0.5)/(336^0.5))+(LOG(J3)*4/3))*0.135))</f>
        <v>1.0543001332559554</v>
      </c>
      <c r="BS3" s="37">
        <f ca="1">IF(TODAY()-E3&gt;335,((L3+1+(LOG(J3)*4/3))*0.284),((L3+(((TODAY()-E3)^0.5)/(336^0.5))+(LOG(J3)*4/3))*0.284))</f>
        <v>2.2179350951458612</v>
      </c>
      <c r="BT3" s="37">
        <f ca="1">IF(TODAY()-E3&gt;335,((L3+1+(LOG(J3)*4/3))*0.244),((L3+(((TODAY()-E3)^0.5)/(336^0.5))+(LOG(J3)*4/3))*0.244))</f>
        <v>1.9055498704774303</v>
      </c>
      <c r="BU3" s="37">
        <f ca="1">IF(TODAY()-E3&gt;335,((M3+1+(LOG(J3)*4/3))*0.631),((M3+(((TODAY()-E3)^0.5)/(336^0.5))+(LOG(J3)*4/3))*0.631))</f>
        <v>1.7728769191445013</v>
      </c>
      <c r="BV3" s="37">
        <f ca="1">IF(TODAY()-E3&gt;335,((N3+1+(LOG(J3)*4/3))*0.702)+((O3+1+(LOG(J3)*4/3))*0.193),((N3+(((TODAY()-E3)^0.5)/(336^0.5))+(LOG(J3)*4/3))*0.702)+((O3+(((TODAY()-E3)^0.5)/(336^0.5))+(LOG(J3)*4/3))*0.193))</f>
        <v>5.5856194019561478</v>
      </c>
      <c r="BW3" s="37">
        <f ca="1">IF(TODAY()-E3&gt;335,((O3+1+(LOG(J3)*4/3))*0.148),((O3+(((TODAY()-E3)^0.5)/(336^0.5))+(LOG(J3)*4/3))*0.148))</f>
        <v>1.1558253312731954</v>
      </c>
      <c r="BX3" s="37">
        <f ca="1">IF(TODAY()-E3&gt;335,((M3+1+(LOG(J3)*4/3))*0.406),((M3+(((TODAY()-E3)^0.5)/(336^0.5))+(LOG(J3)*4/3))*0.406))</f>
        <v>1.1407100303845763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3.5570556465444114</v>
      </c>
      <c r="BZ3" s="37">
        <f ca="1">IF(D3="TEC",IF(TODAY()-E3&gt;335,((O3+1+(LOG(J3)*4/3))*0.543)+((P3+1+(LOG(J3)*4/3))*0.583),((O3+(((TODAY()-E3)^0.5)/(336^0.5))+(LOG(J3)*4/3))*0.543)+((P3+(((TODAY()-E3)^0.5)/(336^0.5))+(LOG(J3)*4/3))*0.583)),IF(TODAY()-E3&gt;335,((O3+1+(LOG(J3)*4/3))*0.543)+((P3+1+(LOG(J3)*4/3))*0.583),((O3+(((TODAY()-E3)^0.5)/(336^0.5))+(LOG(J3)*4/3))*0.543)+((P3+(((TODAY()-E3)^0.5)/(336^0.5))+(LOG(J3)*4/3))*0.583)))</f>
        <v>7.766453598225862</v>
      </c>
      <c r="CA3" s="37">
        <f ca="1">BY3</f>
        <v>3.5570556465444114</v>
      </c>
      <c r="CB3" s="37">
        <f ca="1">IF(TODAY()-E3&gt;335,((P3+1+(LOG(J3)*4/3))*0.26)+((N3+1+(LOG(J3)*4/3))*0.221)+((O3+1+(LOG(J3)*4/3))*0.142),((P3+(((TODAY()-E3)^0.5)/(336^0.5))+(LOG(J3)*4/3))*0.26)+((N3+(((TODAY()-E3)^0.5)/(336^0.5))+(LOG(J3)*4/3))*0.221)+((P3+(((TODAY()-E3)^0.5)/(336^0.5))+(LOG(J3)*4/3))*0.142))</f>
        <v>3.7151141599251014</v>
      </c>
      <c r="CC3" s="37">
        <f ca="1">IF(TODAY()-E3&gt;335,((P3+1+(LOG(J3)*4/3))*1)+((O3+1+(LOG(J3)*4/3))*0.369),((P3+(((TODAY()-E3)^0.5)/(336^0.5))+(LOG(J3)*4/3))*1)+((O3+(((TODAY()-E3)^0.5)/(336^0.5))+(LOG(J3)*4/3))*0.369))</f>
        <v>8.9294795523722943</v>
      </c>
      <c r="CD3" s="37">
        <f ca="1">CB3</f>
        <v>3.7151141599251014</v>
      </c>
      <c r="CE3" s="37">
        <f ca="1">IF(TODAY()-E3&gt;335,((M3+1+(LOG(J3)*4/3))*0.25),((M3+(((TODAY()-E3)^0.5)/(336^0.5))+(LOG(J3)*4/3))*0.25))</f>
        <v>0.70240765417769468</v>
      </c>
    </row>
    <row r="4" spans="1:83" x14ac:dyDescent="0.25">
      <c r="A4" t="str">
        <f>PLANTILLA!D5</f>
        <v>Marc Dolz</v>
      </c>
      <c r="B4">
        <f>PLANTILLA!E5</f>
        <v>17</v>
      </c>
      <c r="C4" s="33">
        <f ca="1">PLANTILLA!F5</f>
        <v>94</v>
      </c>
      <c r="D4" s="220" t="str">
        <f>PLANTILLA!G5</f>
        <v>POT</v>
      </c>
      <c r="E4" s="30">
        <f>PLANTILLA!M5</f>
        <v>43046</v>
      </c>
      <c r="F4" s="47">
        <f>PLANTILLA!Q5</f>
        <v>5</v>
      </c>
      <c r="G4" s="48">
        <f t="shared" ref="G4:G19" si="1">(F4/7)^0.5</f>
        <v>0.84515425472851657</v>
      </c>
      <c r="H4" s="48">
        <f t="shared" ref="H4:H19" si="2">IF(F4=7,1,((F4+0.99)/7)^0.5)</f>
        <v>0.92504826128926143</v>
      </c>
      <c r="I4" s="51">
        <f t="shared" ref="I4:I19" ca="1" si="3">IF(TODAY()-E4&gt;335,1,((TODAY()-E4)^0.5)/336^0.5)</f>
        <v>0.50885024459910744</v>
      </c>
      <c r="J4" s="39">
        <f>PLANTILLA!I5</f>
        <v>1</v>
      </c>
      <c r="K4" s="46">
        <f>PLANTILLA!X5</f>
        <v>0</v>
      </c>
      <c r="L4" s="46">
        <f>PLANTILLA!Y5</f>
        <v>4</v>
      </c>
      <c r="M4" s="46">
        <f>PLANTILLA!Z5</f>
        <v>4</v>
      </c>
      <c r="N4" s="46">
        <f>PLANTILLA!AA5</f>
        <v>3</v>
      </c>
      <c r="O4" s="46">
        <f>PLANTILLA!AB5</f>
        <v>4.2526666666666664</v>
      </c>
      <c r="P4" s="46">
        <f>PLANTILLA!AC5</f>
        <v>3.2000000000000006</v>
      </c>
      <c r="Q4" s="46">
        <f>PLANTILLA!AD5</f>
        <v>0.4</v>
      </c>
      <c r="R4" s="46">
        <f t="shared" ref="R4:R5" si="4">((2*(O4+1))+(L4+1))/8</f>
        <v>1.9381666666666666</v>
      </c>
      <c r="S4" s="46">
        <f t="shared" ref="S4:S5" si="5">(0.5*P4+ 0.3*Q4)/10</f>
        <v>0.17200000000000001</v>
      </c>
      <c r="T4" s="46">
        <f t="shared" ref="T4:T5" si="6">(0.4*L4+0.3*Q4)/10</f>
        <v>0.17200000000000001</v>
      </c>
      <c r="U4" s="46">
        <f t="shared" ref="U4:U5" ca="1" si="7">IF(TODAY()-E4&gt;335,(Q4+1+(LOG(J4)*4/3))*(F4/7)^0.5,(Q4+((TODAY()-E4)^0.5)/(336^0.5)+(LOG(J4)*4/3))*(F4/7)^0.5)</f>
        <v>0.76811865113398869</v>
      </c>
      <c r="V4" s="46">
        <f t="shared" ref="V4:V5" ca="1" si="8">IF(F4=7,U4,IF(TODAY()-E4&gt;335,(Q4+1+(LOG(J4)*4/3))*((F4+0.99)/7)^0.5,(Q4+((TODAY()-E4)^0.5)/(336^0.5)+(LOG(J4)*4/3))*((F4+0.99)/7)^0.5))</f>
        <v>0.84073033853872436</v>
      </c>
      <c r="W4" s="37">
        <f t="shared" ref="W4:W5" ca="1" si="9">IF(TODAY()-E4&gt;335,((K4+1+(LOG(J4)*4/3))*0.597)+((L4+1+(LOG(J4)*4/3))*0.276),((K4+(((TODAY()-E4)^0.5)/(336^0.5))+(LOG(J4)*4/3))*0.597)+((L4+(((TODAY()-E4)^0.5)/(336^0.5))+(LOG(J4)*4/3))*0.276))</f>
        <v>1.548226263535021</v>
      </c>
      <c r="X4" s="37">
        <f t="shared" ref="X4:X5" ca="1" si="10">IF(TODAY()-E4&gt;335,((K4+1+(LOG(J4)*4/3))*0.866)+((L4+1+(LOG(J4)*4/3))*0.425),((K4+(((TODAY()-E4)^0.5)/(336^0.5))+(LOG(J4)*4/3))*0.866)+((L4+(((TODAY()-E4)^0.5)/(336^0.5))+(LOG(J4)*4/3))*0.425))</f>
        <v>2.3569256657774478</v>
      </c>
      <c r="Y4" s="37">
        <f t="shared" ref="Y4:Y5" ca="1" si="11">W4</f>
        <v>1.548226263535021</v>
      </c>
      <c r="Z4" s="37">
        <f t="shared" ref="Z4:Z5" ca="1" si="12">IF(TODAY()-E4&gt;335,((L4+1+(LOG(J4)*4/3))*0.516),((L4+(((TODAY()-E4)^0.5)/(336^0.516))+(LOG(J4)*4/3))*0.516))</f>
        <v>2.3032314435170629</v>
      </c>
      <c r="AA4" s="37">
        <f t="shared" ref="AA4:AA5" ca="1" si="13">IF(TODAY()-E4&gt;335,((L4+1+(LOG(J4)*4/3))*1),((L4+(((TODAY()-E4)^0.5)/(336^0.5))+(LOG(J4)*4/3))*1))</f>
        <v>4.5088502445991079</v>
      </c>
      <c r="AB4" s="37">
        <f t="shared" ref="AB4:AB5" ca="1" si="14">Z4/2</f>
        <v>1.1516157217585314</v>
      </c>
      <c r="AC4" s="37">
        <f t="shared" ref="AC4:AC5" ca="1" si="15">IF(TODAY()-E4&gt;335,((M4+1+(LOG(J4)*4/3))*0.238),((M4+(((TODAY()-E4)^0.5)/(336^0.238))+(LOG(J4)*4/3))*0.238))</f>
        <v>1.5079910944397015</v>
      </c>
      <c r="AD4" s="37">
        <f t="shared" ref="AD4:AD5" ca="1" si="16">IF(TODAY()-E4&gt;335,((L4+1+(LOG(J4)*4/3))*0.378),((L4+(((TODAY()-E4)^0.5)/(336^0.516))+(LOG(J4)*4/3))*0.378))</f>
        <v>1.6872509411811041</v>
      </c>
      <c r="AE4" s="37">
        <f t="shared" ref="AE4:AE5" ca="1" si="17">IF(TODAY()-E4&gt;335,((L4+1+(LOG(J4)*4/3))*0.723),((L4+(((TODAY()-E4)^0.5)/(336^0.5))+(LOG(J4)*4/3))*0.723))</f>
        <v>3.2598987268451549</v>
      </c>
      <c r="AF4" s="37">
        <f t="shared" ref="AF4:AF5" ca="1" si="18">AD4/2</f>
        <v>0.84362547059055204</v>
      </c>
      <c r="AG4" s="37">
        <f t="shared" ref="AG4:AG5" ca="1" si="19">IF(TODAY()-E4&gt;335,((M4+1+(LOG(J4)*4/3))*0.385),((M4+(((TODAY()-E4)^0.5)/(336^0.238))+(LOG(J4)*4/3))*0.385))</f>
        <v>2.4393973586524584</v>
      </c>
      <c r="AH4" s="37">
        <f t="shared" ref="AH4:AH5" ca="1" si="20">IF(TODAY()-E4&gt;335,((L4+1+(LOG(J4)*4/3))*0.92),((L4+(((TODAY()-E4)^0.5)/(336^0.5))+(LOG(J4)*4/3))*0.92))</f>
        <v>4.1481422250311795</v>
      </c>
      <c r="AI4" s="37">
        <f t="shared" ref="AI4:AI5" ca="1" si="21">IF(TODAY()-E4&gt;335,((L4+1+(LOG(J4)*4/3))*0.414),((L4+(((TODAY()-E4)^0.5)/(336^0.414))+(LOG(J4)*4/3))*0.414))</f>
        <v>2.0034205524865056</v>
      </c>
      <c r="AJ4" s="37">
        <f t="shared" ref="AJ4:AJ5" ca="1" si="22">IF(TODAY()-E4&gt;335,((M4+1+(LOG(J4)*4/3))*0.167),((M4+(((TODAY()-E4)^0.5)/(336^0.5))+(LOG(J4)*4/3))*0.167))</f>
        <v>0.75297799084805106</v>
      </c>
      <c r="AK4" s="37">
        <f t="shared" ref="AK4:AK5" ca="1" si="23">IF(TODAY()-E4&gt;335,((N4+1+(LOG(J4)*4/3))*0.588),((N4+(((TODAY()-E4)^0.5)/(336^0.5))+(LOG(J4)*4/3))*0.588))</f>
        <v>2.0632039438242749</v>
      </c>
      <c r="AL4" s="37">
        <f t="shared" ref="AL4:AL5" ca="1" si="24">IF(TODAY()-E4&gt;335,((L4+1+(LOG(J4)*4/3))*0.754),((L4+(((TODAY()-E4)^0.5)/(336^0.5))+(LOG(J4)*4/3))*0.754))</f>
        <v>3.3996730844277274</v>
      </c>
      <c r="AM4" s="37">
        <f t="shared" ref="AM4:AM5" ca="1" si="25">IF(TODAY()-E4&gt;335,((L4+1+(LOG(J4)*4/3))*0.708),((L4+(((TODAY()-E4)^0.5)/(336^0.414))+(LOG(J4)*4/3))*0.708))</f>
        <v>3.4261394955566327</v>
      </c>
      <c r="AN4" s="37">
        <f t="shared" ref="AN4:AN5" ca="1" si="26">IF(TODAY()-E4&gt;335,((Q4+1+(LOG(J4)*4/3))*0.167),((Q4+(((TODAY()-E4)^0.5)/(336^0.5))+(LOG(J4)*4/3))*0.167))</f>
        <v>0.15177799084805096</v>
      </c>
      <c r="AO4" s="37">
        <f t="shared" ref="AO4:AO5" ca="1" si="27">IF(TODAY()-E4&gt;335,((R4+1+(LOG(J4)*4/3))*0.288),((R4+(((TODAY()-E4)^0.5)/(336^0.5))+(LOG(J4)*4/3))*0.288))</f>
        <v>0.70474087044454292</v>
      </c>
      <c r="AP4" s="37">
        <f t="shared" ref="AP4:AP5" ca="1" si="28">IF(TODAY()-E4&gt;335,((L4+1+(LOG(J4)*4/3))*0.27),((L4+(((TODAY()-E4)^0.5)/(336^0.5))+(LOG(J4)*4/3))*0.27))</f>
        <v>1.2173895660417593</v>
      </c>
      <c r="AQ4" s="37">
        <f t="shared" ref="AQ4:AQ5" ca="1" si="29">IF(TODAY()-E4&gt;335,((L4+1+(LOG(J4)*4/3))*0.594),((L4+(((TODAY()-E4)^0.5)/(336^0.5))+(LOG(J4)*4/3))*0.594))</f>
        <v>2.6782570452918701</v>
      </c>
      <c r="AR4" s="37">
        <f t="shared" ref="AR4:AR5" ca="1" si="30">AP4/2</f>
        <v>0.60869478302087965</v>
      </c>
      <c r="AS4" s="37">
        <f t="shared" ref="AS4:AS5" ca="1" si="31">IF(TODAY()-E4&gt;335,((M4+1+(LOG(J4)*4/3))*0.944),((M4+(((TODAY()-E4)^0.5)/(336^0.5))+(LOG(J4)*4/3))*0.944))</f>
        <v>4.2563546309015576</v>
      </c>
      <c r="AT4" s="37">
        <f t="shared" ref="AT4:AT5" ca="1" si="32">IF(TODAY()-E4&gt;335,((O4+1+(LOG(J4)*4/3))*0.13),((O4+(((TODAY()-E4)^0.5)/(336^0.5))+(LOG(J4)*4/3))*0.13))</f>
        <v>0.6189971984645507</v>
      </c>
      <c r="AU4" s="37">
        <f t="shared" ref="AU4:AU5" ca="1" si="33">IF(TODAY()-E4&gt;335,((P4+1+(LOG(J4)*4/3))*0.173)+((O4+1+(LOG(J4)*4/3))*0.12),((P4+(((TODAY()-E4)^0.5)/(336^0.5))+(LOG(J4)*4/3))*0.173)+((O4+(((TODAY()-E4)^0.5)/(336^0.5))+(LOG(J4)*4/3))*0.12))</f>
        <v>1.2130131216675384</v>
      </c>
      <c r="AV4" s="37">
        <f t="shared" ref="AV4:AV5" ca="1" si="34">AT4/2</f>
        <v>0.30949859923227535</v>
      </c>
      <c r="AW4" s="37">
        <f t="shared" ref="AW4:AW5" ca="1" si="35">IF(TODAY()-E4&gt;335,((L4+1+(LOG(J4)*4/3))*0.189),((L4+(((TODAY()-E4)^0.5)/(336^0.5))+(LOG(J4)*4/3))*0.189))</f>
        <v>0.85217269622923142</v>
      </c>
      <c r="AX4" s="37">
        <f t="shared" ref="AX4:AX5" ca="1" si="36">IF(TODAY()-E4&gt;335,((L4+1+(LOG(J4)*4/3))*0.4),((L4+(((TODAY()-E4)^0.5)/(336^0.5))+(LOG(J4)*4/3))*0.4))</f>
        <v>1.8035400978396432</v>
      </c>
      <c r="AY4" s="37">
        <f t="shared" ref="AY4:AY5" ca="1" si="37">AW4/2</f>
        <v>0.42608634811461571</v>
      </c>
      <c r="AZ4" s="37">
        <f t="shared" ref="AZ4:AZ5" ca="1" si="38">IF(TODAY()-E4&gt;335,((M4+1+(LOG(J4)*4/3))*1),((M4+(((TODAY()-E4)^0.5)/(336^0.5))+(LOG(J4)*4/3))*1))</f>
        <v>4.5088502445991079</v>
      </c>
      <c r="BA4" s="37">
        <f t="shared" ref="BA4:BA5" ca="1" si="39">IF(TODAY()-E4&gt;335,((O4+1+(LOG(J4)*4/3))*0.253),((O4+(((TODAY()-E4)^0.5)/(336^0.5))+(LOG(J4)*4/3))*0.253))</f>
        <v>1.204663778550241</v>
      </c>
      <c r="BB4" s="37">
        <f t="shared" ref="BB4:BB5" ca="1" si="40">IF(TODAY()-E4&gt;335,((P4+1+(LOG(J4)*4/3))*0.21)+((O4+1+(LOG(J4)*4/3))*0.341),((P4+(((TODAY()-E4)^0.5)/(336^0.5))+(LOG(J4)*4/3))*0.21)+((O4+(((TODAY()-E4)^0.5)/(336^0.5))+(LOG(J4)*4/3))*0.341))</f>
        <v>2.4025358181074417</v>
      </c>
      <c r="BC4" s="37">
        <f t="shared" ref="BC4:BC5" ca="1" si="41">BA4/2</f>
        <v>0.60233188927512049</v>
      </c>
      <c r="BD4" s="37">
        <f t="shared" ref="BD4:BD5" ca="1" si="42">IF(TODAY()-E4&gt;335,((L4+1+(LOG(J4)*4/3))*0.291),((L4+(((TODAY()-E4)^0.5)/(336^0.5))+(LOG(J4)*4/3))*0.291))</f>
        <v>1.3120754211783403</v>
      </c>
      <c r="BE4" s="37">
        <f t="shared" ref="BE4:BE5" ca="1" si="43">IF(TODAY()-E4&gt;335,((L4+1+(LOG(J4)*4/3))*0.348),((L4+(((TODAY()-E4)^0.5)/(336^0.5))+(LOG(J4)*4/3))*0.348))</f>
        <v>1.5690798851204895</v>
      </c>
      <c r="BF4" s="37">
        <f t="shared" ref="BF4:BF5" ca="1" si="44">IF(TODAY()-E4&gt;335,((M4+1+(LOG(J4)*4/3))*0.881),((M4+(((TODAY()-E4)^0.5)/(336^0.5))+(LOG(J4)*4/3))*0.881))</f>
        <v>3.9722970654918139</v>
      </c>
      <c r="BG4" s="37">
        <f t="shared" ref="BG4:BG5" ca="1" si="45">IF(TODAY()-E4&gt;335,((N4+1+(LOG(J4)*4/3))*0.574)+((O4+1+(LOG(J4)*4/3))*0.315),((N4+(((TODAY()-E4)^0.5)/(336^0.5))+(LOG(J4)*4/3))*0.574)+((O4+(((TODAY()-E4)^0.5)/(336^0.5))+(LOG(J4)*4/3))*0.315))</f>
        <v>3.5139578674486063</v>
      </c>
      <c r="BH4" s="37">
        <f t="shared" ref="BH4:BH5" ca="1" si="46">IF(TODAY()-E4&gt;335,((O4+1+(LOG(J4)*4/3))*0.241),((O4+(((TODAY()-E4)^0.5)/(336^0.5))+(LOG(J4)*4/3))*0.241))</f>
        <v>1.1475255756150515</v>
      </c>
      <c r="BI4" s="37">
        <f t="shared" ref="BI4:BI5" ca="1" si="47">IF(TODAY()-E4&gt;335,((L4+1+(LOG(J4)*4/3))*0.485),((L4+(((TODAY()-E4)^0.5)/(336^0.5))+(LOG(J4)*4/3))*0.485))</f>
        <v>2.1867923686305675</v>
      </c>
      <c r="BJ4" s="37">
        <f t="shared" ref="BJ4:BJ5" ca="1" si="48">IF(TODAY()-E4&gt;335,((L4+1+(LOG(J4)*4/3))*0.264),((L4+(((TODAY()-E4)^0.5)/(336^0.5))+(LOG(J4)*4/3))*0.264))</f>
        <v>1.1903364645741645</v>
      </c>
      <c r="BK4" s="37">
        <f t="shared" ref="BK4:BK5" ca="1" si="49">IF(TODAY()-E4&gt;335,((M4+1+(LOG(J4)*4/3))*0.381),((M4+(((TODAY()-E4)^0.5)/(336^0.5))+(LOG(J4)*4/3))*0.381))</f>
        <v>1.7178719431922602</v>
      </c>
      <c r="BL4" s="37">
        <f t="shared" ref="BL4:BL5" ca="1" si="50">IF(TODAY()-E4&gt;335,((N4+1+(LOG(J4)*4/3))*0.673)+((O4+1+(LOG(J4)*4/3))*0.201),((N4+(((TODAY()-E4)^0.5)/(336^0.5))+(LOG(J4)*4/3))*0.673)+((O4+(((TODAY()-E4)^0.5)/(336^0.5))+(LOG(J4)*4/3))*0.201))</f>
        <v>3.31852111377962</v>
      </c>
      <c r="BM4" s="37">
        <f t="shared" ref="BM4:BM5" ca="1" si="51">IF(TODAY()-E4&gt;335,((O4+1+(LOG(J4)*4/3))*0.052),((O4+(((TODAY()-E4)^0.5)/(336^0.5))+(LOG(J4)*4/3))*0.052))</f>
        <v>0.24759887938582026</v>
      </c>
      <c r="BN4" s="37">
        <f t="shared" ref="BN4:BN5" ca="1" si="52">IF(TODAY()-E4&gt;335,((L4+1+(LOG(J4)*4/3))*0.18),((L4+(((TODAY()-E4)^0.5)/(336^0.5))+(LOG(J4)*4/3))*0.18))</f>
        <v>0.81159304402783938</v>
      </c>
      <c r="BO4" s="37">
        <f t="shared" ref="BO4:BO5" ca="1" si="53">IF(TODAY()-E4&gt;335,((L4+1+(LOG(J4)*4/3))*0.068),((L4+(((TODAY()-E4)^0.5)/(336^0.5))+(LOG(J4)*4/3))*0.068))</f>
        <v>0.30660181663273933</v>
      </c>
      <c r="BP4" s="37">
        <f t="shared" ref="BP4:BP5" ca="1" si="54">IF(TODAY()-E4&gt;335,((M4+1+(LOG(J4)*4/3))*0.305),((M4+(((TODAY()-E4)^0.5)/(336^0.5))+(LOG(J4)*4/3))*0.305))</f>
        <v>1.3751993246027279</v>
      </c>
      <c r="BQ4" s="37">
        <f t="shared" ref="BQ4:BQ5" ca="1" si="55">IF(TODAY()-E4&gt;335,((N4+1+(LOG(J4)*4/3))*1)+((O4+1+(LOG(J4)*4/3))*0.286),((N4+(((TODAY()-E4)^0.5)/(336^0.5))+(LOG(J4)*4/3))*1)+((O4+(((TODAY()-E4)^0.5)/(336^0.5))+(LOG(J4)*4/3))*0.286))</f>
        <v>4.8706440812211191</v>
      </c>
      <c r="BR4" s="37">
        <f t="shared" ref="BR4:BR5" ca="1" si="56">IF(TODAY()-E4&gt;335,((O4+1+(LOG(J4)*4/3))*0.135),((O4+(((TODAY()-E4)^0.5)/(336^0.5))+(LOG(J4)*4/3))*0.135))</f>
        <v>0.64280478302087962</v>
      </c>
      <c r="BS4" s="37">
        <f t="shared" ref="BS4:BS5" ca="1" si="57">IF(TODAY()-E4&gt;335,((L4+1+(LOG(J4)*4/3))*0.284),((L4+(((TODAY()-E4)^0.5)/(336^0.5))+(LOG(J4)*4/3))*0.284))</f>
        <v>1.2805134694661464</v>
      </c>
      <c r="BT4" s="37">
        <f t="shared" ref="BT4:BT5" ca="1" si="58">IF(TODAY()-E4&gt;335,((L4+1+(LOG(J4)*4/3))*0.244),((L4+(((TODAY()-E4)^0.5)/(336^0.5))+(LOG(J4)*4/3))*0.244))</f>
        <v>1.1001594596821822</v>
      </c>
      <c r="BU4" s="37">
        <f t="shared" ref="BU4:BU5" ca="1" si="59">IF(TODAY()-E4&gt;335,((M4+1+(LOG(J4)*4/3))*0.631),((M4+(((TODAY()-E4)^0.5)/(336^0.5))+(LOG(J4)*4/3))*0.631))</f>
        <v>2.845084504342037</v>
      </c>
      <c r="BV4" s="37">
        <f t="shared" ref="BV4:BV5" ca="1" si="60">IF(TODAY()-E4&gt;335,((N4+1+(LOG(J4)*4/3))*0.702)+((O4+1+(LOG(J4)*4/3))*0.193),((N4+(((TODAY()-E4)^0.5)/(336^0.5))+(LOG(J4)*4/3))*0.702)+((O4+(((TODAY()-E4)^0.5)/(336^0.5))+(LOG(J4)*4/3))*0.193))</f>
        <v>3.3821856355828679</v>
      </c>
      <c r="BW4" s="37">
        <f t="shared" ref="BW4:BW5" ca="1" si="61">IF(TODAY()-E4&gt;335,((O4+1+(LOG(J4)*4/3))*0.148),((O4+(((TODAY()-E4)^0.5)/(336^0.5))+(LOG(J4)*4/3))*0.148))</f>
        <v>0.70470450286733455</v>
      </c>
      <c r="BX4" s="37">
        <f t="shared" ref="BX4:BX5" ca="1" si="62">IF(TODAY()-E4&gt;335,((M4+1+(LOG(J4)*4/3))*0.406),((M4+(((TODAY()-E4)^0.5)/(336^0.5))+(LOG(J4)*4/3))*0.406))</f>
        <v>1.830593199307238</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2.1666776441028017</v>
      </c>
      <c r="BZ4" s="37">
        <f t="shared" ref="BZ4:BZ5" ca="1" si="64">IF(D4="TEC",IF(TODAY()-E4&gt;335,((O4+1+(LOG(J4)*4/3))*0.543)+((P4+1+(LOG(J4)*4/3))*0.583),((O4+(((TODAY()-E4)^0.5)/(336^0.5))+(LOG(J4)*4/3))*0.543)+((P4+(((TODAY()-E4)^0.5)/(336^0.5))+(LOG(J4)*4/3))*0.583)),IF(TODAY()-E4&gt;335,((O4+1+(LOG(J4)*4/3))*0.543)+((P4+1+(LOG(J4)*4/3))*0.583),((O4+(((TODAY()-E4)^0.5)/(336^0.5))+(LOG(J4)*4/3))*0.543)+((P4+(((TODAY()-E4)^0.5)/(336^0.5))+(LOG(J4)*4/3))*0.583)))</f>
        <v>4.7477633754185957</v>
      </c>
      <c r="CA4" s="37">
        <f t="shared" ref="CA4:CA5" ca="1" si="65">BY4</f>
        <v>2.1666776441028017</v>
      </c>
      <c r="CB4" s="37">
        <f t="shared" ref="CB4:CB5" ca="1" si="66">IF(TODAY()-E4&gt;335,((P4+1+(LOG(J4)*4/3))*0.26)+((N4+1+(LOG(J4)*4/3))*0.221)+((O4+1+(LOG(J4)*4/3))*0.142),((P4+(((TODAY()-E4)^0.5)/(336^0.5))+(LOG(J4)*4/3))*0.26)+((N4+(((TODAY()-E4)^0.5)/(336^0.5))+(LOG(J4)*4/3))*0.221)+((P4+(((TODAY()-E4)^0.5)/(336^0.5))+(LOG(J4)*4/3))*0.142))</f>
        <v>2.2664137023852442</v>
      </c>
      <c r="CC4" s="37">
        <f t="shared" ref="CC4:CC5" ca="1" si="67">IF(TODAY()-E4&gt;335,((P4+1+(LOG(J4)*4/3))*1)+((O4+1+(LOG(J4)*4/3))*0.369),((P4+(((TODAY()-E4)^0.5)/(336^0.5))+(LOG(J4)*4/3))*1)+((O4+(((TODAY()-E4)^0.5)/(336^0.5))+(LOG(J4)*4/3))*0.369))</f>
        <v>5.4658499848561792</v>
      </c>
      <c r="CD4" s="37">
        <f t="shared" ref="CD4:CD5" ca="1" si="68">CB4</f>
        <v>2.2664137023852442</v>
      </c>
      <c r="CE4" s="37">
        <f t="shared" ref="CE4:CE5" ca="1" si="69">IF(TODAY()-E4&gt;335,((M4+1+(LOG(J4)*4/3))*0.25),((M4+(((TODAY()-E4)^0.5)/(336^0.5))+(LOG(J4)*4/3))*0.25))</f>
        <v>1.127212561149777</v>
      </c>
    </row>
    <row r="5" spans="1:83" x14ac:dyDescent="0.25">
      <c r="A5" t="str">
        <f>PLANTILLA!D6</f>
        <v>Manuel Parejo</v>
      </c>
      <c r="B5">
        <f>PLANTILLA!E6</f>
        <v>17</v>
      </c>
      <c r="C5" s="33">
        <f ca="1">PLANTILLA!F6</f>
        <v>41</v>
      </c>
      <c r="D5" s="220">
        <f>PLANTILLA!G6</f>
        <v>0</v>
      </c>
      <c r="E5" s="30">
        <f>PLANTILLA!M6</f>
        <v>43097</v>
      </c>
      <c r="F5" s="47">
        <f>PLANTILLA!Q6</f>
        <v>5</v>
      </c>
      <c r="G5" s="48">
        <f t="shared" si="1"/>
        <v>0.84515425472851657</v>
      </c>
      <c r="H5" s="48">
        <f t="shared" si="2"/>
        <v>0.92504826128926143</v>
      </c>
      <c r="I5" s="51">
        <f t="shared" ca="1" si="3"/>
        <v>0.3273268353539886</v>
      </c>
      <c r="J5" s="39">
        <f>PLANTILLA!I6</f>
        <v>1.1000000000000001</v>
      </c>
      <c r="K5" s="46">
        <f>PLANTILLA!X6</f>
        <v>0</v>
      </c>
      <c r="L5" s="46">
        <f>PLANTILLA!Y6</f>
        <v>5</v>
      </c>
      <c r="M5" s="46">
        <f>PLANTILLA!Z6</f>
        <v>6.7</v>
      </c>
      <c r="N5" s="46">
        <f>PLANTILLA!AA6</f>
        <v>3</v>
      </c>
      <c r="O5" s="46">
        <f>PLANTILLA!AB6</f>
        <v>2</v>
      </c>
      <c r="P5" s="46">
        <f>PLANTILLA!AC6</f>
        <v>3.3259259259259268</v>
      </c>
      <c r="Q5" s="46">
        <f>PLANTILLA!AD6</f>
        <v>2</v>
      </c>
      <c r="R5" s="46">
        <f t="shared" si="4"/>
        <v>1.5</v>
      </c>
      <c r="S5" s="46">
        <f t="shared" si="5"/>
        <v>0.22629629629629636</v>
      </c>
      <c r="T5" s="46">
        <f t="shared" si="6"/>
        <v>0.26</v>
      </c>
      <c r="U5" s="46">
        <f t="shared" ca="1" si="7"/>
        <v>2.0135944490114261</v>
      </c>
      <c r="V5" s="46">
        <f t="shared" ca="1" si="8"/>
        <v>2.2039432844103262</v>
      </c>
      <c r="W5" s="37">
        <f t="shared" ca="1" si="9"/>
        <v>1.7139374127882063</v>
      </c>
      <c r="X5" s="37">
        <f t="shared" ca="1" si="10"/>
        <v>2.6188295531610239</v>
      </c>
      <c r="Y5" s="37">
        <f t="shared" ca="1" si="11"/>
        <v>1.7139374127882063</v>
      </c>
      <c r="Z5" s="37">
        <f t="shared" ca="1" si="12"/>
        <v>2.7623679849820486</v>
      </c>
      <c r="AA5" s="37">
        <f t="shared" ca="1" si="13"/>
        <v>5.3825170822316224</v>
      </c>
      <c r="AB5" s="37">
        <f t="shared" ca="1" si="14"/>
        <v>1.3811839924910243</v>
      </c>
      <c r="AC5" s="37">
        <f t="shared" ca="1" si="15"/>
        <v>1.9653862917210694</v>
      </c>
      <c r="AD5" s="37">
        <f t="shared" ca="1" si="16"/>
        <v>2.0235951517891753</v>
      </c>
      <c r="AE5" s="37">
        <f t="shared" ca="1" si="17"/>
        <v>3.8915598504534628</v>
      </c>
      <c r="AF5" s="37">
        <f t="shared" ca="1" si="18"/>
        <v>1.0117975758945876</v>
      </c>
      <c r="AG5" s="37">
        <f t="shared" ca="1" si="19"/>
        <v>3.1793013542546715</v>
      </c>
      <c r="AH5" s="37">
        <f t="shared" ca="1" si="20"/>
        <v>4.9519157156530929</v>
      </c>
      <c r="AI5" s="37">
        <f t="shared" ca="1" si="21"/>
        <v>2.3163331197159729</v>
      </c>
      <c r="AJ5" s="37">
        <f t="shared" ca="1" si="22"/>
        <v>1.182780352732681</v>
      </c>
      <c r="AK5" s="37">
        <f t="shared" ca="1" si="23"/>
        <v>1.9889200443521935</v>
      </c>
      <c r="AL5" s="37">
        <f t="shared" ca="1" si="24"/>
        <v>4.0584178800026436</v>
      </c>
      <c r="AM5" s="37">
        <f t="shared" ca="1" si="25"/>
        <v>3.9612653351664466</v>
      </c>
      <c r="AN5" s="37">
        <f t="shared" ca="1" si="26"/>
        <v>0.39788035273268091</v>
      </c>
      <c r="AO5" s="37">
        <f t="shared" ca="1" si="27"/>
        <v>0.54216491968270719</v>
      </c>
      <c r="AP5" s="37">
        <f t="shared" ca="1" si="28"/>
        <v>1.4532796122025382</v>
      </c>
      <c r="AQ5" s="37">
        <f t="shared" ca="1" si="29"/>
        <v>3.1972151468455836</v>
      </c>
      <c r="AR5" s="37">
        <f t="shared" ca="1" si="30"/>
        <v>0.7266398061012691</v>
      </c>
      <c r="AS5" s="37">
        <f t="shared" ca="1" si="31"/>
        <v>6.6858961256266509</v>
      </c>
      <c r="AT5" s="37">
        <f t="shared" ca="1" si="32"/>
        <v>0.30972722069011088</v>
      </c>
      <c r="AU5" s="37">
        <f t="shared" ca="1" si="33"/>
        <v>0.92746269027905059</v>
      </c>
      <c r="AV5" s="37">
        <f t="shared" ca="1" si="34"/>
        <v>0.15486361034505544</v>
      </c>
      <c r="AW5" s="37">
        <f t="shared" ca="1" si="35"/>
        <v>1.0172957285417767</v>
      </c>
      <c r="AX5" s="37">
        <f t="shared" ca="1" si="36"/>
        <v>2.153006832892649</v>
      </c>
      <c r="AY5" s="37">
        <f t="shared" ca="1" si="37"/>
        <v>0.50864786427088837</v>
      </c>
      <c r="AZ5" s="37">
        <f t="shared" ca="1" si="38"/>
        <v>7.0825170822316226</v>
      </c>
      <c r="BA5" s="37">
        <f t="shared" ca="1" si="39"/>
        <v>0.60277682180460035</v>
      </c>
      <c r="BB5" s="37">
        <f t="shared" ca="1" si="40"/>
        <v>1.5912113567540684</v>
      </c>
      <c r="BC5" s="37">
        <f t="shared" ca="1" si="41"/>
        <v>0.30138841090230017</v>
      </c>
      <c r="BD5" s="37">
        <f t="shared" ca="1" si="42"/>
        <v>1.5663124709294021</v>
      </c>
      <c r="BE5" s="37">
        <f t="shared" ca="1" si="43"/>
        <v>1.8731159446166044</v>
      </c>
      <c r="BF5" s="37">
        <f t="shared" ca="1" si="44"/>
        <v>6.2396975494460598</v>
      </c>
      <c r="BG5" s="37">
        <f t="shared" ca="1" si="45"/>
        <v>2.6920576861039116</v>
      </c>
      <c r="BH5" s="37">
        <f t="shared" ca="1" si="46"/>
        <v>0.57418661681782091</v>
      </c>
      <c r="BI5" s="37">
        <f t="shared" ca="1" si="47"/>
        <v>2.6105207848823366</v>
      </c>
      <c r="BJ5" s="37">
        <f t="shared" ca="1" si="48"/>
        <v>1.4209845097091485</v>
      </c>
      <c r="BK5" s="37">
        <f t="shared" ca="1" si="49"/>
        <v>2.6984390083302481</v>
      </c>
      <c r="BL5" s="37">
        <f t="shared" ca="1" si="50"/>
        <v>2.7553199298704376</v>
      </c>
      <c r="BM5" s="37">
        <f t="shared" ca="1" si="51"/>
        <v>0.12389088827604433</v>
      </c>
      <c r="BN5" s="37">
        <f t="shared" ca="1" si="52"/>
        <v>0.96885307480169203</v>
      </c>
      <c r="BO5" s="37">
        <f t="shared" ca="1" si="53"/>
        <v>0.36601116159175034</v>
      </c>
      <c r="BP5" s="37">
        <f t="shared" ca="1" si="54"/>
        <v>2.1601677100806449</v>
      </c>
      <c r="BQ5" s="37">
        <f t="shared" ca="1" si="55"/>
        <v>4.0639169677498659</v>
      </c>
      <c r="BR5" s="37">
        <f t="shared" ca="1" si="56"/>
        <v>0.32163980610126897</v>
      </c>
      <c r="BS5" s="37">
        <f t="shared" ca="1" si="57"/>
        <v>1.5286348513537806</v>
      </c>
      <c r="BT5" s="37">
        <f t="shared" ca="1" si="58"/>
        <v>1.3133341680645159</v>
      </c>
      <c r="BU5" s="37">
        <f t="shared" ca="1" si="59"/>
        <v>4.4690682788881535</v>
      </c>
      <c r="BV5" s="37">
        <f t="shared" ca="1" si="60"/>
        <v>2.8343527885973017</v>
      </c>
      <c r="BW5" s="37">
        <f t="shared" ca="1" si="61"/>
        <v>0.35261252817028005</v>
      </c>
      <c r="BX5" s="37">
        <f t="shared" ca="1" si="62"/>
        <v>2.8755019353860392</v>
      </c>
      <c r="BY5" s="37">
        <f t="shared" ca="1" si="63"/>
        <v>1.5536839924352677</v>
      </c>
      <c r="BZ5" s="37">
        <f t="shared" ca="1" si="64"/>
        <v>3.4557290494076218</v>
      </c>
      <c r="CA5" s="37">
        <f t="shared" ca="1" si="65"/>
        <v>1.5536839924352677</v>
      </c>
      <c r="CB5" s="37">
        <f t="shared" ca="1" si="66"/>
        <v>2.2383303644525228</v>
      </c>
      <c r="CC5" s="37">
        <f t="shared" ca="1" si="67"/>
        <v>4.5875918115010172</v>
      </c>
      <c r="CD5" s="37">
        <f t="shared" ca="1" si="68"/>
        <v>2.2383303644525228</v>
      </c>
      <c r="CE5" s="37">
        <f t="shared" ca="1" si="69"/>
        <v>1.7706292705579056</v>
      </c>
    </row>
    <row r="6" spans="1:83" x14ac:dyDescent="0.25">
      <c r="A6" t="str">
        <f>PLANTILLA!D7</f>
        <v>Valeri Gomis</v>
      </c>
      <c r="B6">
        <f>PLANTILLA!E7</f>
        <v>17</v>
      </c>
      <c r="C6" s="33">
        <f ca="1">PLANTILLA!F7</f>
        <v>97</v>
      </c>
      <c r="D6" s="220" t="str">
        <f>PLANTILLA!G7</f>
        <v>IMP</v>
      </c>
      <c r="E6" s="30">
        <f>PLANTILLA!M7</f>
        <v>43051</v>
      </c>
      <c r="F6" s="47">
        <f>PLANTILLA!Q7</f>
        <v>6</v>
      </c>
      <c r="G6" s="48">
        <f t="shared" si="1"/>
        <v>0.92582009977255142</v>
      </c>
      <c r="H6" s="48">
        <f t="shared" si="2"/>
        <v>0.99928545900129484</v>
      </c>
      <c r="I6" s="51">
        <f t="shared" ca="1" si="3"/>
        <v>0.49401176002967695</v>
      </c>
      <c r="J6" s="39">
        <f>PLANTILLA!I7</f>
        <v>1.4</v>
      </c>
      <c r="K6" s="46">
        <f>PLANTILLA!X7</f>
        <v>0</v>
      </c>
      <c r="L6" s="46">
        <f>PLANTILLA!Y7</f>
        <v>6</v>
      </c>
      <c r="M6" s="46">
        <f>PLANTILLA!Z7</f>
        <v>3</v>
      </c>
      <c r="N6" s="46">
        <f>PLANTILLA!AA7</f>
        <v>3</v>
      </c>
      <c r="O6" s="46">
        <f>PLANTILLA!AB7</f>
        <v>5.4</v>
      </c>
      <c r="P6" s="46">
        <f>PLANTILLA!AC7</f>
        <v>5.33</v>
      </c>
      <c r="Q6" s="46">
        <f>PLANTILLA!AD7</f>
        <v>3</v>
      </c>
      <c r="R6" s="46">
        <f t="shared" ref="R6:R17" si="70">((2*(O6+1))+(L6+1))/8</f>
        <v>2.4750000000000001</v>
      </c>
      <c r="S6" s="46">
        <f t="shared" ref="S6:S17" si="71">(0.5*P6+ 0.3*Q6)/10</f>
        <v>0.35649999999999998</v>
      </c>
      <c r="T6" s="46">
        <f t="shared" ref="T6:T17" si="72">(0.4*L6+0.3*Q6)/10</f>
        <v>0.33</v>
      </c>
      <c r="U6" s="46">
        <f t="shared" ref="U6:U17" ca="1" si="73">IF(TODAY()-E6&gt;335,(Q6+1+(LOG(J6)*4/3))*(F6/7)^0.5,(Q6+((TODAY()-E6)^0.5)/(336^0.5)+(LOG(J6)*4/3))*(F6/7)^0.5)</f>
        <v>3.4152106797054014</v>
      </c>
      <c r="V6" s="46">
        <f t="shared" ref="V6:V17" ca="1" si="74">IF(F6=7,U6,IF(TODAY()-E6&gt;335,(Q6+1+(LOG(J6)*4/3))*((F6+0.99)/7)^0.5,(Q6+((TODAY()-E6)^0.5)/(336^0.5)+(LOG(J6)*4/3))*((F6+0.99)/7)^0.5))</f>
        <v>3.6862133069847589</v>
      </c>
      <c r="W6" s="37">
        <f t="shared" ref="W6:W17" ca="1" si="75">IF(TODAY()-E6&gt;335,((K6+1+(LOG(J6)*4/3))*0.597)+((L6+1+(LOG(J6)*4/3))*0.276),((K6+(((TODAY()-E6)^0.5)/(336^0.5))+(LOG(J6)*4/3))*0.597)+((L6+(((TODAY()-E6)^0.5)/(336^0.5))+(LOG(J6)*4/3))*0.276))</f>
        <v>2.2573653000353771</v>
      </c>
      <c r="X6" s="37">
        <f t="shared" ref="X6:X17" ca="1" si="76">IF(TODAY()-E6&gt;335,((K6+1+(LOG(J6)*4/3))*0.866)+((L6+1+(LOG(J6)*4/3))*0.425),((K6+(((TODAY()-E6)^0.5)/(336^0.5))+(LOG(J6)*4/3))*0.866)+((L6+(((TODAY()-E6)^0.5)/(336^0.5))+(LOG(J6)*4/3))*0.425))</f>
        <v>3.4393042409457864</v>
      </c>
      <c r="Y6" s="37">
        <f t="shared" ref="Y6:Y17" ca="1" si="77">W6</f>
        <v>2.2573653000353771</v>
      </c>
      <c r="Z6" s="37">
        <f t="shared" ref="Z6:Z17" ca="1" si="78">IF(TODAY()-E6&gt;335,((L6+1+(LOG(J6)*4/3))*0.516),((L6+(((TODAY()-E6)^0.5)/(336^0.516))+(LOG(J6)*4/3))*0.516))</f>
        <v>3.428791349737303</v>
      </c>
      <c r="AA6" s="37">
        <f t="shared" ref="AA6:AA17" ca="1" si="79">IF(TODAY()-E6&gt;335,((L6+1+(LOG(J6)*4/3))*1),((L6+(((TODAY()-E6)^0.5)/(336^0.5))+(LOG(J6)*4/3))*1))</f>
        <v>6.6888491409339945</v>
      </c>
      <c r="AB6" s="37">
        <f t="shared" ref="AB6:AB17" ca="1" si="80">Z6/2</f>
        <v>1.7143956748686515</v>
      </c>
      <c r="AC6" s="37">
        <f t="shared" ref="AC6:AC17" ca="1" si="81">IF(TODAY()-E6&gt;335,((M6+1+(LOG(J6)*4/3))*0.238),((M6+(((TODAY()-E6)^0.5)/(336^0.238))+(LOG(J6)*4/3))*0.238))</f>
        <v>1.3001492412278517</v>
      </c>
      <c r="AD6" s="37">
        <f t="shared" ref="AD6:AD17" ca="1" si="82">IF(TODAY()-E6&gt;335,((L6+1+(LOG(J6)*4/3))*0.378),((L6+(((TODAY()-E6)^0.5)/(336^0.516))+(LOG(J6)*4/3))*0.378))</f>
        <v>2.5117890120168616</v>
      </c>
      <c r="AE6" s="37">
        <f t="shared" ref="AE6:AE17" ca="1" si="83">IF(TODAY()-E6&gt;335,((L6+1+(LOG(J6)*4/3))*0.723),((L6+(((TODAY()-E6)^0.5)/(336^0.5))+(LOG(J6)*4/3))*0.723))</f>
        <v>4.8360379288952782</v>
      </c>
      <c r="AF6" s="37">
        <f t="shared" ref="AF6:AF17" ca="1" si="84">AD6/2</f>
        <v>1.2558945060084308</v>
      </c>
      <c r="AG6" s="37">
        <f t="shared" ref="AG6:AG17" ca="1" si="85">IF(TODAY()-E6&gt;335,((M6+1+(LOG(J6)*4/3))*0.385),((M6+(((TODAY()-E6)^0.5)/(336^0.238))+(LOG(J6)*4/3))*0.385))</f>
        <v>2.1031825961038777</v>
      </c>
      <c r="AH6" s="37">
        <f t="shared" ref="AH6:AH17" ca="1" si="86">IF(TODAY()-E6&gt;335,((L6+1+(LOG(J6)*4/3))*0.92),((L6+(((TODAY()-E6)^0.5)/(336^0.5))+(LOG(J6)*4/3))*0.92))</f>
        <v>6.153741209659275</v>
      </c>
      <c r="AI6" s="37">
        <f t="shared" ref="AI6:AI17" ca="1" si="87">IF(TODAY()-E6&gt;335,((L6+1+(LOG(J6)*4/3))*0.414),((L6+(((TODAY()-E6)^0.5)/(336^0.414))+(LOG(J6)*4/3))*0.414))</f>
        <v>2.9019521639593644</v>
      </c>
      <c r="AJ6" s="37">
        <f t="shared" ref="AJ6:AJ17" ca="1" si="88">IF(TODAY()-E6&gt;335,((M6+1+(LOG(J6)*4/3))*0.167),((M6+(((TODAY()-E6)^0.5)/(336^0.5))+(LOG(J6)*4/3))*0.167))</f>
        <v>0.61603780653597717</v>
      </c>
      <c r="AK6" s="37">
        <f t="shared" ref="AK6:AK17" ca="1" si="89">IF(TODAY()-E6&gt;335,((N6+1+(LOG(J6)*4/3))*0.588),((N6+(((TODAY()-E6)^0.5)/(336^0.5))+(LOG(J6)*4/3))*0.588))</f>
        <v>2.1690432948691885</v>
      </c>
      <c r="AL6" s="37">
        <f t="shared" ref="AL6:AL17" ca="1" si="90">IF(TODAY()-E6&gt;335,((L6+1+(LOG(J6)*4/3))*0.754),((L6+(((TODAY()-E6)^0.5)/(336^0.5))+(LOG(J6)*4/3))*0.754))</f>
        <v>5.0433922522642316</v>
      </c>
      <c r="AM6" s="37">
        <f t="shared" ref="AM6:AM17" ca="1" si="91">IF(TODAY()-E6&gt;335,((L6+1+(LOG(J6)*4/3))*0.708),((L6+(((TODAY()-E6)^0.5)/(336^0.414))+(LOG(J6)*4/3))*0.708))</f>
        <v>4.9627587731478986</v>
      </c>
      <c r="AN6" s="37">
        <f t="shared" ref="AN6:AN17" ca="1" si="92">IF(TODAY()-E6&gt;335,((Q6+1+(LOG(J6)*4/3))*0.167),((Q6+(((TODAY()-E6)^0.5)/(336^0.5))+(LOG(J6)*4/3))*0.167))</f>
        <v>0.61603780653597717</v>
      </c>
      <c r="AO6" s="37">
        <f t="shared" ref="AO6:AO17" ca="1" si="93">IF(TODAY()-E6&gt;335,((R6+1+(LOG(J6)*4/3))*0.288),((R6+(((TODAY()-E6)^0.5)/(336^0.5))+(LOG(J6)*4/3))*0.288))</f>
        <v>0.91118855258899023</v>
      </c>
      <c r="AP6" s="37">
        <f t="shared" ref="AP6:AP17" ca="1" si="94">IF(TODAY()-E6&gt;335,((L6+1+(LOG(J6)*4/3))*0.27),((L6+(((TODAY()-E6)^0.5)/(336^0.5))+(LOG(J6)*4/3))*0.27))</f>
        <v>1.8059892680521787</v>
      </c>
      <c r="AQ6" s="37">
        <f t="shared" ref="AQ6:AQ17" ca="1" si="95">IF(TODAY()-E6&gt;335,((L6+1+(LOG(J6)*4/3))*0.594),((L6+(((TODAY()-E6)^0.5)/(336^0.5))+(LOG(J6)*4/3))*0.594))</f>
        <v>3.9731763897147925</v>
      </c>
      <c r="AR6" s="37">
        <f t="shared" ref="AR6:AR17" ca="1" si="96">AP6/2</f>
        <v>0.90299463402608937</v>
      </c>
      <c r="AS6" s="37">
        <f t="shared" ref="AS6:AS17" ca="1" si="97">IF(TODAY()-E6&gt;335,((M6+1+(LOG(J6)*4/3))*0.944),((M6+(((TODAY()-E6)^0.5)/(336^0.5))+(LOG(J6)*4/3))*0.944))</f>
        <v>3.4822735890416907</v>
      </c>
      <c r="AT6" s="37">
        <f t="shared" ref="AT6:AT17" ca="1" si="98">IF(TODAY()-E6&gt;335,((O6+1+(LOG(J6)*4/3))*0.13),((O6+(((TODAY()-E6)^0.5)/(336^0.5))+(LOG(J6)*4/3))*0.13))</f>
        <v>0.79155038832141933</v>
      </c>
      <c r="AU6" s="37">
        <f t="shared" ref="AU6:AU17" ca="1" si="99">IF(TODAY()-E6&gt;335,((P6+1+(LOG(J6)*4/3))*0.173)+((O6+1+(LOG(J6)*4/3))*0.12),((P6+(((TODAY()-E6)^0.5)/(336^0.5))+(LOG(J6)*4/3))*0.173)+((O6+(((TODAY()-E6)^0.5)/(336^0.5))+(LOG(J6)*4/3))*0.12))</f>
        <v>1.7719227982936605</v>
      </c>
      <c r="AV6" s="37">
        <f t="shared" ref="AV6:AV17" ca="1" si="100">AT6/2</f>
        <v>0.39577519416070966</v>
      </c>
      <c r="AW6" s="37">
        <f t="shared" ref="AW6:AW17" ca="1" si="101">IF(TODAY()-E6&gt;335,((L6+1+(LOG(J6)*4/3))*0.189),((L6+(((TODAY()-E6)^0.5)/(336^0.5))+(LOG(J6)*4/3))*0.189))</f>
        <v>1.2641924876365249</v>
      </c>
      <c r="AX6" s="37">
        <f t="shared" ref="AX6:AX17" ca="1" si="102">IF(TODAY()-E6&gt;335,((L6+1+(LOG(J6)*4/3))*0.4),((L6+(((TODAY()-E6)^0.5)/(336^0.5))+(LOG(J6)*4/3))*0.4))</f>
        <v>2.6755396563735978</v>
      </c>
      <c r="AY6" s="37">
        <f t="shared" ref="AY6:AY17" ca="1" si="103">AW6/2</f>
        <v>0.63209624381826246</v>
      </c>
      <c r="AZ6" s="37">
        <f t="shared" ref="AZ6:AZ17" ca="1" si="104">IF(TODAY()-E6&gt;335,((M6+1+(LOG(J6)*4/3))*1),((M6+(((TODAY()-E6)^0.5)/(336^0.5))+(LOG(J6)*4/3))*1))</f>
        <v>3.6888491409339945</v>
      </c>
      <c r="BA6" s="37">
        <f t="shared" ref="BA6:BA17" ca="1" si="105">IF(TODAY()-E6&gt;335,((O6+1+(LOG(J6)*4/3))*0.253),((O6+(((TODAY()-E6)^0.5)/(336^0.5))+(LOG(J6)*4/3))*0.253))</f>
        <v>1.5404788326563008</v>
      </c>
      <c r="BB6" s="37">
        <f t="shared" ref="BB6:BB17" ca="1" si="106">IF(TODAY()-E6&gt;335,((P6+1+(LOG(J6)*4/3))*0.21)+((O6+1+(LOG(J6)*4/3))*0.341),((P6+(((TODAY()-E6)^0.5)/(336^0.5))+(LOG(J6)*4/3))*0.21)+((O6+(((TODAY()-E6)^0.5)/(336^0.5))+(LOG(J6)*4/3))*0.341))</f>
        <v>3.3402558766546315</v>
      </c>
      <c r="BC6" s="37">
        <f t="shared" ref="BC6:BC17" ca="1" si="107">BA6/2</f>
        <v>0.77023941632815041</v>
      </c>
      <c r="BD6" s="37">
        <f t="shared" ref="BD6:BD17" ca="1" si="108">IF(TODAY()-E6&gt;335,((L6+1+(LOG(J6)*4/3))*0.291),((L6+(((TODAY()-E6)^0.5)/(336^0.5))+(LOG(J6)*4/3))*0.291))</f>
        <v>1.9464551000117922</v>
      </c>
      <c r="BE6" s="37">
        <f t="shared" ref="BE6:BE17" ca="1" si="109">IF(TODAY()-E6&gt;335,((L6+1+(LOG(J6)*4/3))*0.348),((L6+(((TODAY()-E6)^0.5)/(336^0.5))+(LOG(J6)*4/3))*0.348))</f>
        <v>2.32771950104503</v>
      </c>
      <c r="BF6" s="37">
        <f t="shared" ref="BF6:BF17" ca="1" si="110">IF(TODAY()-E6&gt;335,((M6+1+(LOG(J6)*4/3))*0.881),((M6+(((TODAY()-E6)^0.5)/(336^0.5))+(LOG(J6)*4/3))*0.881))</f>
        <v>3.249876093162849</v>
      </c>
      <c r="BG6" s="37">
        <f t="shared" ref="BG6:BG17" ca="1" si="111">IF(TODAY()-E6&gt;335,((N6+1+(LOG(J6)*4/3))*0.574)+((O6+1+(LOG(J6)*4/3))*0.315),((N6+(((TODAY()-E6)^0.5)/(336^0.5))+(LOG(J6)*4/3))*0.574)+((O6+(((TODAY()-E6)^0.5)/(336^0.5))+(LOG(J6)*4/3))*0.315))</f>
        <v>4.0353868862903211</v>
      </c>
      <c r="BH6" s="37">
        <f t="shared" ref="BH6:BH17" ca="1" si="112">IF(TODAY()-E6&gt;335,((O6+1+(LOG(J6)*4/3))*0.241),((O6+(((TODAY()-E6)^0.5)/(336^0.5))+(LOG(J6)*4/3))*0.241))</f>
        <v>1.4674126429650927</v>
      </c>
      <c r="BI6" s="37">
        <f t="shared" ref="BI6:BI17" ca="1" si="113">IF(TODAY()-E6&gt;335,((L6+1+(LOG(J6)*4/3))*0.485),((L6+(((TODAY()-E6)^0.5)/(336^0.5))+(LOG(J6)*4/3))*0.485))</f>
        <v>3.2440918333529871</v>
      </c>
      <c r="BJ6" s="37">
        <f t="shared" ref="BJ6:BJ17" ca="1" si="114">IF(TODAY()-E6&gt;335,((L6+1+(LOG(J6)*4/3))*0.264),((L6+(((TODAY()-E6)^0.5)/(336^0.5))+(LOG(J6)*4/3))*0.264))</f>
        <v>1.7658561732065747</v>
      </c>
      <c r="BK6" s="37">
        <f t="shared" ref="BK6:BK17" ca="1" si="115">IF(TODAY()-E6&gt;335,((M6+1+(LOG(J6)*4/3))*0.381),((M6+(((TODAY()-E6)^0.5)/(336^0.5))+(LOG(J6)*4/3))*0.381))</f>
        <v>1.4054515226958519</v>
      </c>
      <c r="BL6" s="37">
        <f t="shared" ref="BL6:BL17" ca="1" si="116">IF(TODAY()-E6&gt;335,((N6+1+(LOG(J6)*4/3))*0.673)+((O6+1+(LOG(J6)*4/3))*0.201),((N6+(((TODAY()-E6)^0.5)/(336^0.5))+(LOG(J6)*4/3))*0.673)+((O6+(((TODAY()-E6)^0.5)/(336^0.5))+(LOG(J6)*4/3))*0.201))</f>
        <v>3.7064541491763112</v>
      </c>
      <c r="BM6" s="37">
        <f t="shared" ref="BM6:BM17" ca="1" si="117">IF(TODAY()-E6&gt;335,((O6+1+(LOG(J6)*4/3))*0.052),((O6+(((TODAY()-E6)^0.5)/(336^0.5))+(LOG(J6)*4/3))*0.052))</f>
        <v>0.31662015532856774</v>
      </c>
      <c r="BN6" s="37">
        <f t="shared" ref="BN6:BN17" ca="1" si="118">IF(TODAY()-E6&gt;335,((L6+1+(LOG(J6)*4/3))*0.18),((L6+(((TODAY()-E6)^0.5)/(336^0.5))+(LOG(J6)*4/3))*0.18))</f>
        <v>1.203992845368119</v>
      </c>
      <c r="BO6" s="37">
        <f t="shared" ref="BO6:BO17" ca="1" si="119">IF(TODAY()-E6&gt;335,((L6+1+(LOG(J6)*4/3))*0.068),((L6+(((TODAY()-E6)^0.5)/(336^0.5))+(LOG(J6)*4/3))*0.068))</f>
        <v>0.45484174158351165</v>
      </c>
      <c r="BP6" s="37">
        <f t="shared" ref="BP6:BP17" ca="1" si="120">IF(TODAY()-E6&gt;335,((M6+1+(LOG(J6)*4/3))*0.305),((M6+(((TODAY()-E6)^0.5)/(336^0.5))+(LOG(J6)*4/3))*0.305))</f>
        <v>1.1250989879848683</v>
      </c>
      <c r="BQ6" s="37">
        <f t="shared" ref="BQ6:BQ17" ca="1" si="121">IF(TODAY()-E6&gt;335,((N6+1+(LOG(J6)*4/3))*1)+((O6+1+(LOG(J6)*4/3))*0.286),((N6+(((TODAY()-E6)^0.5)/(336^0.5))+(LOG(J6)*4/3))*1)+((O6+(((TODAY()-E6)^0.5)/(336^0.5))+(LOG(J6)*4/3))*0.286))</f>
        <v>5.4302599952411166</v>
      </c>
      <c r="BR6" s="37">
        <f t="shared" ref="BR6:BR17" ca="1" si="122">IF(TODAY()-E6&gt;335,((O6+1+(LOG(J6)*4/3))*0.135),((O6+(((TODAY()-E6)^0.5)/(336^0.5))+(LOG(J6)*4/3))*0.135))</f>
        <v>0.82199463402608941</v>
      </c>
      <c r="BS6" s="37">
        <f t="shared" ref="BS6:BS17" ca="1" si="123">IF(TODAY()-E6&gt;335,((L6+1+(LOG(J6)*4/3))*0.284),((L6+(((TODAY()-E6)^0.5)/(336^0.5))+(LOG(J6)*4/3))*0.284))</f>
        <v>1.8996331560252542</v>
      </c>
      <c r="BT6" s="37">
        <f t="shared" ref="BT6:BT17" ca="1" si="124">IF(TODAY()-E6&gt;335,((L6+1+(LOG(J6)*4/3))*0.244),((L6+(((TODAY()-E6)^0.5)/(336^0.5))+(LOG(J6)*4/3))*0.244))</f>
        <v>1.6320791903878946</v>
      </c>
      <c r="BU6" s="37">
        <f t="shared" ref="BU6:BU17" ca="1" si="125">IF(TODAY()-E6&gt;335,((M6+1+(LOG(J6)*4/3))*0.631),((M6+(((TODAY()-E6)^0.5)/(336^0.5))+(LOG(J6)*4/3))*0.631))</f>
        <v>2.3276638079293503</v>
      </c>
      <c r="BV6" s="37">
        <f t="shared" ref="BV6:BV17" ca="1" si="126">IF(TODAY()-E6&gt;335,((N6+1+(LOG(J6)*4/3))*0.702)+((O6+1+(LOG(J6)*4/3))*0.193),((N6+(((TODAY()-E6)^0.5)/(336^0.5))+(LOG(J6)*4/3))*0.702)+((O6+(((TODAY()-E6)^0.5)/(336^0.5))+(LOG(J6)*4/3))*0.193))</f>
        <v>3.7647199811359249</v>
      </c>
      <c r="BW6" s="37">
        <f t="shared" ref="BW6:BW17" ca="1" si="127">IF(TODAY()-E6&gt;335,((O6+1+(LOG(J6)*4/3))*0.148),((O6+(((TODAY()-E6)^0.5)/(336^0.5))+(LOG(J6)*4/3))*0.148))</f>
        <v>0.90114967285823122</v>
      </c>
      <c r="BX6" s="37">
        <f t="shared" ref="BX6:BX17" ca="1" si="128">IF(TODAY()-E6&gt;335,((M6+1+(LOG(J6)*4/3))*0.406),((M6+(((TODAY()-E6)^0.5)/(336^0.5))+(LOG(J6)*4/3))*0.406))</f>
        <v>1.4976727512192018</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2.8178004024266112</v>
      </c>
      <c r="BZ6" s="37">
        <f t="shared" ref="BZ6:BZ17" ca="1" si="130">IF(D6="TEC",IF(TODAY()-E6&gt;335,((O6+1+(LOG(J6)*4/3))*0.543)+((P6+1+(LOG(J6)*4/3))*0.583),((O6+(((TODAY()-E6)^0.5)/(336^0.5))+(LOG(J6)*4/3))*0.543)+((P6+(((TODAY()-E6)^0.5)/(336^0.5))+(LOG(J6)*4/3))*0.583)),IF(TODAY()-E6&gt;335,((O6+1+(LOG(J6)*4/3))*0.543)+((P6+1+(LOG(J6)*4/3))*0.583),((O6+(((TODAY()-E6)^0.5)/(336^0.5))+(LOG(J6)*4/3))*0.543)+((P6+(((TODAY()-E6)^0.5)/(336^0.5))+(LOG(J6)*4/3))*0.583)))</f>
        <v>6.8152341326916783</v>
      </c>
      <c r="CA6" s="37">
        <f t="shared" ref="CA6:CA17" ca="1" si="131">BY6</f>
        <v>2.8178004024266112</v>
      </c>
      <c r="CB6" s="37">
        <f t="shared" ref="CB6:CB17" ca="1" si="132">IF(TODAY()-E6&gt;335,((P6+1+(LOG(J6)*4/3))*0.26)+((N6+1+(LOG(J6)*4/3))*0.221)+((O6+1+(LOG(J6)*4/3))*0.142),((P6+(((TODAY()-E6)^0.5)/(336^0.5))+(LOG(J6)*4/3))*0.26)+((N6+(((TODAY()-E6)^0.5)/(336^0.5))+(LOG(J6)*4/3))*0.221)+((P6+(((TODAY()-E6)^0.5)/(336^0.5))+(LOG(J6)*4/3))*0.142))</f>
        <v>3.2348130148018783</v>
      </c>
      <c r="CC6" s="37">
        <f t="shared" ref="CC6:CC17" ca="1" si="133">IF(TODAY()-E6&gt;335,((P6+1+(LOG(J6)*4/3))*1)+((O6+1+(LOG(J6)*4/3))*0.369),((P6+(((TODAY()-E6)^0.5)/(336^0.5))+(LOG(J6)*4/3))*1)+((O6+(((TODAY()-E6)^0.5)/(336^0.5))+(LOG(J6)*4/3))*0.369))</f>
        <v>8.265634473938638</v>
      </c>
      <c r="CD6" s="37">
        <f t="shared" ref="CD6:CD17" ca="1" si="134">CB6</f>
        <v>3.2348130148018783</v>
      </c>
      <c r="CE6" s="37">
        <f t="shared" ref="CE6:CE17" ca="1" si="135">IF(TODAY()-E6&gt;335,((M6+1+(LOG(J6)*4/3))*0.25),((M6+(((TODAY()-E6)^0.5)/(336^0.5))+(LOG(J6)*4/3))*0.25))</f>
        <v>0.92221228523349863</v>
      </c>
    </row>
    <row r="7" spans="1:83" x14ac:dyDescent="0.25">
      <c r="A7" t="str">
        <f>PLANTILLA!D8</f>
        <v>J. G. de Minaya</v>
      </c>
      <c r="B7">
        <f>PLANTILLA!E8</f>
        <v>17</v>
      </c>
      <c r="C7" s="33">
        <f ca="1">PLANTILLA!F8</f>
        <v>107</v>
      </c>
      <c r="D7" s="220" t="str">
        <f>PLANTILLA!G8</f>
        <v>TEC</v>
      </c>
      <c r="E7" s="30">
        <f>PLANTILLA!M8</f>
        <v>43081</v>
      </c>
      <c r="F7" s="47">
        <f>PLANTILLA!Q8</f>
        <v>7</v>
      </c>
      <c r="G7" s="48">
        <f t="shared" si="1"/>
        <v>1</v>
      </c>
      <c r="H7" s="48">
        <f t="shared" si="2"/>
        <v>1</v>
      </c>
      <c r="I7" s="51">
        <f t="shared" ca="1" si="3"/>
        <v>0.39339789623472154</v>
      </c>
      <c r="J7" s="39">
        <f>PLANTILLA!I8</f>
        <v>1.5</v>
      </c>
      <c r="K7" s="46">
        <f>PLANTILLA!X8</f>
        <v>0</v>
      </c>
      <c r="L7" s="46">
        <f>PLANTILLA!Y8</f>
        <v>6</v>
      </c>
      <c r="M7" s="46">
        <f>PLANTILLA!Z8</f>
        <v>5</v>
      </c>
      <c r="N7" s="46">
        <f>PLANTILLA!AA8</f>
        <v>6</v>
      </c>
      <c r="O7" s="46">
        <f>PLANTILLA!AB8</f>
        <v>6</v>
      </c>
      <c r="P7" s="46">
        <f>PLANTILLA!AC8</f>
        <v>6.5</v>
      </c>
      <c r="Q7" s="46">
        <f>PLANTILLA!AD8</f>
        <v>0</v>
      </c>
      <c r="R7" s="46">
        <f t="shared" si="70"/>
        <v>2.625</v>
      </c>
      <c r="S7" s="46">
        <f t="shared" si="71"/>
        <v>0.32500000000000001</v>
      </c>
      <c r="T7" s="46">
        <f t="shared" si="72"/>
        <v>0.24000000000000005</v>
      </c>
      <c r="U7" s="46">
        <f t="shared" ca="1" si="73"/>
        <v>0.62818624164229653</v>
      </c>
      <c r="V7" s="46">
        <f t="shared" ca="1" si="74"/>
        <v>0.62818624164229653</v>
      </c>
      <c r="W7" s="37">
        <f t="shared" ca="1" si="75"/>
        <v>2.204406588953725</v>
      </c>
      <c r="X7" s="37">
        <f t="shared" ca="1" si="76"/>
        <v>3.3609884379602049</v>
      </c>
      <c r="Y7" s="37">
        <f t="shared" ca="1" si="77"/>
        <v>2.204406588953725</v>
      </c>
      <c r="Z7" s="37">
        <f t="shared" ca="1" si="78"/>
        <v>3.4021033289316578</v>
      </c>
      <c r="AA7" s="37">
        <f t="shared" ca="1" si="79"/>
        <v>6.6281862416422967</v>
      </c>
      <c r="AB7" s="37">
        <f t="shared" ca="1" si="80"/>
        <v>1.7010516644658289</v>
      </c>
      <c r="AC7" s="37">
        <f t="shared" ca="1" si="81"/>
        <v>1.675722648195014</v>
      </c>
      <c r="AD7" s="37">
        <f t="shared" ca="1" si="82"/>
        <v>2.4922384851476096</v>
      </c>
      <c r="AE7" s="37">
        <f t="shared" ca="1" si="83"/>
        <v>4.7921786527073804</v>
      </c>
      <c r="AF7" s="37">
        <f t="shared" ca="1" si="84"/>
        <v>1.2461192425738048</v>
      </c>
      <c r="AG7" s="37">
        <f t="shared" ca="1" si="85"/>
        <v>2.7107278132566406</v>
      </c>
      <c r="AH7" s="37">
        <f t="shared" ca="1" si="86"/>
        <v>6.0979313423109129</v>
      </c>
      <c r="AI7" s="37">
        <f t="shared" ca="1" si="87"/>
        <v>2.849797145085903</v>
      </c>
      <c r="AJ7" s="37">
        <f t="shared" ca="1" si="88"/>
        <v>0.93990710235426356</v>
      </c>
      <c r="AK7" s="37">
        <f t="shared" ca="1" si="89"/>
        <v>3.8973735100856701</v>
      </c>
      <c r="AL7" s="37">
        <f t="shared" ca="1" si="90"/>
        <v>4.9976524261982922</v>
      </c>
      <c r="AM7" s="37">
        <f t="shared" ca="1" si="91"/>
        <v>4.8735661321758919</v>
      </c>
      <c r="AN7" s="37">
        <f t="shared" ca="1" si="92"/>
        <v>0.10490710235426352</v>
      </c>
      <c r="AO7" s="37">
        <f t="shared" ca="1" si="93"/>
        <v>0.9369176375929813</v>
      </c>
      <c r="AP7" s="37">
        <f t="shared" ca="1" si="94"/>
        <v>1.7896102852434201</v>
      </c>
      <c r="AQ7" s="37">
        <f t="shared" ca="1" si="95"/>
        <v>3.9371426275355241</v>
      </c>
      <c r="AR7" s="37">
        <f t="shared" ca="1" si="96"/>
        <v>0.89480514262171007</v>
      </c>
      <c r="AS7" s="37">
        <f t="shared" ca="1" si="97"/>
        <v>5.3130078121103281</v>
      </c>
      <c r="AT7" s="37">
        <f t="shared" ca="1" si="98"/>
        <v>0.86166421141349858</v>
      </c>
      <c r="AU7" s="37">
        <f t="shared" ca="1" si="99"/>
        <v>2.0285585688011927</v>
      </c>
      <c r="AV7" s="37">
        <f t="shared" ca="1" si="100"/>
        <v>0.43083210570674929</v>
      </c>
      <c r="AW7" s="37">
        <f t="shared" ca="1" si="101"/>
        <v>1.2527271996703941</v>
      </c>
      <c r="AX7" s="37">
        <f t="shared" ca="1" si="102"/>
        <v>2.6512744966569191</v>
      </c>
      <c r="AY7" s="37">
        <f t="shared" ca="1" si="103"/>
        <v>0.62636359983519707</v>
      </c>
      <c r="AZ7" s="37">
        <f t="shared" ca="1" si="104"/>
        <v>5.6281862416422967</v>
      </c>
      <c r="BA7" s="37">
        <f t="shared" ca="1" si="105"/>
        <v>1.6769311191355012</v>
      </c>
      <c r="BB7" s="37">
        <f t="shared" ca="1" si="106"/>
        <v>3.7571306191449056</v>
      </c>
      <c r="BC7" s="37">
        <f t="shared" ca="1" si="107"/>
        <v>0.8384655595677506</v>
      </c>
      <c r="BD7" s="37">
        <f t="shared" ca="1" si="108"/>
        <v>1.9288021963179083</v>
      </c>
      <c r="BE7" s="37">
        <f t="shared" ca="1" si="109"/>
        <v>2.3066088120915191</v>
      </c>
      <c r="BF7" s="37">
        <f t="shared" ca="1" si="110"/>
        <v>4.9584320788868634</v>
      </c>
      <c r="BG7" s="37">
        <f t="shared" ca="1" si="111"/>
        <v>5.8924575688200012</v>
      </c>
      <c r="BH7" s="37">
        <f t="shared" ca="1" si="112"/>
        <v>1.5973928842357934</v>
      </c>
      <c r="BI7" s="37">
        <f t="shared" ca="1" si="113"/>
        <v>3.2146703271965138</v>
      </c>
      <c r="BJ7" s="37">
        <f t="shared" ca="1" si="114"/>
        <v>1.7498411677935664</v>
      </c>
      <c r="BK7" s="37">
        <f t="shared" ca="1" si="115"/>
        <v>2.1443389580657151</v>
      </c>
      <c r="BL7" s="37">
        <f t="shared" ca="1" si="116"/>
        <v>5.7930347751953679</v>
      </c>
      <c r="BM7" s="37">
        <f t="shared" ca="1" si="117"/>
        <v>0.34466568456539942</v>
      </c>
      <c r="BN7" s="37">
        <f t="shared" ca="1" si="118"/>
        <v>1.1930735234956134</v>
      </c>
      <c r="BO7" s="37">
        <f t="shared" ca="1" si="119"/>
        <v>0.45071666443167618</v>
      </c>
      <c r="BP7" s="37">
        <f t="shared" ca="1" si="120"/>
        <v>1.7165968037009005</v>
      </c>
      <c r="BQ7" s="37">
        <f t="shared" ca="1" si="121"/>
        <v>8.5238475067519932</v>
      </c>
      <c r="BR7" s="37">
        <f t="shared" ca="1" si="122"/>
        <v>0.89480514262171007</v>
      </c>
      <c r="BS7" s="37">
        <f t="shared" ca="1" si="123"/>
        <v>1.8824048926264121</v>
      </c>
      <c r="BT7" s="37">
        <f t="shared" ca="1" si="124"/>
        <v>1.6172774429607204</v>
      </c>
      <c r="BU7" s="37">
        <f t="shared" ca="1" si="125"/>
        <v>3.5513855184762892</v>
      </c>
      <c r="BV7" s="37">
        <f t="shared" ca="1" si="126"/>
        <v>5.9322266862698552</v>
      </c>
      <c r="BW7" s="37">
        <f t="shared" ca="1" si="127"/>
        <v>0.98097156376305983</v>
      </c>
      <c r="BX7" s="37">
        <f t="shared" ca="1" si="128"/>
        <v>2.2850436141067725</v>
      </c>
      <c r="BY7" s="37">
        <f t="shared" ca="1" si="129"/>
        <v>4.0470399312270207</v>
      </c>
      <c r="BZ7" s="37">
        <f t="shared" ca="1" si="130"/>
        <v>7.7548377080892257</v>
      </c>
      <c r="CA7" s="37">
        <f t="shared" ca="1" si="131"/>
        <v>4.0470399312270207</v>
      </c>
      <c r="CB7" s="37">
        <f t="shared" ca="1" si="132"/>
        <v>4.3303600285431507</v>
      </c>
      <c r="CC7" s="37">
        <f t="shared" ca="1" si="133"/>
        <v>9.573986964808304</v>
      </c>
      <c r="CD7" s="37">
        <f t="shared" ca="1" si="134"/>
        <v>4.3303600285431507</v>
      </c>
      <c r="CE7" s="37">
        <f t="shared" ca="1" si="135"/>
        <v>1.4070465604105742</v>
      </c>
    </row>
    <row r="8" spans="1:83" x14ac:dyDescent="0.25">
      <c r="A8" t="str">
        <f>PLANTILLA!D9</f>
        <v>Roberto Montero</v>
      </c>
      <c r="B8">
        <f>PLANTILLA!E9</f>
        <v>18</v>
      </c>
      <c r="C8" s="33">
        <f ca="1">PLANTILLA!F9</f>
        <v>29</v>
      </c>
      <c r="D8" s="220" t="str">
        <f>PLANTILLA!G9</f>
        <v>TEC</v>
      </c>
      <c r="E8" s="30">
        <f>PLANTILLA!M9</f>
        <v>43046</v>
      </c>
      <c r="F8" s="47">
        <f>PLANTILLA!Q9</f>
        <v>6</v>
      </c>
      <c r="G8" s="48">
        <f t="shared" si="1"/>
        <v>0.92582009977255142</v>
      </c>
      <c r="H8" s="48">
        <f t="shared" si="2"/>
        <v>0.99928545900129484</v>
      </c>
      <c r="I8" s="51">
        <f t="shared" ca="1" si="3"/>
        <v>0.50885024459910744</v>
      </c>
      <c r="J8" s="39">
        <f>PLANTILLA!I9</f>
        <v>0.5</v>
      </c>
      <c r="K8" s="46">
        <f>PLANTILLA!X9</f>
        <v>0</v>
      </c>
      <c r="L8" s="46">
        <f>PLANTILLA!Y9</f>
        <v>6</v>
      </c>
      <c r="M8" s="46">
        <f>PLANTILLA!Z9</f>
        <v>4</v>
      </c>
      <c r="N8" s="46">
        <f>PLANTILLA!AA9</f>
        <v>4</v>
      </c>
      <c r="O8" s="46">
        <f>PLANTILLA!AB9</f>
        <v>3.3028</v>
      </c>
      <c r="P8" s="46">
        <f>PLANTILLA!AC9</f>
        <v>4.0000000000000009</v>
      </c>
      <c r="Q8" s="46">
        <f>PLANTILLA!AD9</f>
        <v>6</v>
      </c>
      <c r="R8" s="46">
        <f t="shared" si="70"/>
        <v>1.9506999999999999</v>
      </c>
      <c r="S8" s="46">
        <f t="shared" si="71"/>
        <v>0.38</v>
      </c>
      <c r="T8" s="46">
        <f t="shared" si="72"/>
        <v>0.42000000000000004</v>
      </c>
      <c r="U8" s="46">
        <f t="shared" ca="1" si="73"/>
        <v>5.6544248886991308</v>
      </c>
      <c r="V8" s="46">
        <f t="shared" ca="1" si="74"/>
        <v>6.1031128743912566</v>
      </c>
      <c r="W8" s="37">
        <f t="shared" ca="1" si="75"/>
        <v>1.7498273485821467</v>
      </c>
      <c r="X8" s="37">
        <f t="shared" ca="1" si="76"/>
        <v>2.6887526999078477</v>
      </c>
      <c r="Y8" s="37">
        <f t="shared" ca="1" si="77"/>
        <v>1.7498273485821467</v>
      </c>
      <c r="Z8" s="37">
        <f t="shared" ca="1" si="78"/>
        <v>3.1281228065002438</v>
      </c>
      <c r="AA8" s="37">
        <f t="shared" ca="1" si="79"/>
        <v>6.1074769170471326</v>
      </c>
      <c r="AB8" s="37">
        <f t="shared" ca="1" si="80"/>
        <v>1.5640614032501219</v>
      </c>
      <c r="AC8" s="37">
        <f t="shared" ca="1" si="81"/>
        <v>1.4124642424823313</v>
      </c>
      <c r="AD8" s="37">
        <f t="shared" ca="1" si="82"/>
        <v>2.2915318233664577</v>
      </c>
      <c r="AE8" s="37">
        <f t="shared" ca="1" si="83"/>
        <v>4.4157058110250764</v>
      </c>
      <c r="AF8" s="37">
        <f t="shared" ca="1" si="84"/>
        <v>1.1457659116832288</v>
      </c>
      <c r="AG8" s="37">
        <f t="shared" ca="1" si="85"/>
        <v>2.2848686275449479</v>
      </c>
      <c r="AH8" s="37">
        <f t="shared" ca="1" si="86"/>
        <v>5.6188787636833624</v>
      </c>
      <c r="AI8" s="37">
        <f t="shared" ca="1" si="87"/>
        <v>2.6652519948799878</v>
      </c>
      <c r="AJ8" s="37">
        <f t="shared" ca="1" si="88"/>
        <v>0.68594864514687115</v>
      </c>
      <c r="AK8" s="37">
        <f t="shared" ca="1" si="89"/>
        <v>2.4151964272237136</v>
      </c>
      <c r="AL8" s="37">
        <f t="shared" ca="1" si="90"/>
        <v>4.6050375954535383</v>
      </c>
      <c r="AM8" s="37">
        <f t="shared" ca="1" si="91"/>
        <v>4.5579671796498342</v>
      </c>
      <c r="AN8" s="37">
        <f t="shared" ca="1" si="92"/>
        <v>1.0199486451468711</v>
      </c>
      <c r="AO8" s="37">
        <f t="shared" ca="1" si="93"/>
        <v>0.59275495210957407</v>
      </c>
      <c r="AP8" s="37">
        <f t="shared" ca="1" si="94"/>
        <v>1.6490187676027259</v>
      </c>
      <c r="AQ8" s="37">
        <f t="shared" ca="1" si="95"/>
        <v>3.6278412887259965</v>
      </c>
      <c r="AR8" s="37">
        <f t="shared" ca="1" si="96"/>
        <v>0.82450938380136296</v>
      </c>
      <c r="AS8" s="37">
        <f t="shared" ca="1" si="97"/>
        <v>3.877458209692493</v>
      </c>
      <c r="AT8" s="37">
        <f t="shared" ca="1" si="98"/>
        <v>0.44333599921612726</v>
      </c>
      <c r="AU8" s="37">
        <f t="shared" ca="1" si="99"/>
        <v>1.1198267366948098</v>
      </c>
      <c r="AV8" s="37">
        <f t="shared" ca="1" si="100"/>
        <v>0.22166799960806363</v>
      </c>
      <c r="AW8" s="37">
        <f t="shared" ca="1" si="101"/>
        <v>1.154313137321908</v>
      </c>
      <c r="AX8" s="37">
        <f t="shared" ca="1" si="102"/>
        <v>2.4429907668188533</v>
      </c>
      <c r="AY8" s="37">
        <f t="shared" ca="1" si="103"/>
        <v>0.57715656866095399</v>
      </c>
      <c r="AZ8" s="37">
        <f t="shared" ca="1" si="104"/>
        <v>4.1074769170471326</v>
      </c>
      <c r="BA8" s="37">
        <f t="shared" ca="1" si="105"/>
        <v>0.86280006001292453</v>
      </c>
      <c r="BB8" s="37">
        <f t="shared" ca="1" si="106"/>
        <v>2.0254745812929702</v>
      </c>
      <c r="BC8" s="37">
        <f t="shared" ca="1" si="107"/>
        <v>0.43140003000646227</v>
      </c>
      <c r="BD8" s="37">
        <f t="shared" ca="1" si="108"/>
        <v>1.7772757828607155</v>
      </c>
      <c r="BE8" s="37">
        <f t="shared" ca="1" si="109"/>
        <v>2.1254019671324018</v>
      </c>
      <c r="BF8" s="37">
        <f t="shared" ca="1" si="110"/>
        <v>3.6186871639185236</v>
      </c>
      <c r="BG8" s="37">
        <f t="shared" ca="1" si="111"/>
        <v>3.4319289792549008</v>
      </c>
      <c r="BH8" s="37">
        <f t="shared" ca="1" si="112"/>
        <v>0.82187673700835895</v>
      </c>
      <c r="BI8" s="37">
        <f t="shared" ca="1" si="113"/>
        <v>2.9621263047678594</v>
      </c>
      <c r="BJ8" s="37">
        <f t="shared" ca="1" si="114"/>
        <v>1.6123739061004432</v>
      </c>
      <c r="BK8" s="37">
        <f t="shared" ca="1" si="115"/>
        <v>1.5649487053949576</v>
      </c>
      <c r="BL8" s="37">
        <f t="shared" ca="1" si="116"/>
        <v>3.449797625499194</v>
      </c>
      <c r="BM8" s="37">
        <f t="shared" ca="1" si="117"/>
        <v>0.17733439968645087</v>
      </c>
      <c r="BN8" s="37">
        <f t="shared" ca="1" si="118"/>
        <v>1.0993458450684839</v>
      </c>
      <c r="BO8" s="37">
        <f t="shared" ca="1" si="119"/>
        <v>0.41530843035920506</v>
      </c>
      <c r="BP8" s="37">
        <f t="shared" ca="1" si="120"/>
        <v>1.2527804596993755</v>
      </c>
      <c r="BQ8" s="37">
        <f t="shared" ca="1" si="121"/>
        <v>5.0828161153226121</v>
      </c>
      <c r="BR8" s="37">
        <f t="shared" ca="1" si="122"/>
        <v>0.4603873838013629</v>
      </c>
      <c r="BS8" s="37">
        <f t="shared" ca="1" si="123"/>
        <v>1.7345234444413855</v>
      </c>
      <c r="BT8" s="37">
        <f t="shared" ca="1" si="124"/>
        <v>1.4902243677595004</v>
      </c>
      <c r="BU8" s="37">
        <f t="shared" ca="1" si="125"/>
        <v>2.5918179346567407</v>
      </c>
      <c r="BV8" s="37">
        <f t="shared" ca="1" si="126"/>
        <v>3.5416322407571834</v>
      </c>
      <c r="BW8" s="37">
        <f t="shared" ca="1" si="127"/>
        <v>0.50472098372297558</v>
      </c>
      <c r="BX8" s="37">
        <f t="shared" ca="1" si="128"/>
        <v>1.667635628321136</v>
      </c>
      <c r="BY8" s="37">
        <f t="shared" ca="1" si="129"/>
        <v>2.2427008271453266</v>
      </c>
      <c r="BZ8" s="37">
        <f t="shared" ca="1" si="130"/>
        <v>4.2464394085950712</v>
      </c>
      <c r="CA8" s="37">
        <f t="shared" ca="1" si="131"/>
        <v>2.2427008271453266</v>
      </c>
      <c r="CB8" s="37">
        <f t="shared" ca="1" si="132"/>
        <v>2.5589581193203634</v>
      </c>
      <c r="CC8" s="37">
        <f t="shared" ca="1" si="133"/>
        <v>5.3658690994375249</v>
      </c>
      <c r="CD8" s="37">
        <f t="shared" ca="1" si="134"/>
        <v>2.5589581193203634</v>
      </c>
      <c r="CE8" s="37">
        <f t="shared" ca="1" si="135"/>
        <v>1.0268692292617831</v>
      </c>
    </row>
    <row r="9" spans="1:83" x14ac:dyDescent="0.25">
      <c r="A9" t="str">
        <f>PLANTILLA!D10</f>
        <v>Eckardt Hägerling</v>
      </c>
      <c r="B9">
        <f>PLANTILLA!E10</f>
        <v>17</v>
      </c>
      <c r="C9" s="33">
        <f ca="1">PLANTILLA!F10</f>
        <v>93</v>
      </c>
      <c r="D9" s="220" t="str">
        <f>PLANTILLA!G10</f>
        <v>IMP</v>
      </c>
      <c r="E9" s="30">
        <f>PLANTILLA!M10</f>
        <v>43045</v>
      </c>
      <c r="F9" s="47">
        <f>PLANTILLA!Q10</f>
        <v>5</v>
      </c>
      <c r="G9" s="48">
        <f t="shared" si="1"/>
        <v>0.84515425472851657</v>
      </c>
      <c r="H9" s="48">
        <f t="shared" si="2"/>
        <v>0.92504826128926143</v>
      </c>
      <c r="I9" s="51">
        <f t="shared" ca="1" si="3"/>
        <v>0.51176631571915898</v>
      </c>
      <c r="J9" s="39">
        <f>PLANTILLA!I10</f>
        <v>1.3</v>
      </c>
      <c r="K9" s="46">
        <f>PLANTILLA!X10</f>
        <v>0</v>
      </c>
      <c r="L9" s="46">
        <f>PLANTILLA!Y10</f>
        <v>5</v>
      </c>
      <c r="M9" s="46">
        <f>PLANTILLA!Z10</f>
        <v>3</v>
      </c>
      <c r="N9" s="46">
        <f>PLANTILLA!AA10</f>
        <v>4</v>
      </c>
      <c r="O9" s="46">
        <f>PLANTILLA!AB10</f>
        <v>2.4356</v>
      </c>
      <c r="P9" s="46">
        <f>PLANTILLA!AC10</f>
        <v>4.1966666666666672</v>
      </c>
      <c r="Q9" s="46">
        <f>PLANTILLA!AD10</f>
        <v>3</v>
      </c>
      <c r="R9" s="46">
        <f t="shared" si="70"/>
        <v>1.6089</v>
      </c>
      <c r="S9" s="46">
        <f t="shared" si="71"/>
        <v>0.29983333333333334</v>
      </c>
      <c r="T9" s="46">
        <f t="shared" si="72"/>
        <v>0.28999999999999998</v>
      </c>
      <c r="U9" s="46">
        <f t="shared" ca="1" si="73"/>
        <v>3.0963838553425389</v>
      </c>
      <c r="V9" s="46">
        <f t="shared" ca="1" si="74"/>
        <v>3.389090790992749</v>
      </c>
      <c r="W9" s="37">
        <f t="shared" ca="1" si="75"/>
        <v>1.9594020557079839</v>
      </c>
      <c r="X9" s="37">
        <f t="shared" ca="1" si="76"/>
        <v>2.9818248040309356</v>
      </c>
      <c r="Y9" s="37">
        <f t="shared" ca="1" si="77"/>
        <v>1.9594020557079839</v>
      </c>
      <c r="Z9" s="37">
        <f t="shared" ca="1" si="78"/>
        <v>2.8989954349589202</v>
      </c>
      <c r="AA9" s="37">
        <f t="shared" ca="1" si="79"/>
        <v>5.6636907854616076</v>
      </c>
      <c r="AB9" s="37">
        <f t="shared" ca="1" si="80"/>
        <v>1.4494977174794601</v>
      </c>
      <c r="AC9" s="37">
        <f t="shared" ca="1" si="81"/>
        <v>1.309335339706724</v>
      </c>
      <c r="AD9" s="37">
        <f t="shared" ca="1" si="82"/>
        <v>2.1236827023536278</v>
      </c>
      <c r="AE9" s="37">
        <f t="shared" ca="1" si="83"/>
        <v>4.094848437888742</v>
      </c>
      <c r="AF9" s="37">
        <f t="shared" ca="1" si="84"/>
        <v>1.0618413511768139</v>
      </c>
      <c r="AG9" s="37">
        <f t="shared" ca="1" si="85"/>
        <v>2.1180424612902891</v>
      </c>
      <c r="AH9" s="37">
        <f t="shared" ca="1" si="86"/>
        <v>5.2105955226246792</v>
      </c>
      <c r="AI9" s="37">
        <f t="shared" ca="1" si="87"/>
        <v>2.4823082479842089</v>
      </c>
      <c r="AJ9" s="37">
        <f t="shared" ca="1" si="88"/>
        <v>0.61183636117208862</v>
      </c>
      <c r="AK9" s="37">
        <f t="shared" ca="1" si="89"/>
        <v>2.7422501818514253</v>
      </c>
      <c r="AL9" s="37">
        <f t="shared" ca="1" si="90"/>
        <v>4.2704228522380525</v>
      </c>
      <c r="AM9" s="37">
        <f t="shared" ca="1" si="91"/>
        <v>4.2451068588715453</v>
      </c>
      <c r="AN9" s="37">
        <f t="shared" ca="1" si="92"/>
        <v>0.61183636117208862</v>
      </c>
      <c r="AO9" s="37">
        <f t="shared" ca="1" si="93"/>
        <v>0.65450614621294312</v>
      </c>
      <c r="AP9" s="37">
        <f t="shared" ca="1" si="94"/>
        <v>1.5291965120746343</v>
      </c>
      <c r="AQ9" s="37">
        <f t="shared" ca="1" si="95"/>
        <v>3.3642323265641947</v>
      </c>
      <c r="AR9" s="37">
        <f t="shared" ca="1" si="96"/>
        <v>0.76459825603731713</v>
      </c>
      <c r="AS9" s="37">
        <f t="shared" ca="1" si="97"/>
        <v>3.4585241014757577</v>
      </c>
      <c r="AT9" s="37">
        <f t="shared" ca="1" si="98"/>
        <v>0.40290780211000904</v>
      </c>
      <c r="AU9" s="37">
        <f t="shared" ca="1" si="99"/>
        <v>1.2127567334735845</v>
      </c>
      <c r="AV9" s="37">
        <f t="shared" ca="1" si="100"/>
        <v>0.20145390105500452</v>
      </c>
      <c r="AW9" s="37">
        <f t="shared" ca="1" si="101"/>
        <v>1.0704375584522439</v>
      </c>
      <c r="AX9" s="37">
        <f t="shared" ca="1" si="102"/>
        <v>2.2654763141846432</v>
      </c>
      <c r="AY9" s="37">
        <f t="shared" ca="1" si="103"/>
        <v>0.53521877922612193</v>
      </c>
      <c r="AZ9" s="37">
        <f t="shared" ca="1" si="104"/>
        <v>3.6636907854616081</v>
      </c>
      <c r="BA9" s="37">
        <f t="shared" ca="1" si="105"/>
        <v>0.78412056872178681</v>
      </c>
      <c r="BB9" s="37">
        <f t="shared" ca="1" si="106"/>
        <v>2.0775332227893459</v>
      </c>
      <c r="BC9" s="37">
        <f t="shared" ca="1" si="107"/>
        <v>0.39206028436089341</v>
      </c>
      <c r="BD9" s="37">
        <f t="shared" ca="1" si="108"/>
        <v>1.6481340185693276</v>
      </c>
      <c r="BE9" s="37">
        <f t="shared" ca="1" si="109"/>
        <v>1.9709643933406393</v>
      </c>
      <c r="BF9" s="37">
        <f t="shared" ca="1" si="110"/>
        <v>3.2277115819916768</v>
      </c>
      <c r="BG9" s="37">
        <f t="shared" ca="1" si="111"/>
        <v>3.6532351082753691</v>
      </c>
      <c r="BH9" s="37">
        <f t="shared" ca="1" si="112"/>
        <v>0.74692907929624752</v>
      </c>
      <c r="BI9" s="37">
        <f t="shared" ca="1" si="113"/>
        <v>2.7468900309488795</v>
      </c>
      <c r="BJ9" s="37">
        <f t="shared" ca="1" si="114"/>
        <v>1.4952143673618645</v>
      </c>
      <c r="BK9" s="37">
        <f t="shared" ca="1" si="115"/>
        <v>1.3958661892608728</v>
      </c>
      <c r="BL9" s="37">
        <f t="shared" ca="1" si="116"/>
        <v>3.7616213464934454</v>
      </c>
      <c r="BM9" s="37">
        <f t="shared" ca="1" si="117"/>
        <v>0.16116312084400361</v>
      </c>
      <c r="BN9" s="37">
        <f t="shared" ca="1" si="118"/>
        <v>1.0194643413830893</v>
      </c>
      <c r="BO9" s="37">
        <f t="shared" ca="1" si="119"/>
        <v>0.38513097341138935</v>
      </c>
      <c r="BP9" s="37">
        <f t="shared" ca="1" si="120"/>
        <v>1.1174256895657904</v>
      </c>
      <c r="BQ9" s="37">
        <f t="shared" ca="1" si="121"/>
        <v>5.5500879501036273</v>
      </c>
      <c r="BR9" s="37">
        <f t="shared" ca="1" si="122"/>
        <v>0.41840425603731712</v>
      </c>
      <c r="BS9" s="37">
        <f t="shared" ca="1" si="123"/>
        <v>1.6084881830710964</v>
      </c>
      <c r="BT9" s="37">
        <f t="shared" ca="1" si="124"/>
        <v>1.3819405516526322</v>
      </c>
      <c r="BU9" s="37">
        <f t="shared" ca="1" si="125"/>
        <v>2.3117888856262749</v>
      </c>
      <c r="BV9" s="37">
        <f t="shared" ca="1" si="126"/>
        <v>3.8720740529881388</v>
      </c>
      <c r="BW9" s="37">
        <f t="shared" ca="1" si="127"/>
        <v>0.45869503624831798</v>
      </c>
      <c r="BX9" s="37">
        <f t="shared" ca="1" si="128"/>
        <v>1.4874584588974129</v>
      </c>
      <c r="BY9" s="37">
        <f t="shared" ca="1" si="129"/>
        <v>2.0636595658921646</v>
      </c>
      <c r="BZ9" s="37">
        <f t="shared" ca="1" si="130"/>
        <v>4.5165032910964378</v>
      </c>
      <c r="CA9" s="37">
        <f t="shared" ca="1" si="131"/>
        <v>2.0636595658921646</v>
      </c>
      <c r="CB9" s="37">
        <f t="shared" ca="1" si="132"/>
        <v>2.9845393593425817</v>
      </c>
      <c r="CC9" s="37">
        <f t="shared" ca="1" si="133"/>
        <v>6.0039957519636085</v>
      </c>
      <c r="CD9" s="37">
        <f t="shared" ca="1" si="134"/>
        <v>2.9845393593425817</v>
      </c>
      <c r="CE9" s="37">
        <f t="shared" ca="1" si="135"/>
        <v>0.91592269636540202</v>
      </c>
    </row>
    <row r="10" spans="1:83" x14ac:dyDescent="0.25">
      <c r="A10" t="str">
        <f>PLANTILLA!D12</f>
        <v>Raul Riquelme</v>
      </c>
      <c r="B10">
        <f>PLANTILLA!E12</f>
        <v>17</v>
      </c>
      <c r="C10" s="33">
        <f ca="1">PLANTILLA!F12</f>
        <v>72</v>
      </c>
      <c r="D10" s="220" t="str">
        <f>PLANTILLA!G12</f>
        <v>RAP</v>
      </c>
      <c r="E10" s="30">
        <f>PLANTILLA!M12</f>
        <v>43097</v>
      </c>
      <c r="F10" s="47">
        <f>PLANTILLA!Q12</f>
        <v>5</v>
      </c>
      <c r="G10" s="48">
        <f t="shared" si="1"/>
        <v>0.84515425472851657</v>
      </c>
      <c r="H10" s="48">
        <f t="shared" si="2"/>
        <v>0.92504826128926143</v>
      </c>
      <c r="I10" s="51">
        <f t="shared" ca="1" si="3"/>
        <v>0.3273268353539886</v>
      </c>
      <c r="J10" s="39">
        <f>PLANTILLA!I12</f>
        <v>1.1000000000000001</v>
      </c>
      <c r="K10" s="46">
        <f>PLANTILLA!X12</f>
        <v>0</v>
      </c>
      <c r="L10" s="46">
        <f>PLANTILLA!Y12</f>
        <v>6</v>
      </c>
      <c r="M10" s="46">
        <f>PLANTILLA!Z12</f>
        <v>3</v>
      </c>
      <c r="N10" s="46">
        <f>PLANTILLA!AA12</f>
        <v>3</v>
      </c>
      <c r="O10" s="46">
        <f>PLANTILLA!AB12</f>
        <v>3</v>
      </c>
      <c r="P10" s="46">
        <f>PLANTILLA!AC12</f>
        <v>5.9988235294117649</v>
      </c>
      <c r="Q10" s="46">
        <f>PLANTILLA!AD12</f>
        <v>4</v>
      </c>
      <c r="R10" s="46">
        <f t="shared" si="70"/>
        <v>1.875</v>
      </c>
      <c r="S10" s="46">
        <f t="shared" si="71"/>
        <v>0.41994117647058821</v>
      </c>
      <c r="T10" s="46">
        <f t="shared" si="72"/>
        <v>0.36000000000000004</v>
      </c>
      <c r="U10" s="46">
        <f t="shared" ca="1" si="73"/>
        <v>3.70390295846846</v>
      </c>
      <c r="V10" s="46">
        <f t="shared" ca="1" si="74"/>
        <v>4.0540398069888495</v>
      </c>
      <c r="W10" s="37">
        <f t="shared" ca="1" si="75"/>
        <v>1.9899374127882064</v>
      </c>
      <c r="X10" s="37">
        <f t="shared" ca="1" si="76"/>
        <v>3.0438295531610242</v>
      </c>
      <c r="Y10" s="37">
        <f t="shared" ca="1" si="77"/>
        <v>1.9899374127882064</v>
      </c>
      <c r="Z10" s="37">
        <f t="shared" ca="1" si="78"/>
        <v>3.2783679849820486</v>
      </c>
      <c r="AA10" s="37">
        <f t="shared" ca="1" si="79"/>
        <v>6.3825170822316224</v>
      </c>
      <c r="AB10" s="37">
        <f t="shared" ca="1" si="80"/>
        <v>1.6391839924910243</v>
      </c>
      <c r="AC10" s="37">
        <f t="shared" ca="1" si="81"/>
        <v>1.0847862917210696</v>
      </c>
      <c r="AD10" s="37">
        <f t="shared" ca="1" si="82"/>
        <v>2.4015951517891754</v>
      </c>
      <c r="AE10" s="37">
        <f t="shared" ca="1" si="83"/>
        <v>4.6145598504534631</v>
      </c>
      <c r="AF10" s="37">
        <f t="shared" ca="1" si="84"/>
        <v>1.2007975758945877</v>
      </c>
      <c r="AG10" s="37">
        <f t="shared" ca="1" si="85"/>
        <v>1.7548013542546712</v>
      </c>
      <c r="AH10" s="37">
        <f t="shared" ca="1" si="86"/>
        <v>5.8719157156530928</v>
      </c>
      <c r="AI10" s="37">
        <f t="shared" ca="1" si="87"/>
        <v>2.730333119715973</v>
      </c>
      <c r="AJ10" s="37">
        <f t="shared" ca="1" si="88"/>
        <v>0.56488035273268089</v>
      </c>
      <c r="AK10" s="37">
        <f t="shared" ca="1" si="89"/>
        <v>1.9889200443521935</v>
      </c>
      <c r="AL10" s="37">
        <f t="shared" ca="1" si="90"/>
        <v>4.8124178800026431</v>
      </c>
      <c r="AM10" s="37">
        <f t="shared" ca="1" si="91"/>
        <v>4.6692653351664468</v>
      </c>
      <c r="AN10" s="37">
        <f t="shared" ca="1" si="92"/>
        <v>0.73188035273268093</v>
      </c>
      <c r="AO10" s="37">
        <f t="shared" ca="1" si="93"/>
        <v>0.65016491968270707</v>
      </c>
      <c r="AP10" s="37">
        <f t="shared" ca="1" si="94"/>
        <v>1.7232796122025382</v>
      </c>
      <c r="AQ10" s="37">
        <f t="shared" ca="1" si="95"/>
        <v>3.7912151468455835</v>
      </c>
      <c r="AR10" s="37">
        <f t="shared" ca="1" si="96"/>
        <v>0.86163980610126911</v>
      </c>
      <c r="AS10" s="37">
        <f t="shared" ca="1" si="97"/>
        <v>3.193096125626651</v>
      </c>
      <c r="AT10" s="37">
        <f t="shared" ca="1" si="98"/>
        <v>0.43972722069011089</v>
      </c>
      <c r="AU10" s="37">
        <f t="shared" ca="1" si="99"/>
        <v>1.5098739756821005</v>
      </c>
      <c r="AV10" s="37">
        <f t="shared" ca="1" si="100"/>
        <v>0.21986361034505544</v>
      </c>
      <c r="AW10" s="37">
        <f t="shared" ca="1" si="101"/>
        <v>1.2062957285417766</v>
      </c>
      <c r="AX10" s="37">
        <f t="shared" ca="1" si="102"/>
        <v>2.553006832892649</v>
      </c>
      <c r="AY10" s="37">
        <f t="shared" ca="1" si="103"/>
        <v>0.60314786427088829</v>
      </c>
      <c r="AZ10" s="37">
        <f t="shared" ca="1" si="104"/>
        <v>3.382517082231622</v>
      </c>
      <c r="BA10" s="37">
        <f t="shared" ca="1" si="105"/>
        <v>0.85577682180460035</v>
      </c>
      <c r="BB10" s="37">
        <f t="shared" ca="1" si="106"/>
        <v>2.4935198534860943</v>
      </c>
      <c r="BC10" s="37">
        <f t="shared" ca="1" si="107"/>
        <v>0.42788841090230018</v>
      </c>
      <c r="BD10" s="37">
        <f t="shared" ca="1" si="108"/>
        <v>1.857312470929402</v>
      </c>
      <c r="BE10" s="37">
        <f t="shared" ca="1" si="109"/>
        <v>2.2211159446166042</v>
      </c>
      <c r="BF10" s="37">
        <f t="shared" ca="1" si="110"/>
        <v>2.9799975494460589</v>
      </c>
      <c r="BG10" s="37">
        <f t="shared" ca="1" si="111"/>
        <v>3.007057686103912</v>
      </c>
      <c r="BH10" s="37">
        <f t="shared" ca="1" si="112"/>
        <v>0.8151866168178209</v>
      </c>
      <c r="BI10" s="37">
        <f t="shared" ca="1" si="113"/>
        <v>3.095520784882337</v>
      </c>
      <c r="BJ10" s="37">
        <f t="shared" ca="1" si="114"/>
        <v>1.6849845097091485</v>
      </c>
      <c r="BK10" s="37">
        <f t="shared" ca="1" si="115"/>
        <v>1.2887390083302479</v>
      </c>
      <c r="BL10" s="37">
        <f t="shared" ca="1" si="116"/>
        <v>2.9563199298704381</v>
      </c>
      <c r="BM10" s="37">
        <f t="shared" ca="1" si="117"/>
        <v>0.17589088827604432</v>
      </c>
      <c r="BN10" s="37">
        <f t="shared" ca="1" si="118"/>
        <v>1.1488530748016921</v>
      </c>
      <c r="BO10" s="37">
        <f t="shared" ca="1" si="119"/>
        <v>0.43401116159175035</v>
      </c>
      <c r="BP10" s="37">
        <f t="shared" ca="1" si="120"/>
        <v>1.0316677100806446</v>
      </c>
      <c r="BQ10" s="37">
        <f t="shared" ca="1" si="121"/>
        <v>4.3499169677498655</v>
      </c>
      <c r="BR10" s="37">
        <f t="shared" ca="1" si="122"/>
        <v>0.45663980610126897</v>
      </c>
      <c r="BS10" s="37">
        <f t="shared" ca="1" si="123"/>
        <v>1.8126348513537807</v>
      </c>
      <c r="BT10" s="37">
        <f t="shared" ca="1" si="124"/>
        <v>1.5573341680645159</v>
      </c>
      <c r="BU10" s="37">
        <f t="shared" ca="1" si="125"/>
        <v>2.1343682788881533</v>
      </c>
      <c r="BV10" s="37">
        <f t="shared" ca="1" si="126"/>
        <v>3.0273527885973017</v>
      </c>
      <c r="BW10" s="37">
        <f t="shared" ca="1" si="127"/>
        <v>0.50061252817028001</v>
      </c>
      <c r="BX10" s="37">
        <f t="shared" ca="1" si="128"/>
        <v>1.3733019353860385</v>
      </c>
      <c r="BY10" s="37">
        <f t="shared" ca="1" si="129"/>
        <v>2.1431419880779692</v>
      </c>
      <c r="BZ10" s="37">
        <f t="shared" ca="1" si="130"/>
        <v>5.5570283522398647</v>
      </c>
      <c r="CA10" s="37">
        <f t="shared" ca="1" si="131"/>
        <v>2.1431419880779692</v>
      </c>
      <c r="CB10" s="37">
        <f t="shared" ca="1" si="132"/>
        <v>3.3128352010538298</v>
      </c>
      <c r="CC10" s="37">
        <f t="shared" ca="1" si="133"/>
        <v>7.629489414986856</v>
      </c>
      <c r="CD10" s="37">
        <f t="shared" ca="1" si="134"/>
        <v>3.3128352010538298</v>
      </c>
      <c r="CE10" s="37">
        <f t="shared" ca="1" si="135"/>
        <v>0.84562927055790549</v>
      </c>
    </row>
    <row r="11" spans="1:83" x14ac:dyDescent="0.25">
      <c r="A11" t="str">
        <f>PLANTILLA!D13</f>
        <v>Fernando Gazón</v>
      </c>
      <c r="B11">
        <f>PLANTILLA!E13</f>
        <v>18</v>
      </c>
      <c r="C11" s="33">
        <f ca="1">PLANTILLA!F13</f>
        <v>22</v>
      </c>
      <c r="D11" s="220" t="str">
        <f>PLANTILLA!G13</f>
        <v>IMP</v>
      </c>
      <c r="E11" s="30">
        <f>PLANTILLA!M13</f>
        <v>43045</v>
      </c>
      <c r="F11" s="47">
        <f>PLANTILLA!Q13</f>
        <v>6</v>
      </c>
      <c r="G11" s="48">
        <f t="shared" si="1"/>
        <v>0.92582009977255142</v>
      </c>
      <c r="H11" s="48">
        <f t="shared" si="2"/>
        <v>0.99928545900129484</v>
      </c>
      <c r="I11" s="51">
        <f t="shared" ca="1" si="3"/>
        <v>0.51176631571915898</v>
      </c>
      <c r="J11" s="39">
        <f>PLANTILLA!I13</f>
        <v>1</v>
      </c>
      <c r="K11" s="46">
        <f>PLANTILLA!X13</f>
        <v>0</v>
      </c>
      <c r="L11" s="46">
        <f>PLANTILLA!Y13</f>
        <v>3</v>
      </c>
      <c r="M11" s="46">
        <f>PLANTILLA!Z13</f>
        <v>6</v>
      </c>
      <c r="N11" s="46">
        <f>PLANTILLA!AA13</f>
        <v>3</v>
      </c>
      <c r="O11" s="46">
        <f>PLANTILLA!AB13</f>
        <v>4</v>
      </c>
      <c r="P11" s="46">
        <f>PLANTILLA!AC13</f>
        <v>5.207261437908496</v>
      </c>
      <c r="Q11" s="46">
        <f>PLANTILLA!AD13</f>
        <v>3</v>
      </c>
      <c r="R11" s="46">
        <f t="shared" si="70"/>
        <v>1.75</v>
      </c>
      <c r="S11" s="46">
        <f t="shared" si="71"/>
        <v>0.35036307189542482</v>
      </c>
      <c r="T11" s="46">
        <f t="shared" si="72"/>
        <v>0.21000000000000002</v>
      </c>
      <c r="U11" s="46">
        <f t="shared" ca="1" si="73"/>
        <v>3.2512638407969972</v>
      </c>
      <c r="V11" s="46">
        <f t="shared" ca="1" si="74"/>
        <v>3.5092570147087057</v>
      </c>
      <c r="W11" s="37">
        <f t="shared" ca="1" si="75"/>
        <v>1.2747719936228259</v>
      </c>
      <c r="X11" s="37">
        <f t="shared" ca="1" si="76"/>
        <v>1.9356903135934342</v>
      </c>
      <c r="Y11" s="37">
        <f t="shared" ca="1" si="77"/>
        <v>1.2747719936228259</v>
      </c>
      <c r="Z11" s="37">
        <f t="shared" ca="1" si="78"/>
        <v>1.7886024085718168</v>
      </c>
      <c r="AA11" s="37">
        <f t="shared" ca="1" si="79"/>
        <v>3.511766315719159</v>
      </c>
      <c r="AB11" s="37">
        <f t="shared" ca="1" si="80"/>
        <v>0.89430120428590842</v>
      </c>
      <c r="AC11" s="37">
        <f t="shared" ca="1" si="81"/>
        <v>1.9871773159080213</v>
      </c>
      <c r="AD11" s="37">
        <f t="shared" ca="1" si="82"/>
        <v>1.3102552527909821</v>
      </c>
      <c r="AE11" s="37">
        <f t="shared" ca="1" si="83"/>
        <v>2.5390070462649517</v>
      </c>
      <c r="AF11" s="37">
        <f t="shared" ca="1" si="84"/>
        <v>0.65512762639549105</v>
      </c>
      <c r="AG11" s="37">
        <f t="shared" ca="1" si="85"/>
        <v>3.2145515404394467</v>
      </c>
      <c r="AH11" s="37">
        <f t="shared" ca="1" si="86"/>
        <v>3.2308250104616265</v>
      </c>
      <c r="AI11" s="37">
        <f t="shared" ca="1" si="87"/>
        <v>1.591411517510835</v>
      </c>
      <c r="AJ11" s="37">
        <f t="shared" ca="1" si="88"/>
        <v>1.0874649747250995</v>
      </c>
      <c r="AK11" s="37">
        <f t="shared" ca="1" si="89"/>
        <v>2.0649185936428656</v>
      </c>
      <c r="AL11" s="37">
        <f t="shared" ca="1" si="90"/>
        <v>2.6478718020522458</v>
      </c>
      <c r="AM11" s="37">
        <f t="shared" ca="1" si="91"/>
        <v>2.7215443342938919</v>
      </c>
      <c r="AN11" s="37">
        <f t="shared" ca="1" si="92"/>
        <v>0.58646497472509962</v>
      </c>
      <c r="AO11" s="37">
        <f t="shared" ca="1" si="93"/>
        <v>0.6513886989271177</v>
      </c>
      <c r="AP11" s="37">
        <f t="shared" ca="1" si="94"/>
        <v>0.94817690524417297</v>
      </c>
      <c r="AQ11" s="37">
        <f t="shared" ca="1" si="95"/>
        <v>2.0859891915371804</v>
      </c>
      <c r="AR11" s="37">
        <f t="shared" ca="1" si="96"/>
        <v>0.47408845262208649</v>
      </c>
      <c r="AS11" s="37">
        <f t="shared" ca="1" si="97"/>
        <v>6.1471074020388858</v>
      </c>
      <c r="AT11" s="37">
        <f t="shared" ca="1" si="98"/>
        <v>0.58652962104349071</v>
      </c>
      <c r="AU11" s="37">
        <f t="shared" ca="1" si="99"/>
        <v>1.5308037592638832</v>
      </c>
      <c r="AV11" s="37">
        <f t="shared" ca="1" si="100"/>
        <v>0.29326481052174536</v>
      </c>
      <c r="AW11" s="37">
        <f t="shared" ca="1" si="101"/>
        <v>0.66372383367092103</v>
      </c>
      <c r="AX11" s="37">
        <f t="shared" ca="1" si="102"/>
        <v>1.4047065262876637</v>
      </c>
      <c r="AY11" s="37">
        <f t="shared" ca="1" si="103"/>
        <v>0.33186191683546051</v>
      </c>
      <c r="AZ11" s="37">
        <f t="shared" ca="1" si="104"/>
        <v>6.511766315719159</v>
      </c>
      <c r="BA11" s="37">
        <f t="shared" ca="1" si="105"/>
        <v>1.1414768778769473</v>
      </c>
      <c r="BB11" s="37">
        <f t="shared" ca="1" si="106"/>
        <v>2.7395081419220411</v>
      </c>
      <c r="BC11" s="37">
        <f t="shared" ca="1" si="107"/>
        <v>0.57073843893847365</v>
      </c>
      <c r="BD11" s="37">
        <f t="shared" ca="1" si="108"/>
        <v>1.0219239978742751</v>
      </c>
      <c r="BE11" s="37">
        <f t="shared" ca="1" si="109"/>
        <v>1.2220946778702673</v>
      </c>
      <c r="BF11" s="37">
        <f t="shared" ca="1" si="110"/>
        <v>5.7368661241485794</v>
      </c>
      <c r="BG11" s="37">
        <f t="shared" ca="1" si="111"/>
        <v>3.4369602546743323</v>
      </c>
      <c r="BH11" s="37">
        <f t="shared" ca="1" si="112"/>
        <v>1.0873356820883173</v>
      </c>
      <c r="BI11" s="37">
        <f t="shared" ca="1" si="113"/>
        <v>1.7032066631237921</v>
      </c>
      <c r="BJ11" s="37">
        <f t="shared" ca="1" si="114"/>
        <v>0.92710630734985799</v>
      </c>
      <c r="BK11" s="37">
        <f t="shared" ca="1" si="115"/>
        <v>2.4809829662889995</v>
      </c>
      <c r="BL11" s="37">
        <f t="shared" ca="1" si="116"/>
        <v>3.270283759938545</v>
      </c>
      <c r="BM11" s="37">
        <f t="shared" ca="1" si="117"/>
        <v>0.23461184841739627</v>
      </c>
      <c r="BN11" s="37">
        <f t="shared" ca="1" si="118"/>
        <v>0.63211793682944861</v>
      </c>
      <c r="BO11" s="37">
        <f t="shared" ca="1" si="119"/>
        <v>0.23880010946890282</v>
      </c>
      <c r="BP11" s="37">
        <f t="shared" ca="1" si="120"/>
        <v>1.9860887262943434</v>
      </c>
      <c r="BQ11" s="37">
        <f t="shared" ca="1" si="121"/>
        <v>4.802131482014838</v>
      </c>
      <c r="BR11" s="37">
        <f t="shared" ca="1" si="122"/>
        <v>0.60908845262208655</v>
      </c>
      <c r="BS11" s="37">
        <f t="shared" ca="1" si="123"/>
        <v>0.99734163366424111</v>
      </c>
      <c r="BT11" s="37">
        <f t="shared" ca="1" si="124"/>
        <v>0.85687098103547477</v>
      </c>
      <c r="BU11" s="37">
        <f t="shared" ca="1" si="125"/>
        <v>4.1089245452187892</v>
      </c>
      <c r="BV11" s="37">
        <f t="shared" ca="1" si="126"/>
        <v>3.3360308525686468</v>
      </c>
      <c r="BW11" s="37">
        <f t="shared" ca="1" si="127"/>
        <v>0.66774141472643544</v>
      </c>
      <c r="BX11" s="37">
        <f t="shared" ca="1" si="128"/>
        <v>2.6437771241819785</v>
      </c>
      <c r="BY11" s="37">
        <f t="shared" ca="1" si="129"/>
        <v>2.3599524531040608</v>
      </c>
      <c r="BZ11" s="37">
        <f t="shared" ca="1" si="130"/>
        <v>5.784082289800426</v>
      </c>
      <c r="CA11" s="37">
        <f t="shared" ca="1" si="131"/>
        <v>2.3599524531040608</v>
      </c>
      <c r="CB11" s="37">
        <f t="shared" ca="1" si="132"/>
        <v>3.0751495127322515</v>
      </c>
      <c r="CC11" s="37">
        <f t="shared" ca="1" si="133"/>
        <v>7.3838695241280252</v>
      </c>
      <c r="CD11" s="37">
        <f t="shared" ca="1" si="134"/>
        <v>3.0751495127322515</v>
      </c>
      <c r="CE11" s="37">
        <f t="shared" ca="1" si="135"/>
        <v>1.6279415789297897</v>
      </c>
    </row>
    <row r="12" spans="1:83" x14ac:dyDescent="0.25">
      <c r="A12" t="str">
        <f>PLANTILLA!D14</f>
        <v>Roberto Abenoza</v>
      </c>
      <c r="B12">
        <f>PLANTILLA!E14</f>
        <v>18</v>
      </c>
      <c r="C12" s="33">
        <f ca="1">PLANTILLA!F14</f>
        <v>10</v>
      </c>
      <c r="D12" s="220" t="str">
        <f>PLANTILLA!G14</f>
        <v>CAB</v>
      </c>
      <c r="E12" s="30">
        <f>PLANTILLA!M14</f>
        <v>43046</v>
      </c>
      <c r="F12" s="47">
        <f>PLANTILLA!Q14</f>
        <v>7</v>
      </c>
      <c r="G12" s="48">
        <f t="shared" si="1"/>
        <v>1</v>
      </c>
      <c r="H12" s="48">
        <f t="shared" si="2"/>
        <v>1</v>
      </c>
      <c r="I12" s="51">
        <f t="shared" ca="1" si="3"/>
        <v>0.50885024459910744</v>
      </c>
      <c r="J12" s="39">
        <f>PLANTILLA!I14</f>
        <v>0.5</v>
      </c>
      <c r="K12" s="46">
        <f>PLANTILLA!X14</f>
        <v>0</v>
      </c>
      <c r="L12" s="46">
        <f>PLANTILLA!Y14</f>
        <v>2</v>
      </c>
      <c r="M12" s="46">
        <f>PLANTILLA!Z14</f>
        <v>5</v>
      </c>
      <c r="N12" s="46">
        <f>PLANTILLA!AA14</f>
        <v>3</v>
      </c>
      <c r="O12" s="46">
        <f>PLANTILLA!AB14</f>
        <v>2.1583999999999999</v>
      </c>
      <c r="P12" s="46">
        <f>PLANTILLA!AC14</f>
        <v>5.3499999999999988</v>
      </c>
      <c r="Q12" s="46">
        <f>PLANTILLA!AD14</f>
        <v>5</v>
      </c>
      <c r="R12" s="46">
        <f t="shared" si="70"/>
        <v>1.1646000000000001</v>
      </c>
      <c r="S12" s="46">
        <f t="shared" si="71"/>
        <v>0.41749999999999987</v>
      </c>
      <c r="T12" s="46">
        <f t="shared" si="72"/>
        <v>0.22999999999999998</v>
      </c>
      <c r="U12" s="46">
        <f t="shared" ca="1" si="73"/>
        <v>5.1074769170471326</v>
      </c>
      <c r="V12" s="46">
        <f t="shared" ca="1" si="74"/>
        <v>5.1074769170471326</v>
      </c>
      <c r="W12" s="37">
        <f t="shared" ca="1" si="75"/>
        <v>0.64582734858214685</v>
      </c>
      <c r="X12" s="37">
        <f t="shared" ca="1" si="76"/>
        <v>0.98875269990784809</v>
      </c>
      <c r="Y12" s="37">
        <f t="shared" ca="1" si="77"/>
        <v>0.64582734858214685</v>
      </c>
      <c r="Z12" s="37">
        <f t="shared" ca="1" si="78"/>
        <v>1.0641228065002437</v>
      </c>
      <c r="AA12" s="37">
        <f t="shared" ca="1" si="79"/>
        <v>2.1074769170471326</v>
      </c>
      <c r="AB12" s="37">
        <f t="shared" ca="1" si="80"/>
        <v>0.53206140325012186</v>
      </c>
      <c r="AC12" s="37">
        <f t="shared" ca="1" si="81"/>
        <v>1.6504642424823313</v>
      </c>
      <c r="AD12" s="37">
        <f t="shared" ca="1" si="82"/>
        <v>0.77953182336645765</v>
      </c>
      <c r="AE12" s="37">
        <f t="shared" ca="1" si="83"/>
        <v>1.5237058110250767</v>
      </c>
      <c r="AF12" s="37">
        <f t="shared" ca="1" si="84"/>
        <v>0.38976591168322883</v>
      </c>
      <c r="AG12" s="37">
        <f t="shared" ca="1" si="85"/>
        <v>2.6698686275449477</v>
      </c>
      <c r="AH12" s="37">
        <f t="shared" ca="1" si="86"/>
        <v>1.938878763683362</v>
      </c>
      <c r="AI12" s="37">
        <f t="shared" ca="1" si="87"/>
        <v>1.0092519948799881</v>
      </c>
      <c r="AJ12" s="37">
        <f t="shared" ca="1" si="88"/>
        <v>0.85294864514687119</v>
      </c>
      <c r="AK12" s="37">
        <f t="shared" ca="1" si="89"/>
        <v>1.8271964272237138</v>
      </c>
      <c r="AL12" s="37">
        <f t="shared" ca="1" si="90"/>
        <v>1.5890375954535381</v>
      </c>
      <c r="AM12" s="37">
        <f t="shared" ca="1" si="91"/>
        <v>1.7259671796498348</v>
      </c>
      <c r="AN12" s="37">
        <f t="shared" ca="1" si="92"/>
        <v>0.85294864514687119</v>
      </c>
      <c r="AO12" s="37">
        <f t="shared" ca="1" si="93"/>
        <v>0.36635815210957418</v>
      </c>
      <c r="AP12" s="37">
        <f t="shared" ca="1" si="94"/>
        <v>0.56901876760272585</v>
      </c>
      <c r="AQ12" s="37">
        <f t="shared" ca="1" si="95"/>
        <v>1.2518412887259966</v>
      </c>
      <c r="AR12" s="37">
        <f t="shared" ca="1" si="96"/>
        <v>0.28450938380136293</v>
      </c>
      <c r="AS12" s="37">
        <f t="shared" ca="1" si="97"/>
        <v>4.8214582096924925</v>
      </c>
      <c r="AT12" s="37">
        <f t="shared" ca="1" si="98"/>
        <v>0.29456399921612725</v>
      </c>
      <c r="AU12" s="37">
        <f t="shared" ca="1" si="99"/>
        <v>1.2160487366948094</v>
      </c>
      <c r="AV12" s="37">
        <f t="shared" ca="1" si="100"/>
        <v>0.14728199960806362</v>
      </c>
      <c r="AW12" s="37">
        <f t="shared" ca="1" si="101"/>
        <v>0.39831313732190804</v>
      </c>
      <c r="AX12" s="37">
        <f t="shared" ca="1" si="102"/>
        <v>0.8429907668188531</v>
      </c>
      <c r="AY12" s="37">
        <f t="shared" ca="1" si="103"/>
        <v>0.19915656866095402</v>
      </c>
      <c r="AZ12" s="37">
        <f t="shared" ca="1" si="104"/>
        <v>5.1074769170471326</v>
      </c>
      <c r="BA12" s="37">
        <f t="shared" ca="1" si="105"/>
        <v>0.57326686001292448</v>
      </c>
      <c r="BB12" s="37">
        <f t="shared" ca="1" si="106"/>
        <v>1.9187341812929697</v>
      </c>
      <c r="BC12" s="37">
        <f t="shared" ca="1" si="107"/>
        <v>0.28663343000646224</v>
      </c>
      <c r="BD12" s="37">
        <f t="shared" ca="1" si="108"/>
        <v>0.61327578286071549</v>
      </c>
      <c r="BE12" s="37">
        <f t="shared" ca="1" si="109"/>
        <v>0.73340196713240213</v>
      </c>
      <c r="BF12" s="37">
        <f t="shared" ca="1" si="110"/>
        <v>4.4996871639185239</v>
      </c>
      <c r="BG12" s="37">
        <f t="shared" ca="1" si="111"/>
        <v>2.4974429792549007</v>
      </c>
      <c r="BH12" s="37">
        <f t="shared" ca="1" si="112"/>
        <v>0.54607633700835889</v>
      </c>
      <c r="BI12" s="37">
        <f t="shared" ca="1" si="113"/>
        <v>1.0221263047678593</v>
      </c>
      <c r="BJ12" s="37">
        <f t="shared" ca="1" si="114"/>
        <v>0.55637390610044302</v>
      </c>
      <c r="BK12" s="37">
        <f t="shared" ca="1" si="115"/>
        <v>1.9459487053949576</v>
      </c>
      <c r="BL12" s="37">
        <f t="shared" ca="1" si="116"/>
        <v>2.5467732254991939</v>
      </c>
      <c r="BM12" s="37">
        <f t="shared" ca="1" si="117"/>
        <v>0.11782559968645089</v>
      </c>
      <c r="BN12" s="37">
        <f t="shared" ca="1" si="118"/>
        <v>0.37934584506848384</v>
      </c>
      <c r="BO12" s="37">
        <f t="shared" ca="1" si="119"/>
        <v>0.14330843035920501</v>
      </c>
      <c r="BP12" s="37">
        <f t="shared" ca="1" si="120"/>
        <v>1.5577804596993754</v>
      </c>
      <c r="BQ12" s="37">
        <f t="shared" ca="1" si="121"/>
        <v>3.7555177153226125</v>
      </c>
      <c r="BR12" s="37">
        <f t="shared" ca="1" si="122"/>
        <v>0.30589338380136288</v>
      </c>
      <c r="BS12" s="37">
        <f t="shared" ca="1" si="123"/>
        <v>0.59852344444138561</v>
      </c>
      <c r="BT12" s="37">
        <f t="shared" ca="1" si="124"/>
        <v>0.51422436775950031</v>
      </c>
      <c r="BU12" s="37">
        <f t="shared" ca="1" si="125"/>
        <v>3.2228179346567405</v>
      </c>
      <c r="BV12" s="37">
        <f t="shared" ca="1" si="126"/>
        <v>2.6187630407571834</v>
      </c>
      <c r="BW12" s="37">
        <f t="shared" ca="1" si="127"/>
        <v>0.33534978372297558</v>
      </c>
      <c r="BX12" s="37">
        <f t="shared" ca="1" si="128"/>
        <v>2.0736356283211359</v>
      </c>
      <c r="BY12" s="37">
        <f t="shared" ca="1" si="129"/>
        <v>1.7070454737815557</v>
      </c>
      <c r="BZ12" s="37">
        <f t="shared" ca="1" si="130"/>
        <v>4.4120802085950697</v>
      </c>
      <c r="CA12" s="37">
        <f t="shared" ca="1" si="131"/>
        <v>1.7070454737815557</v>
      </c>
      <c r="CB12" s="37">
        <f t="shared" ca="1" si="132"/>
        <v>2.8806581193203629</v>
      </c>
      <c r="CC12" s="37">
        <f t="shared" ca="1" si="133"/>
        <v>6.2935854994375227</v>
      </c>
      <c r="CD12" s="37">
        <f t="shared" ca="1" si="134"/>
        <v>2.8806581193203629</v>
      </c>
      <c r="CE12" s="37">
        <f t="shared" ca="1" si="135"/>
        <v>1.2768692292617831</v>
      </c>
    </row>
    <row r="13" spans="1:83" x14ac:dyDescent="0.25">
      <c r="A13" t="str">
        <f>PLANTILLA!D15</f>
        <v>Julio Calle</v>
      </c>
      <c r="B13">
        <f>PLANTILLA!E15</f>
        <v>17</v>
      </c>
      <c r="C13" s="33">
        <f ca="1">PLANTILLA!F15</f>
        <v>92</v>
      </c>
      <c r="D13" s="220" t="str">
        <f>PLANTILLA!G15</f>
        <v>POT</v>
      </c>
      <c r="E13" s="30">
        <f>PLANTILLA!M15</f>
        <v>43046</v>
      </c>
      <c r="F13" s="47">
        <f>PLANTILLA!Q15</f>
        <v>6</v>
      </c>
      <c r="G13" s="48">
        <f t="shared" si="1"/>
        <v>0.92582009977255142</v>
      </c>
      <c r="H13" s="48">
        <f t="shared" si="2"/>
        <v>0.99928545900129484</v>
      </c>
      <c r="I13" s="51">
        <f t="shared" ca="1" si="3"/>
        <v>0.50885024459910744</v>
      </c>
      <c r="J13" s="39">
        <f>PLANTILLA!I15</f>
        <v>0.5</v>
      </c>
      <c r="K13" s="46">
        <f>PLANTILLA!X15</f>
        <v>0</v>
      </c>
      <c r="L13" s="46">
        <f>PLANTILLA!Y15</f>
        <v>3</v>
      </c>
      <c r="M13" s="46">
        <f>PLANTILLA!Z15</f>
        <v>4</v>
      </c>
      <c r="N13" s="46">
        <f>PLANTILLA!AA15</f>
        <v>4</v>
      </c>
      <c r="O13" s="46">
        <f>PLANTILLA!AB15</f>
        <v>3.0151111111111111</v>
      </c>
      <c r="P13" s="46">
        <f>PLANTILLA!AC15</f>
        <v>4.1764705882352935</v>
      </c>
      <c r="Q13" s="46">
        <f>PLANTILLA!AD15</f>
        <v>1.3</v>
      </c>
      <c r="R13" s="46">
        <f t="shared" si="70"/>
        <v>1.5037777777777777</v>
      </c>
      <c r="S13" s="46">
        <f t="shared" si="71"/>
        <v>0.24782352941176469</v>
      </c>
      <c r="T13" s="46">
        <f t="shared" si="72"/>
        <v>0.15900000000000003</v>
      </c>
      <c r="U13" s="46">
        <f t="shared" ca="1" si="73"/>
        <v>1.3030704197681393</v>
      </c>
      <c r="V13" s="46">
        <f t="shared" ca="1" si="74"/>
        <v>1.4064712170851712</v>
      </c>
      <c r="W13" s="37">
        <f t="shared" ca="1" si="75"/>
        <v>0.92182734858214688</v>
      </c>
      <c r="X13" s="37">
        <f t="shared" ca="1" si="76"/>
        <v>1.4137526999078482</v>
      </c>
      <c r="Y13" s="37">
        <f t="shared" ca="1" si="77"/>
        <v>0.92182734858214688</v>
      </c>
      <c r="Z13" s="37">
        <f t="shared" ca="1" si="78"/>
        <v>1.5801228065002437</v>
      </c>
      <c r="AA13" s="37">
        <f t="shared" ca="1" si="79"/>
        <v>3.1074769170471326</v>
      </c>
      <c r="AB13" s="37">
        <f t="shared" ca="1" si="80"/>
        <v>0.79006140325012186</v>
      </c>
      <c r="AC13" s="37">
        <f t="shared" ca="1" si="81"/>
        <v>1.4124642424823313</v>
      </c>
      <c r="AD13" s="37">
        <f t="shared" ca="1" si="82"/>
        <v>1.1575318233664578</v>
      </c>
      <c r="AE13" s="37">
        <f t="shared" ca="1" si="83"/>
        <v>2.2467058110250768</v>
      </c>
      <c r="AF13" s="37">
        <f t="shared" ca="1" si="84"/>
        <v>0.57876591168322888</v>
      </c>
      <c r="AG13" s="37">
        <f t="shared" ca="1" si="85"/>
        <v>2.2848686275449479</v>
      </c>
      <c r="AH13" s="37">
        <f t="shared" ca="1" si="86"/>
        <v>2.8588787636833621</v>
      </c>
      <c r="AI13" s="37">
        <f t="shared" ca="1" si="87"/>
        <v>1.423251994879988</v>
      </c>
      <c r="AJ13" s="37">
        <f t="shared" ca="1" si="88"/>
        <v>0.68594864514687115</v>
      </c>
      <c r="AK13" s="37">
        <f t="shared" ca="1" si="89"/>
        <v>2.4151964272237136</v>
      </c>
      <c r="AL13" s="37">
        <f t="shared" ca="1" si="90"/>
        <v>2.3430375954535378</v>
      </c>
      <c r="AM13" s="37">
        <f t="shared" ca="1" si="91"/>
        <v>2.4339671796498346</v>
      </c>
      <c r="AN13" s="37">
        <f t="shared" ca="1" si="92"/>
        <v>0.23504864514687115</v>
      </c>
      <c r="AO13" s="37">
        <f t="shared" ca="1" si="93"/>
        <v>0.46404135210957409</v>
      </c>
      <c r="AP13" s="37">
        <f t="shared" ca="1" si="94"/>
        <v>0.83901876760272587</v>
      </c>
      <c r="AQ13" s="37">
        <f t="shared" ca="1" si="95"/>
        <v>1.8458412887259967</v>
      </c>
      <c r="AR13" s="37">
        <f t="shared" ca="1" si="96"/>
        <v>0.41950938380136293</v>
      </c>
      <c r="AS13" s="37">
        <f t="shared" ca="1" si="97"/>
        <v>3.877458209692493</v>
      </c>
      <c r="AT13" s="37">
        <f t="shared" ca="1" si="98"/>
        <v>0.40593644366057169</v>
      </c>
      <c r="AU13" s="37">
        <f t="shared" ca="1" si="99"/>
        <v>1.115833481792849</v>
      </c>
      <c r="AV13" s="37">
        <f t="shared" ca="1" si="100"/>
        <v>0.20296822183028584</v>
      </c>
      <c r="AW13" s="37">
        <f t="shared" ca="1" si="101"/>
        <v>0.58731313732190804</v>
      </c>
      <c r="AX13" s="37">
        <f t="shared" ca="1" si="102"/>
        <v>1.2429907668188531</v>
      </c>
      <c r="AY13" s="37">
        <f t="shared" ca="1" si="103"/>
        <v>0.29365656866095402</v>
      </c>
      <c r="AZ13" s="37">
        <f t="shared" ca="1" si="104"/>
        <v>4.1074769170471326</v>
      </c>
      <c r="BA13" s="37">
        <f t="shared" ca="1" si="105"/>
        <v>0.79001477112403562</v>
      </c>
      <c r="BB13" s="37">
        <f t="shared" ca="1" si="106"/>
        <v>1.9644314937112706</v>
      </c>
      <c r="BC13" s="37">
        <f t="shared" ca="1" si="107"/>
        <v>0.39500738556201781</v>
      </c>
      <c r="BD13" s="37">
        <f t="shared" ca="1" si="108"/>
        <v>0.90427578286071553</v>
      </c>
      <c r="BE13" s="37">
        <f t="shared" ca="1" si="109"/>
        <v>1.081401967132402</v>
      </c>
      <c r="BF13" s="37">
        <f t="shared" ca="1" si="110"/>
        <v>3.6186871639185236</v>
      </c>
      <c r="BG13" s="37">
        <f t="shared" ca="1" si="111"/>
        <v>3.3413069792549006</v>
      </c>
      <c r="BH13" s="37">
        <f t="shared" ca="1" si="112"/>
        <v>0.75254371478613669</v>
      </c>
      <c r="BI13" s="37">
        <f t="shared" ca="1" si="113"/>
        <v>1.5071263047678594</v>
      </c>
      <c r="BJ13" s="37">
        <f t="shared" ca="1" si="114"/>
        <v>0.82037390610044303</v>
      </c>
      <c r="BK13" s="37">
        <f t="shared" ca="1" si="115"/>
        <v>1.5649487053949576</v>
      </c>
      <c r="BL13" s="37">
        <f t="shared" ca="1" si="116"/>
        <v>3.3919721588325276</v>
      </c>
      <c r="BM13" s="37">
        <f t="shared" ca="1" si="117"/>
        <v>0.16237457746422868</v>
      </c>
      <c r="BN13" s="37">
        <f t="shared" ca="1" si="118"/>
        <v>0.55934584506848384</v>
      </c>
      <c r="BO13" s="37">
        <f t="shared" ca="1" si="119"/>
        <v>0.21130843035920502</v>
      </c>
      <c r="BP13" s="37">
        <f t="shared" ca="1" si="120"/>
        <v>1.2527804596993755</v>
      </c>
      <c r="BQ13" s="37">
        <f t="shared" ca="1" si="121"/>
        <v>5.0005370931003901</v>
      </c>
      <c r="BR13" s="37">
        <f t="shared" ca="1" si="122"/>
        <v>0.42154938380136292</v>
      </c>
      <c r="BS13" s="37">
        <f t="shared" ca="1" si="123"/>
        <v>0.88252344444138553</v>
      </c>
      <c r="BT13" s="37">
        <f t="shared" ca="1" si="124"/>
        <v>0.75822436775950031</v>
      </c>
      <c r="BU13" s="37">
        <f t="shared" ca="1" si="125"/>
        <v>2.5918179346567407</v>
      </c>
      <c r="BV13" s="37">
        <f t="shared" ca="1" si="126"/>
        <v>3.4861082852016279</v>
      </c>
      <c r="BW13" s="37">
        <f t="shared" ca="1" si="127"/>
        <v>0.46214302816742003</v>
      </c>
      <c r="BX13" s="37">
        <f t="shared" ca="1" si="128"/>
        <v>1.667635628321136</v>
      </c>
      <c r="BY13" s="37">
        <f t="shared" ca="1" si="129"/>
        <v>1.9161850162652161</v>
      </c>
      <c r="BZ13" s="37">
        <f t="shared" ca="1" si="130"/>
        <v>4.1931066948695808</v>
      </c>
      <c r="CA13" s="37">
        <f t="shared" ca="1" si="131"/>
        <v>1.9161850162652161</v>
      </c>
      <c r="CB13" s="37">
        <f t="shared" ca="1" si="132"/>
        <v>2.6298992957909517</v>
      </c>
      <c r="CC13" s="37">
        <f t="shared" ca="1" si="133"/>
        <v>5.4361824876728182</v>
      </c>
      <c r="CD13" s="37">
        <f t="shared" ca="1" si="134"/>
        <v>2.6298992957909517</v>
      </c>
      <c r="CE13" s="37">
        <f t="shared" ca="1" si="135"/>
        <v>1.0268692292617831</v>
      </c>
    </row>
    <row r="14" spans="1:83" x14ac:dyDescent="0.25">
      <c r="A14" t="str">
        <f>PLANTILLA!D17</f>
        <v>Enrique Cubas</v>
      </c>
      <c r="B14">
        <f>PLANTILLA!E17</f>
        <v>17</v>
      </c>
      <c r="C14" s="33">
        <f ca="1">PLANTILLA!F17</f>
        <v>93</v>
      </c>
      <c r="D14" s="220" t="str">
        <f>PLANTILLA!G17</f>
        <v>RAP</v>
      </c>
      <c r="E14" s="30">
        <f>PLANTILLA!M17</f>
        <v>43046</v>
      </c>
      <c r="F14" s="47">
        <f>PLANTILLA!Q17</f>
        <v>6</v>
      </c>
      <c r="G14" s="48">
        <f t="shared" si="1"/>
        <v>0.92582009977255142</v>
      </c>
      <c r="H14" s="48">
        <f t="shared" si="2"/>
        <v>0.99928545900129484</v>
      </c>
      <c r="I14" s="51">
        <f t="shared" ca="1" si="3"/>
        <v>0.50885024459910744</v>
      </c>
      <c r="J14" s="39">
        <f>PLANTILLA!I17</f>
        <v>1.4</v>
      </c>
      <c r="K14" s="46">
        <f>PLANTILLA!X17</f>
        <v>0</v>
      </c>
      <c r="L14" s="46">
        <f>PLANTILLA!Y17</f>
        <v>2</v>
      </c>
      <c r="M14" s="46">
        <f>PLANTILLA!Z17</f>
        <v>5.7</v>
      </c>
      <c r="N14" s="46">
        <f>PLANTILLA!AA17</f>
        <v>5.5</v>
      </c>
      <c r="O14" s="46">
        <f>PLANTILLA!AB17</f>
        <v>5.5</v>
      </c>
      <c r="P14" s="46">
        <f>PLANTILLA!AC17</f>
        <v>5.5</v>
      </c>
      <c r="Q14" s="46">
        <f>PLANTILLA!AD17</f>
        <v>5</v>
      </c>
      <c r="R14" s="46">
        <f t="shared" si="70"/>
        <v>2</v>
      </c>
      <c r="S14" s="46">
        <f t="shared" si="71"/>
        <v>0.42499999999999999</v>
      </c>
      <c r="T14" s="46">
        <f t="shared" si="72"/>
        <v>0.22999999999999998</v>
      </c>
      <c r="U14" s="46">
        <f t="shared" ca="1" si="73"/>
        <v>5.2805886465150484</v>
      </c>
      <c r="V14" s="46">
        <f t="shared" ca="1" si="74"/>
        <v>5.6996121068511956</v>
      </c>
      <c r="W14" s="37">
        <f t="shared" ca="1" si="75"/>
        <v>1.1663192970644898</v>
      </c>
      <c r="X14" s="37">
        <f t="shared" ca="1" si="76"/>
        <v>1.7584607245249213</v>
      </c>
      <c r="Y14" s="37">
        <f t="shared" ca="1" si="77"/>
        <v>1.1663192970644898</v>
      </c>
      <c r="Z14" s="37">
        <f t="shared" ca="1" si="78"/>
        <v>1.3717675320636906</v>
      </c>
      <c r="AA14" s="37">
        <f t="shared" ca="1" si="79"/>
        <v>2.7036876255034246</v>
      </c>
      <c r="AB14" s="37">
        <f t="shared" ca="1" si="80"/>
        <v>0.68588376603184531</v>
      </c>
      <c r="AC14" s="37">
        <f t="shared" ca="1" si="81"/>
        <v>1.9589623910949288</v>
      </c>
      <c r="AD14" s="37">
        <f t="shared" ca="1" si="82"/>
        <v>1.0048994711629362</v>
      </c>
      <c r="AE14" s="37">
        <f t="shared" ca="1" si="83"/>
        <v>1.954766153238976</v>
      </c>
      <c r="AF14" s="37">
        <f t="shared" ca="1" si="84"/>
        <v>0.5024497355814681</v>
      </c>
      <c r="AG14" s="37">
        <f t="shared" ca="1" si="85"/>
        <v>3.1689097503006205</v>
      </c>
      <c r="AH14" s="37">
        <f t="shared" ca="1" si="86"/>
        <v>2.4873926154631505</v>
      </c>
      <c r="AI14" s="37">
        <f t="shared" ca="1" si="87"/>
        <v>1.2560832281808931</v>
      </c>
      <c r="AJ14" s="37">
        <f t="shared" ca="1" si="88"/>
        <v>1.069415833459072</v>
      </c>
      <c r="AK14" s="37">
        <f t="shared" ca="1" si="89"/>
        <v>3.6477683237960141</v>
      </c>
      <c r="AL14" s="37">
        <f t="shared" ca="1" si="90"/>
        <v>2.0385804696295819</v>
      </c>
      <c r="AM14" s="37">
        <f t="shared" ca="1" si="91"/>
        <v>2.1480843612368896</v>
      </c>
      <c r="AN14" s="37">
        <f t="shared" ca="1" si="92"/>
        <v>0.95251583345907209</v>
      </c>
      <c r="AO14" s="37">
        <f t="shared" ca="1" si="93"/>
        <v>0.77866203614498619</v>
      </c>
      <c r="AP14" s="37">
        <f t="shared" ca="1" si="94"/>
        <v>0.72999565888592466</v>
      </c>
      <c r="AQ14" s="37">
        <f t="shared" ca="1" si="95"/>
        <v>1.605990449549034</v>
      </c>
      <c r="AR14" s="37">
        <f t="shared" ca="1" si="96"/>
        <v>0.36499782944296233</v>
      </c>
      <c r="AS14" s="37">
        <f t="shared" ca="1" si="97"/>
        <v>6.0450811184752329</v>
      </c>
      <c r="AT14" s="37">
        <f t="shared" ca="1" si="98"/>
        <v>0.80647939131544533</v>
      </c>
      <c r="AU14" s="37">
        <f t="shared" ca="1" si="99"/>
        <v>1.8176804742725035</v>
      </c>
      <c r="AV14" s="37">
        <f t="shared" ca="1" si="100"/>
        <v>0.40323969565772266</v>
      </c>
      <c r="AW14" s="37">
        <f t="shared" ca="1" si="101"/>
        <v>0.51099696122014726</v>
      </c>
      <c r="AX14" s="37">
        <f t="shared" ca="1" si="102"/>
        <v>1.0814750502013699</v>
      </c>
      <c r="AY14" s="37">
        <f t="shared" ca="1" si="103"/>
        <v>0.25549848061007363</v>
      </c>
      <c r="AZ14" s="37">
        <f t="shared" ca="1" si="104"/>
        <v>6.4036876255034247</v>
      </c>
      <c r="BA14" s="37">
        <f t="shared" ca="1" si="105"/>
        <v>1.5695329692523667</v>
      </c>
      <c r="BB14" s="37">
        <f t="shared" ca="1" si="106"/>
        <v>3.4182318816523876</v>
      </c>
      <c r="BC14" s="37">
        <f t="shared" ca="1" si="107"/>
        <v>0.78476648462618337</v>
      </c>
      <c r="BD14" s="37">
        <f t="shared" ca="1" si="108"/>
        <v>0.7867730990214965</v>
      </c>
      <c r="BE14" s="37">
        <f t="shared" ca="1" si="109"/>
        <v>0.94088329367519163</v>
      </c>
      <c r="BF14" s="37">
        <f t="shared" ca="1" si="110"/>
        <v>5.641648798068517</v>
      </c>
      <c r="BG14" s="37">
        <f t="shared" ca="1" si="111"/>
        <v>5.5150782990725453</v>
      </c>
      <c r="BH14" s="37">
        <f t="shared" ca="1" si="112"/>
        <v>1.4950887177463255</v>
      </c>
      <c r="BI14" s="37">
        <f t="shared" ca="1" si="113"/>
        <v>1.3112884983691608</v>
      </c>
      <c r="BJ14" s="37">
        <f t="shared" ca="1" si="114"/>
        <v>0.71377353313290415</v>
      </c>
      <c r="BK14" s="37">
        <f t="shared" ca="1" si="115"/>
        <v>2.4398049853168047</v>
      </c>
      <c r="BL14" s="37">
        <f t="shared" ca="1" si="116"/>
        <v>5.4220229846899937</v>
      </c>
      <c r="BM14" s="37">
        <f t="shared" ca="1" si="117"/>
        <v>0.32259175652617811</v>
      </c>
      <c r="BN14" s="37">
        <f t="shared" ca="1" si="118"/>
        <v>0.48666377259061638</v>
      </c>
      <c r="BO14" s="37">
        <f t="shared" ca="1" si="119"/>
        <v>0.18385075853423288</v>
      </c>
      <c r="BP14" s="37">
        <f t="shared" ca="1" si="120"/>
        <v>1.9531247257785445</v>
      </c>
      <c r="BQ14" s="37">
        <f t="shared" ca="1" si="121"/>
        <v>7.977942286397405</v>
      </c>
      <c r="BR14" s="37">
        <f t="shared" ca="1" si="122"/>
        <v>0.83749782944296247</v>
      </c>
      <c r="BS14" s="37">
        <f t="shared" ca="1" si="123"/>
        <v>0.76784728564297255</v>
      </c>
      <c r="BT14" s="37">
        <f t="shared" ca="1" si="124"/>
        <v>0.65969978062283563</v>
      </c>
      <c r="BU14" s="37">
        <f t="shared" ca="1" si="125"/>
        <v>4.0407268916926613</v>
      </c>
      <c r="BV14" s="37">
        <f t="shared" ca="1" si="126"/>
        <v>5.5523004248255656</v>
      </c>
      <c r="BW14" s="37">
        <f t="shared" ca="1" si="127"/>
        <v>0.91814576857450692</v>
      </c>
      <c r="BX14" s="37">
        <f t="shared" ca="1" si="128"/>
        <v>2.5998971759543905</v>
      </c>
      <c r="BY14" s="37">
        <f t="shared" ca="1" si="129"/>
        <v>3.2321212528872847</v>
      </c>
      <c r="BZ14" s="37">
        <f t="shared" ca="1" si="130"/>
        <v>6.9853522663168572</v>
      </c>
      <c r="CA14" s="37">
        <f t="shared" ca="1" si="131"/>
        <v>3.2321212528872847</v>
      </c>
      <c r="CB14" s="37">
        <f t="shared" ca="1" si="132"/>
        <v>3.8648973906886339</v>
      </c>
      <c r="CC14" s="37">
        <f t="shared" ca="1" si="133"/>
        <v>8.4928483593141895</v>
      </c>
      <c r="CD14" s="37">
        <f t="shared" ca="1" si="134"/>
        <v>3.8648973906886339</v>
      </c>
      <c r="CE14" s="37">
        <f t="shared" ca="1" si="135"/>
        <v>1.6009219063758562</v>
      </c>
    </row>
    <row r="15" spans="1:83" x14ac:dyDescent="0.25">
      <c r="A15" t="str">
        <f>PLANTILLA!D18</f>
        <v>J. G. Peñuela</v>
      </c>
      <c r="B15">
        <f>PLANTILLA!E18</f>
        <v>17</v>
      </c>
      <c r="C15" s="33">
        <f ca="1">PLANTILLA!F18</f>
        <v>93</v>
      </c>
      <c r="D15" s="220" t="str">
        <f>PLANTILLA!G18</f>
        <v>IMP</v>
      </c>
      <c r="E15" s="30">
        <f>PLANTILLA!M18</f>
        <v>43054</v>
      </c>
      <c r="F15" s="47">
        <f>PLANTILLA!Q18</f>
        <v>6</v>
      </c>
      <c r="G15" s="48">
        <f t="shared" si="1"/>
        <v>0.92582009977255142</v>
      </c>
      <c r="H15" s="48">
        <f t="shared" si="2"/>
        <v>0.99928545900129484</v>
      </c>
      <c r="I15" s="51">
        <f t="shared" ca="1" si="3"/>
        <v>0.48489075843848339</v>
      </c>
      <c r="J15" s="39">
        <f>PLANTILLA!I18</f>
        <v>1.2</v>
      </c>
      <c r="K15" s="46">
        <f>PLANTILLA!X18</f>
        <v>0</v>
      </c>
      <c r="L15" s="46">
        <f>PLANTILLA!Y18</f>
        <v>3</v>
      </c>
      <c r="M15" s="46">
        <f>PLANTILLA!Z18</f>
        <v>5</v>
      </c>
      <c r="N15" s="46">
        <f>PLANTILLA!AA18</f>
        <v>4</v>
      </c>
      <c r="O15" s="46">
        <f>PLANTILLA!AB18</f>
        <v>4.25</v>
      </c>
      <c r="P15" s="46">
        <f>PLANTILLA!AC18</f>
        <v>6.0016666666666669</v>
      </c>
      <c r="Q15" s="46">
        <f>PLANTILLA!AD18</f>
        <v>3</v>
      </c>
      <c r="R15" s="46">
        <f t="shared" si="70"/>
        <v>1.8125</v>
      </c>
      <c r="S15" s="46">
        <f t="shared" si="71"/>
        <v>0.39008333333333334</v>
      </c>
      <c r="T15" s="46">
        <f t="shared" si="72"/>
        <v>0.21000000000000002</v>
      </c>
      <c r="U15" s="46">
        <f t="shared" ca="1" si="73"/>
        <v>3.3241253618285285</v>
      </c>
      <c r="V15" s="46">
        <f t="shared" ca="1" si="74"/>
        <v>3.5879002181835644</v>
      </c>
      <c r="W15" s="37">
        <f t="shared" ca="1" si="75"/>
        <v>1.3434766025162315</v>
      </c>
      <c r="X15" s="37">
        <f t="shared" ca="1" si="76"/>
        <v>2.037291287340727</v>
      </c>
      <c r="Y15" s="37">
        <f t="shared" ca="1" si="77"/>
        <v>1.3434766025162315</v>
      </c>
      <c r="Z15" s="37">
        <f t="shared" ca="1" si="78"/>
        <v>1.8304438002163499</v>
      </c>
      <c r="AA15" s="37">
        <f t="shared" ca="1" si="79"/>
        <v>3.5904657531686501</v>
      </c>
      <c r="AB15" s="37">
        <f t="shared" ca="1" si="80"/>
        <v>0.91522190010817495</v>
      </c>
      <c r="AC15" s="37">
        <f t="shared" ca="1" si="81"/>
        <v>1.7449388048750469</v>
      </c>
      <c r="AD15" s="37">
        <f t="shared" ca="1" si="82"/>
        <v>1.3409065048096516</v>
      </c>
      <c r="AE15" s="37">
        <f t="shared" ca="1" si="83"/>
        <v>2.5959067395409341</v>
      </c>
      <c r="AF15" s="37">
        <f t="shared" ca="1" si="84"/>
        <v>0.67045325240482578</v>
      </c>
      <c r="AG15" s="37">
        <f t="shared" ca="1" si="85"/>
        <v>2.8226951255331643</v>
      </c>
      <c r="AH15" s="37">
        <f t="shared" ca="1" si="86"/>
        <v>3.3032284929151583</v>
      </c>
      <c r="AI15" s="37">
        <f t="shared" ca="1" si="87"/>
        <v>1.616770117612554</v>
      </c>
      <c r="AJ15" s="37">
        <f t="shared" ca="1" si="88"/>
        <v>0.93360778077916462</v>
      </c>
      <c r="AK15" s="37">
        <f t="shared" ca="1" si="89"/>
        <v>2.699193862863166</v>
      </c>
      <c r="AL15" s="37">
        <f t="shared" ca="1" si="90"/>
        <v>2.7072111778891621</v>
      </c>
      <c r="AM15" s="37">
        <f t="shared" ca="1" si="91"/>
        <v>2.7649112156272664</v>
      </c>
      <c r="AN15" s="37">
        <f t="shared" ca="1" si="92"/>
        <v>0.59960778077916466</v>
      </c>
      <c r="AO15" s="37">
        <f t="shared" ca="1" si="93"/>
        <v>0.69205413691257123</v>
      </c>
      <c r="AP15" s="37">
        <f t="shared" ca="1" si="94"/>
        <v>0.9694257533555356</v>
      </c>
      <c r="AQ15" s="37">
        <f t="shared" ca="1" si="95"/>
        <v>2.132736657382178</v>
      </c>
      <c r="AR15" s="37">
        <f t="shared" ca="1" si="96"/>
        <v>0.4847128766777678</v>
      </c>
      <c r="AS15" s="37">
        <f t="shared" ca="1" si="97"/>
        <v>5.2773996709912057</v>
      </c>
      <c r="AT15" s="37">
        <f t="shared" ca="1" si="98"/>
        <v>0.62926054791192454</v>
      </c>
      <c r="AU15" s="37">
        <f t="shared" ca="1" si="99"/>
        <v>1.7212947990117478</v>
      </c>
      <c r="AV15" s="37">
        <f t="shared" ca="1" si="100"/>
        <v>0.31463027395596227</v>
      </c>
      <c r="AW15" s="37">
        <f t="shared" ca="1" si="101"/>
        <v>0.67859802734887487</v>
      </c>
      <c r="AX15" s="37">
        <f t="shared" ca="1" si="102"/>
        <v>1.4361863012674601</v>
      </c>
      <c r="AY15" s="37">
        <f t="shared" ca="1" si="103"/>
        <v>0.33929901367443743</v>
      </c>
      <c r="AZ15" s="37">
        <f t="shared" ca="1" si="104"/>
        <v>5.5904657531686501</v>
      </c>
      <c r="BA15" s="37">
        <f t="shared" ca="1" si="105"/>
        <v>1.2246378355516685</v>
      </c>
      <c r="BB15" s="37">
        <f t="shared" ca="1" si="106"/>
        <v>3.0349466299959262</v>
      </c>
      <c r="BC15" s="37">
        <f t="shared" ca="1" si="107"/>
        <v>0.61231891777583425</v>
      </c>
      <c r="BD15" s="37">
        <f t="shared" ca="1" si="108"/>
        <v>1.0448255341720771</v>
      </c>
      <c r="BE15" s="37">
        <f t="shared" ca="1" si="109"/>
        <v>1.2494820821026902</v>
      </c>
      <c r="BF15" s="37">
        <f t="shared" ca="1" si="110"/>
        <v>4.9252003285415809</v>
      </c>
      <c r="BG15" s="37">
        <f t="shared" ca="1" si="111"/>
        <v>4.1596740545669295</v>
      </c>
      <c r="BH15" s="37">
        <f t="shared" ca="1" si="112"/>
        <v>1.1665522465136446</v>
      </c>
      <c r="BI15" s="37">
        <f t="shared" ca="1" si="113"/>
        <v>1.7413758902867953</v>
      </c>
      <c r="BJ15" s="37">
        <f t="shared" ca="1" si="114"/>
        <v>0.94788295883652363</v>
      </c>
      <c r="BK15" s="37">
        <f t="shared" ca="1" si="115"/>
        <v>2.1299674519572558</v>
      </c>
      <c r="BL15" s="37">
        <f t="shared" ca="1" si="116"/>
        <v>4.062317068269401</v>
      </c>
      <c r="BM15" s="37">
        <f t="shared" ca="1" si="117"/>
        <v>0.25170421916476982</v>
      </c>
      <c r="BN15" s="37">
        <f t="shared" ca="1" si="118"/>
        <v>0.64628383557035696</v>
      </c>
      <c r="BO15" s="37">
        <f t="shared" ca="1" si="119"/>
        <v>0.24415167121546821</v>
      </c>
      <c r="BP15" s="37">
        <f t="shared" ca="1" si="120"/>
        <v>1.7050920547164383</v>
      </c>
      <c r="BQ15" s="37">
        <f t="shared" ca="1" si="121"/>
        <v>5.9748389585748836</v>
      </c>
      <c r="BR15" s="37">
        <f t="shared" ca="1" si="122"/>
        <v>0.65346287667776781</v>
      </c>
      <c r="BS15" s="37">
        <f t="shared" ca="1" si="123"/>
        <v>1.0196922738998966</v>
      </c>
      <c r="BT15" s="37">
        <f t="shared" ca="1" si="124"/>
        <v>0.87607364377315067</v>
      </c>
      <c r="BU15" s="37">
        <f t="shared" ca="1" si="125"/>
        <v>3.5275838902494181</v>
      </c>
      <c r="BV15" s="37">
        <f t="shared" ca="1" si="126"/>
        <v>4.1567168490859423</v>
      </c>
      <c r="BW15" s="37">
        <f t="shared" ca="1" si="127"/>
        <v>0.71638893146896021</v>
      </c>
      <c r="BX15" s="37">
        <f t="shared" ca="1" si="128"/>
        <v>2.269729095786472</v>
      </c>
      <c r="BY15" s="37">
        <f t="shared" ca="1" si="129"/>
        <v>2.7083443240675331</v>
      </c>
      <c r="BZ15" s="37">
        <f t="shared" ca="1" si="130"/>
        <v>6.4715861047345662</v>
      </c>
      <c r="CA15" s="37">
        <f t="shared" ca="1" si="131"/>
        <v>2.7083443240675331</v>
      </c>
      <c r="CB15" s="37">
        <f t="shared" ca="1" si="132"/>
        <v>3.6645301642240691</v>
      </c>
      <c r="CC15" s="37">
        <f t="shared" ca="1" si="133"/>
        <v>8.3782642827545484</v>
      </c>
      <c r="CD15" s="37">
        <f t="shared" ca="1" si="134"/>
        <v>3.6645301642240691</v>
      </c>
      <c r="CE15" s="37">
        <f t="shared" ca="1" si="135"/>
        <v>1.3976164382921625</v>
      </c>
    </row>
    <row r="16" spans="1:83" x14ac:dyDescent="0.25">
      <c r="A16" t="str">
        <f>PLANTILLA!D19</f>
        <v>Paulo Beltrán</v>
      </c>
      <c r="B16">
        <f>PLANTILLA!E19</f>
        <v>17</v>
      </c>
      <c r="C16" s="33">
        <f ca="1">PLANTILLA!F19</f>
        <v>101</v>
      </c>
      <c r="D16" s="220" t="str">
        <f>PLANTILLA!G19</f>
        <v>RAP</v>
      </c>
      <c r="E16" s="30">
        <f>PLANTILLA!M19</f>
        <v>43046</v>
      </c>
      <c r="F16" s="47">
        <f>PLANTILLA!Q19</f>
        <v>7</v>
      </c>
      <c r="G16" s="48">
        <f t="shared" si="1"/>
        <v>1</v>
      </c>
      <c r="H16" s="48">
        <f t="shared" si="2"/>
        <v>1</v>
      </c>
      <c r="I16" s="51">
        <f t="shared" ca="1" si="3"/>
        <v>0.50885024459910744</v>
      </c>
      <c r="J16" s="39">
        <f>PLANTILLA!I19</f>
        <v>1.1000000000000001</v>
      </c>
      <c r="K16" s="46">
        <f>PLANTILLA!X19</f>
        <v>0</v>
      </c>
      <c r="L16" s="46">
        <f>PLANTILLA!Y19</f>
        <v>4</v>
      </c>
      <c r="M16" s="46">
        <f>PLANTILLA!Z19</f>
        <v>2</v>
      </c>
      <c r="N16" s="46">
        <f>PLANTILLA!AA19</f>
        <v>5</v>
      </c>
      <c r="O16" s="46">
        <f>PLANTILLA!AB19</f>
        <v>4</v>
      </c>
      <c r="P16" s="46">
        <f>PLANTILLA!AC19</f>
        <v>4.3607843137254889</v>
      </c>
      <c r="Q16" s="46">
        <f>PLANTILLA!AD19</f>
        <v>4</v>
      </c>
      <c r="R16" s="46">
        <f t="shared" si="70"/>
        <v>1.875</v>
      </c>
      <c r="S16" s="46">
        <f t="shared" si="71"/>
        <v>0.33803921568627449</v>
      </c>
      <c r="T16" s="46">
        <f t="shared" si="72"/>
        <v>0.27999999999999997</v>
      </c>
      <c r="U16" s="46">
        <f t="shared" ca="1" si="73"/>
        <v>4.5640404914767414</v>
      </c>
      <c r="V16" s="46">
        <f t="shared" ca="1" si="74"/>
        <v>4.5640404914767414</v>
      </c>
      <c r="W16" s="37">
        <f t="shared" ca="1" si="75"/>
        <v>1.596407349059195</v>
      </c>
      <c r="X16" s="37">
        <f t="shared" ca="1" si="76"/>
        <v>2.4281762744964728</v>
      </c>
      <c r="Y16" s="37">
        <f t="shared" ca="1" si="77"/>
        <v>1.596407349059195</v>
      </c>
      <c r="Z16" s="37">
        <f t="shared" ca="1" si="78"/>
        <v>2.3317096109059219</v>
      </c>
      <c r="AA16" s="37">
        <f t="shared" ca="1" si="79"/>
        <v>4.5640404914767414</v>
      </c>
      <c r="AB16" s="37">
        <f t="shared" ca="1" si="80"/>
        <v>1.1658548054529609</v>
      </c>
      <c r="AC16" s="37">
        <f t="shared" ca="1" si="81"/>
        <v>1.0451263731965783</v>
      </c>
      <c r="AD16" s="37">
        <f t="shared" ca="1" si="82"/>
        <v>1.7081128545008497</v>
      </c>
      <c r="AE16" s="37">
        <f t="shared" ca="1" si="83"/>
        <v>3.2998012753376837</v>
      </c>
      <c r="AF16" s="37">
        <f t="shared" ca="1" si="84"/>
        <v>0.85405642725042485</v>
      </c>
      <c r="AG16" s="37">
        <f t="shared" ca="1" si="85"/>
        <v>1.6906456037003472</v>
      </c>
      <c r="AH16" s="37">
        <f t="shared" ca="1" si="86"/>
        <v>4.1989172521586022</v>
      </c>
      <c r="AI16" s="37">
        <f t="shared" ca="1" si="87"/>
        <v>2.0262693146938457</v>
      </c>
      <c r="AJ16" s="37">
        <f t="shared" ca="1" si="88"/>
        <v>0.42819476207661578</v>
      </c>
      <c r="AK16" s="37">
        <f t="shared" ca="1" si="89"/>
        <v>3.2716558089883239</v>
      </c>
      <c r="AL16" s="37">
        <f t="shared" ca="1" si="90"/>
        <v>3.4412865305734632</v>
      </c>
      <c r="AM16" s="37">
        <f t="shared" ca="1" si="91"/>
        <v>3.4652141903459972</v>
      </c>
      <c r="AN16" s="37">
        <f t="shared" ca="1" si="92"/>
        <v>0.76219476207661585</v>
      </c>
      <c r="AO16" s="37">
        <f t="shared" ca="1" si="93"/>
        <v>0.70244366154530136</v>
      </c>
      <c r="AP16" s="37">
        <f t="shared" ca="1" si="94"/>
        <v>1.2322909326987204</v>
      </c>
      <c r="AQ16" s="37">
        <f t="shared" ca="1" si="95"/>
        <v>2.7110400519371844</v>
      </c>
      <c r="AR16" s="37">
        <f t="shared" ca="1" si="96"/>
        <v>0.61614546634936018</v>
      </c>
      <c r="AS16" s="37">
        <f t="shared" ca="1" si="97"/>
        <v>2.4204542239540432</v>
      </c>
      <c r="AT16" s="37">
        <f t="shared" ca="1" si="98"/>
        <v>0.59332526389197637</v>
      </c>
      <c r="AU16" s="37">
        <f t="shared" ca="1" si="99"/>
        <v>1.3996795502771948</v>
      </c>
      <c r="AV16" s="37">
        <f t="shared" ca="1" si="100"/>
        <v>0.29666263194598819</v>
      </c>
      <c r="AW16" s="37">
        <f t="shared" ca="1" si="101"/>
        <v>0.86260365288910412</v>
      </c>
      <c r="AX16" s="37">
        <f t="shared" ca="1" si="102"/>
        <v>1.8256161965906967</v>
      </c>
      <c r="AY16" s="37">
        <f t="shared" ca="1" si="103"/>
        <v>0.43130182644455206</v>
      </c>
      <c r="AZ16" s="37">
        <f t="shared" ca="1" si="104"/>
        <v>2.564040491476741</v>
      </c>
      <c r="BA16" s="37">
        <f t="shared" ca="1" si="105"/>
        <v>1.1547022443436157</v>
      </c>
      <c r="BB16" s="37">
        <f t="shared" ca="1" si="106"/>
        <v>2.590551016686037</v>
      </c>
      <c r="BC16" s="37">
        <f t="shared" ca="1" si="107"/>
        <v>0.57735112217180784</v>
      </c>
      <c r="BD16" s="37">
        <f t="shared" ca="1" si="108"/>
        <v>1.3281357830197316</v>
      </c>
      <c r="BE16" s="37">
        <f t="shared" ca="1" si="109"/>
        <v>1.5882860910339058</v>
      </c>
      <c r="BF16" s="37">
        <f t="shared" ca="1" si="110"/>
        <v>2.2589196729910088</v>
      </c>
      <c r="BG16" s="37">
        <f t="shared" ca="1" si="111"/>
        <v>4.6314319969228226</v>
      </c>
      <c r="BH16" s="37">
        <f t="shared" ca="1" si="112"/>
        <v>1.0999337584458946</v>
      </c>
      <c r="BI16" s="37">
        <f t="shared" ca="1" si="113"/>
        <v>2.2135596383662195</v>
      </c>
      <c r="BJ16" s="37">
        <f t="shared" ca="1" si="114"/>
        <v>1.2049066897498597</v>
      </c>
      <c r="BK16" s="37">
        <f t="shared" ca="1" si="115"/>
        <v>0.97689942725263834</v>
      </c>
      <c r="BL16" s="37">
        <f t="shared" ca="1" si="116"/>
        <v>4.661971389550672</v>
      </c>
      <c r="BM16" s="37">
        <f t="shared" ca="1" si="117"/>
        <v>0.23733010555679054</v>
      </c>
      <c r="BN16" s="37">
        <f t="shared" ca="1" si="118"/>
        <v>0.82152728846581347</v>
      </c>
      <c r="BO16" s="37">
        <f t="shared" ca="1" si="119"/>
        <v>0.31035475342041846</v>
      </c>
      <c r="BP16" s="37">
        <f t="shared" ca="1" si="120"/>
        <v>0.78203234990040593</v>
      </c>
      <c r="BQ16" s="37">
        <f t="shared" ca="1" si="121"/>
        <v>6.8693560720390892</v>
      </c>
      <c r="BR16" s="37">
        <f t="shared" ca="1" si="122"/>
        <v>0.61614546634936018</v>
      </c>
      <c r="BS16" s="37">
        <f t="shared" ca="1" si="123"/>
        <v>1.2961874995793945</v>
      </c>
      <c r="BT16" s="37">
        <f t="shared" ca="1" si="124"/>
        <v>1.1136258799203249</v>
      </c>
      <c r="BU16" s="37">
        <f t="shared" ca="1" si="125"/>
        <v>1.6179095501218235</v>
      </c>
      <c r="BV16" s="37">
        <f t="shared" ca="1" si="126"/>
        <v>4.7868162398716834</v>
      </c>
      <c r="BW16" s="37">
        <f t="shared" ca="1" si="127"/>
        <v>0.67547799273855769</v>
      </c>
      <c r="BX16" s="37">
        <f t="shared" ca="1" si="128"/>
        <v>1.0410004395395569</v>
      </c>
      <c r="BY16" s="37">
        <f t="shared" ca="1" si="129"/>
        <v>2.5676847039025192</v>
      </c>
      <c r="BZ16" s="37">
        <f t="shared" ca="1" si="130"/>
        <v>5.3494468483047708</v>
      </c>
      <c r="CA16" s="37">
        <f t="shared" ca="1" si="131"/>
        <v>2.5676847039025192</v>
      </c>
      <c r="CB16" s="37">
        <f t="shared" ca="1" si="132"/>
        <v>3.209432520307657</v>
      </c>
      <c r="CC16" s="37">
        <f t="shared" ca="1" si="133"/>
        <v>6.6089557465571476</v>
      </c>
      <c r="CD16" s="37">
        <f t="shared" ca="1" si="134"/>
        <v>3.209432520307657</v>
      </c>
      <c r="CE16" s="37">
        <f t="shared" ca="1" si="135"/>
        <v>0.64101012286918524</v>
      </c>
    </row>
    <row r="17" spans="1:83" x14ac:dyDescent="0.25">
      <c r="A17" t="str">
        <f>PLANTILLA!D21</f>
        <v>Nicolás Eans</v>
      </c>
      <c r="B17">
        <f>PLANTILLA!E21</f>
        <v>18</v>
      </c>
      <c r="C17" s="33">
        <f ca="1">PLANTILLA!F21</f>
        <v>22</v>
      </c>
      <c r="D17" s="220" t="str">
        <f>PLANTILLA!G21</f>
        <v>TEC</v>
      </c>
      <c r="E17" s="30">
        <f>PLANTILLA!M21</f>
        <v>43046</v>
      </c>
      <c r="F17" s="47">
        <f>PLANTILLA!Q21</f>
        <v>5</v>
      </c>
      <c r="G17" s="48">
        <f t="shared" si="1"/>
        <v>0.84515425472851657</v>
      </c>
      <c r="H17" s="48">
        <f t="shared" si="2"/>
        <v>0.92504826128926143</v>
      </c>
      <c r="I17" s="51">
        <f t="shared" ca="1" si="3"/>
        <v>0.50885024459910744</v>
      </c>
      <c r="J17" s="39">
        <f>PLANTILLA!I21</f>
        <v>0.5</v>
      </c>
      <c r="K17" s="46">
        <f>PLANTILLA!X21</f>
        <v>0</v>
      </c>
      <c r="L17" s="46">
        <f>PLANTILLA!Y21</f>
        <v>5</v>
      </c>
      <c r="M17" s="46">
        <f>PLANTILLA!Z21</f>
        <v>2</v>
      </c>
      <c r="N17" s="46">
        <f>PLANTILLA!AA21</f>
        <v>3</v>
      </c>
      <c r="O17" s="46">
        <f>PLANTILLA!AB21</f>
        <v>4.75</v>
      </c>
      <c r="P17" s="46">
        <f>PLANTILLA!AC21</f>
        <v>6.3043478260869579</v>
      </c>
      <c r="Q17" s="46">
        <f>PLANTILLA!AD21</f>
        <v>3</v>
      </c>
      <c r="R17" s="46">
        <f t="shared" si="70"/>
        <v>2.1875</v>
      </c>
      <c r="S17" s="46">
        <f t="shared" si="71"/>
        <v>0.40521739130434786</v>
      </c>
      <c r="T17" s="46">
        <f t="shared" si="72"/>
        <v>0.28999999999999998</v>
      </c>
      <c r="U17" s="46">
        <f t="shared" ca="1" si="73"/>
        <v>2.6262973379130377</v>
      </c>
      <c r="V17" s="46">
        <f t="shared" ca="1" si="74"/>
        <v>2.8745661191109644</v>
      </c>
      <c r="W17" s="37">
        <f t="shared" ca="1" si="75"/>
        <v>1.4738273485821467</v>
      </c>
      <c r="X17" s="37">
        <f t="shared" ca="1" si="76"/>
        <v>2.2637526999078479</v>
      </c>
      <c r="Y17" s="37">
        <f t="shared" ca="1" si="77"/>
        <v>1.4738273485821467</v>
      </c>
      <c r="Z17" s="37">
        <f t="shared" ca="1" si="78"/>
        <v>2.6121228065002438</v>
      </c>
      <c r="AA17" s="37">
        <f t="shared" ca="1" si="79"/>
        <v>5.1074769170471326</v>
      </c>
      <c r="AB17" s="37">
        <f t="shared" ca="1" si="80"/>
        <v>1.3060614032501219</v>
      </c>
      <c r="AC17" s="37">
        <f t="shared" ca="1" si="81"/>
        <v>0.93646424248233151</v>
      </c>
      <c r="AD17" s="37">
        <f t="shared" ca="1" si="82"/>
        <v>1.9135318233664576</v>
      </c>
      <c r="AE17" s="37">
        <f t="shared" ca="1" si="83"/>
        <v>3.6927058110250766</v>
      </c>
      <c r="AF17" s="37">
        <f t="shared" ca="1" si="84"/>
        <v>0.95676591168322878</v>
      </c>
      <c r="AG17" s="37">
        <f t="shared" ca="1" si="85"/>
        <v>1.5148686275449481</v>
      </c>
      <c r="AH17" s="37">
        <f t="shared" ca="1" si="86"/>
        <v>4.6988787636833624</v>
      </c>
      <c r="AI17" s="37">
        <f t="shared" ca="1" si="87"/>
        <v>2.2512519948799881</v>
      </c>
      <c r="AJ17" s="37">
        <f t="shared" ca="1" si="88"/>
        <v>0.35194864514687119</v>
      </c>
      <c r="AK17" s="37">
        <f t="shared" ca="1" si="89"/>
        <v>1.8271964272237138</v>
      </c>
      <c r="AL17" s="37">
        <f t="shared" ca="1" si="90"/>
        <v>3.8510375954535379</v>
      </c>
      <c r="AM17" s="37">
        <f t="shared" ca="1" si="91"/>
        <v>3.8499671796498345</v>
      </c>
      <c r="AN17" s="37">
        <f t="shared" ca="1" si="92"/>
        <v>0.51894864514687122</v>
      </c>
      <c r="AO17" s="37">
        <f t="shared" ca="1" si="93"/>
        <v>0.66095335210957418</v>
      </c>
      <c r="AP17" s="37">
        <f t="shared" ca="1" si="94"/>
        <v>1.3790187676027259</v>
      </c>
      <c r="AQ17" s="37">
        <f t="shared" ca="1" si="95"/>
        <v>3.0338412887259967</v>
      </c>
      <c r="AR17" s="37">
        <f t="shared" ca="1" si="96"/>
        <v>0.68950938380136295</v>
      </c>
      <c r="AS17" s="37">
        <f t="shared" ca="1" si="97"/>
        <v>1.9894582096924931</v>
      </c>
      <c r="AT17" s="37">
        <f t="shared" ca="1" si="98"/>
        <v>0.63147199921612729</v>
      </c>
      <c r="AU17" s="37">
        <f t="shared" ca="1" si="99"/>
        <v>1.6921429106078534</v>
      </c>
      <c r="AV17" s="37">
        <f t="shared" ca="1" si="100"/>
        <v>0.31573599960806364</v>
      </c>
      <c r="AW17" s="37">
        <f t="shared" ca="1" si="101"/>
        <v>0.96531313732190804</v>
      </c>
      <c r="AX17" s="37">
        <f t="shared" ca="1" si="102"/>
        <v>2.0429907668188529</v>
      </c>
      <c r="AY17" s="37">
        <f t="shared" ca="1" si="103"/>
        <v>0.48265656866095402</v>
      </c>
      <c r="AZ17" s="37">
        <f t="shared" ca="1" si="104"/>
        <v>2.1074769170471326</v>
      </c>
      <c r="BA17" s="37">
        <f t="shared" ca="1" si="105"/>
        <v>1.2289416600129246</v>
      </c>
      <c r="BB17" s="37">
        <f t="shared" ca="1" si="106"/>
        <v>3.0028828247712309</v>
      </c>
      <c r="BC17" s="37">
        <f t="shared" ca="1" si="107"/>
        <v>0.6144708300064623</v>
      </c>
      <c r="BD17" s="37">
        <f t="shared" ca="1" si="108"/>
        <v>1.4862757828607154</v>
      </c>
      <c r="BE17" s="37">
        <f t="shared" ca="1" si="109"/>
        <v>1.7774019671324019</v>
      </c>
      <c r="BF17" s="37">
        <f t="shared" ca="1" si="110"/>
        <v>1.8566871639185238</v>
      </c>
      <c r="BG17" s="37">
        <f t="shared" ca="1" si="111"/>
        <v>3.3137969792549007</v>
      </c>
      <c r="BH17" s="37">
        <f t="shared" ca="1" si="112"/>
        <v>1.170651937008359</v>
      </c>
      <c r="BI17" s="37">
        <f t="shared" ca="1" si="113"/>
        <v>2.4771263047678591</v>
      </c>
      <c r="BJ17" s="37">
        <f t="shared" ca="1" si="114"/>
        <v>1.3483739061004432</v>
      </c>
      <c r="BK17" s="37">
        <f t="shared" ca="1" si="115"/>
        <v>0.80294870539495755</v>
      </c>
      <c r="BL17" s="37">
        <f t="shared" ca="1" si="116"/>
        <v>3.0676848254991942</v>
      </c>
      <c r="BM17" s="37">
        <f t="shared" ca="1" si="117"/>
        <v>0.25258879968645087</v>
      </c>
      <c r="BN17" s="37">
        <f t="shared" ca="1" si="118"/>
        <v>0.91934584506848382</v>
      </c>
      <c r="BO17" s="37">
        <f t="shared" ca="1" si="119"/>
        <v>0.34730843035920506</v>
      </c>
      <c r="BP17" s="37">
        <f t="shared" ca="1" si="120"/>
        <v>0.64278045969937547</v>
      </c>
      <c r="BQ17" s="37">
        <f t="shared" ca="1" si="121"/>
        <v>4.4967153153226125</v>
      </c>
      <c r="BR17" s="37">
        <f t="shared" ca="1" si="122"/>
        <v>0.65575938380136289</v>
      </c>
      <c r="BS17" s="37">
        <f t="shared" ca="1" si="123"/>
        <v>1.4505234444413855</v>
      </c>
      <c r="BT17" s="37">
        <f t="shared" ca="1" si="124"/>
        <v>1.2462243677595004</v>
      </c>
      <c r="BU17" s="37">
        <f t="shared" ca="1" si="125"/>
        <v>1.3298179346567407</v>
      </c>
      <c r="BV17" s="37">
        <f t="shared" ca="1" si="126"/>
        <v>3.1189418407571834</v>
      </c>
      <c r="BW17" s="37">
        <f t="shared" ca="1" si="127"/>
        <v>0.71890658372297556</v>
      </c>
      <c r="BX17" s="37">
        <f t="shared" ca="1" si="128"/>
        <v>0.85563562832113593</v>
      </c>
      <c r="BY17" s="37">
        <f t="shared" ca="1" si="129"/>
        <v>2.8542458010583704</v>
      </c>
      <c r="BZ17" s="37">
        <f t="shared" ca="1" si="130"/>
        <v>6.3757037912037671</v>
      </c>
      <c r="CA17" s="37">
        <f t="shared" ca="1" si="131"/>
        <v>2.8542458010583704</v>
      </c>
      <c r="CB17" s="37">
        <f t="shared" ca="1" si="132"/>
        <v>3.2643059454073202</v>
      </c>
      <c r="CC17" s="37">
        <f t="shared" ca="1" si="133"/>
        <v>8.2042337255244817</v>
      </c>
      <c r="CD17" s="37">
        <f t="shared" ca="1" si="134"/>
        <v>3.2643059454073202</v>
      </c>
      <c r="CE17" s="37">
        <f t="shared" ca="1" si="135"/>
        <v>0.52686922926178315</v>
      </c>
    </row>
    <row r="18" spans="1:83" x14ac:dyDescent="0.25">
      <c r="A18" t="str">
        <f>PLANTILLA!D22</f>
        <v>Noel Fuster</v>
      </c>
      <c r="B18">
        <f>PLANTILLA!E22</f>
        <v>17</v>
      </c>
      <c r="C18" s="33">
        <f ca="1">PLANTILLA!F22</f>
        <v>90</v>
      </c>
      <c r="D18" s="220" t="str">
        <f>PLANTILLA!G22</f>
        <v>IMP</v>
      </c>
      <c r="E18" s="30">
        <f>PLANTILLA!M22</f>
        <v>43046</v>
      </c>
      <c r="F18" s="47">
        <f>PLANTILLA!Q22</f>
        <v>6</v>
      </c>
      <c r="G18" s="48">
        <f t="shared" si="1"/>
        <v>0.92582009977255142</v>
      </c>
      <c r="H18" s="48">
        <f t="shared" si="2"/>
        <v>0.99928545900129484</v>
      </c>
      <c r="I18" s="51">
        <f t="shared" ca="1" si="3"/>
        <v>0.50885024459910744</v>
      </c>
      <c r="J18" s="39">
        <f>PLANTILLA!I22</f>
        <v>0.5</v>
      </c>
      <c r="K18" s="46">
        <f>PLANTILLA!X22</f>
        <v>0</v>
      </c>
      <c r="L18" s="46">
        <f>PLANTILLA!Y22</f>
        <v>4</v>
      </c>
      <c r="M18" s="46">
        <f>PLANTILLA!Z22</f>
        <v>2</v>
      </c>
      <c r="N18" s="46">
        <f>PLANTILLA!AA22</f>
        <v>2</v>
      </c>
      <c r="O18" s="46">
        <f>PLANTILLA!AB22</f>
        <v>3.0496666666666665</v>
      </c>
      <c r="P18" s="46">
        <f>PLANTILLA!AC22</f>
        <v>5.2527777777777773</v>
      </c>
      <c r="Q18" s="46">
        <f>PLANTILLA!AD22</f>
        <v>2.5</v>
      </c>
      <c r="R18" s="46">
        <f t="shared" ref="R18:R19" si="136">((2*(O18+1))+(L18+1))/8</f>
        <v>1.6374166666666667</v>
      </c>
      <c r="S18" s="46">
        <f t="shared" ref="S18:S19" si="137">(0.5*P18+ 0.3*Q18)/10</f>
        <v>0.33763888888888888</v>
      </c>
      <c r="T18" s="46">
        <f t="shared" ref="T18:T19" si="138">(0.4*L18+0.3*Q18)/10</f>
        <v>0.23500000000000001</v>
      </c>
      <c r="U18" s="46">
        <f t="shared" ref="U18:U19" ca="1" si="139">IF(TODAY()-E18&gt;335,(Q18+1+(LOG(J18)*4/3))*(F18/7)^0.5,(Q18+((TODAY()-E18)^0.5)/(336^0.5)+(LOG(J18)*4/3))*(F18/7)^0.5)</f>
        <v>2.4140545394952011</v>
      </c>
      <c r="V18" s="46">
        <f t="shared" ref="V18:V19" ca="1" si="140">IF(F18=7,U18,IF(TODAY()-E18&gt;335,(Q18+1+(LOG(J18)*4/3))*((F18+0.99)/7)^0.5,(Q18+((TODAY()-E18)^0.5)/(336^0.5)+(LOG(J18)*4/3))*((F18+0.99)/7)^0.5))</f>
        <v>2.6056137678867253</v>
      </c>
      <c r="W18" s="37">
        <f t="shared" ref="W18:W19" ca="1" si="141">IF(TODAY()-E18&gt;335,((K18+1+(LOG(J18)*4/3))*0.597)+((L18+1+(LOG(J18)*4/3))*0.276),((K18+(((TODAY()-E18)^0.5)/(336^0.5))+(LOG(J18)*4/3))*0.597)+((L18+(((TODAY()-E18)^0.5)/(336^0.5))+(LOG(J18)*4/3))*0.276))</f>
        <v>1.1978273485821467</v>
      </c>
      <c r="X18" s="37">
        <f t="shared" ref="X18:X19" ca="1" si="142">IF(TODAY()-E18&gt;335,((K18+1+(LOG(J18)*4/3))*0.866)+((L18+1+(LOG(J18)*4/3))*0.425),((K18+(((TODAY()-E18)^0.5)/(336^0.5))+(LOG(J18)*4/3))*0.866)+((L18+(((TODAY()-E18)^0.5)/(336^0.5))+(LOG(J18)*4/3))*0.425))</f>
        <v>1.8387526999078481</v>
      </c>
      <c r="Y18" s="37">
        <f t="shared" ref="Y18:Y19" ca="1" si="143">W18</f>
        <v>1.1978273485821467</v>
      </c>
      <c r="Z18" s="37">
        <f t="shared" ref="Z18:Z19" ca="1" si="144">IF(TODAY()-E18&gt;335,((L18+1+(LOG(J18)*4/3))*0.516),((L18+(((TODAY()-E18)^0.5)/(336^0.516))+(LOG(J18)*4/3))*0.516))</f>
        <v>2.0961228065002437</v>
      </c>
      <c r="AA18" s="37">
        <f t="shared" ref="AA18:AA19" ca="1" si="145">IF(TODAY()-E18&gt;335,((L18+1+(LOG(J18)*4/3))*1),((L18+(((TODAY()-E18)^0.5)/(336^0.5))+(LOG(J18)*4/3))*1))</f>
        <v>4.1074769170471326</v>
      </c>
      <c r="AB18" s="37">
        <f t="shared" ref="AB18:AB19" ca="1" si="146">Z18/2</f>
        <v>1.0480614032501219</v>
      </c>
      <c r="AC18" s="37">
        <f t="shared" ref="AC18:AC19" ca="1" si="147">IF(TODAY()-E18&gt;335,((M18+1+(LOG(J18)*4/3))*0.238),((M18+(((TODAY()-E18)^0.5)/(336^0.238))+(LOG(J18)*4/3))*0.238))</f>
        <v>0.93646424248233151</v>
      </c>
      <c r="AD18" s="37">
        <f t="shared" ref="AD18:AD19" ca="1" si="148">IF(TODAY()-E18&gt;335,((L18+1+(LOG(J18)*4/3))*0.378),((L18+(((TODAY()-E18)^0.5)/(336^0.516))+(LOG(J18)*4/3))*0.378))</f>
        <v>1.5355318233664574</v>
      </c>
      <c r="AE18" s="37">
        <f t="shared" ref="AE18:AE19" ca="1" si="149">IF(TODAY()-E18&gt;335,((L18+1+(LOG(J18)*4/3))*0.723),((L18+(((TODAY()-E18)^0.5)/(336^0.5))+(LOG(J18)*4/3))*0.723))</f>
        <v>2.9697058110250767</v>
      </c>
      <c r="AF18" s="37">
        <f t="shared" ref="AF18:AF19" ca="1" si="150">AD18/2</f>
        <v>0.76776591168322872</v>
      </c>
      <c r="AG18" s="37">
        <f t="shared" ref="AG18:AG19" ca="1" si="151">IF(TODAY()-E18&gt;335,((M18+1+(LOG(J18)*4/3))*0.385),((M18+(((TODAY()-E18)^0.5)/(336^0.238))+(LOG(J18)*4/3))*0.385))</f>
        <v>1.5148686275449481</v>
      </c>
      <c r="AH18" s="37">
        <f t="shared" ref="AH18:AH19" ca="1" si="152">IF(TODAY()-E18&gt;335,((L18+1+(LOG(J18)*4/3))*0.92),((L18+(((TODAY()-E18)^0.5)/(336^0.5))+(LOG(J18)*4/3))*0.92))</f>
        <v>3.7788787636833621</v>
      </c>
      <c r="AI18" s="37">
        <f t="shared" ref="AI18:AI19" ca="1" si="153">IF(TODAY()-E18&gt;335,((L18+1+(LOG(J18)*4/3))*0.414),((L18+(((TODAY()-E18)^0.5)/(336^0.414))+(LOG(J18)*4/3))*0.414))</f>
        <v>1.8372519948799879</v>
      </c>
      <c r="AJ18" s="37">
        <f t="shared" ref="AJ18:AJ19" ca="1" si="154">IF(TODAY()-E18&gt;335,((M18+1+(LOG(J18)*4/3))*0.167),((M18+(((TODAY()-E18)^0.5)/(336^0.5))+(LOG(J18)*4/3))*0.167))</f>
        <v>0.35194864514687119</v>
      </c>
      <c r="AK18" s="37">
        <f t="shared" ref="AK18:AK19" ca="1" si="155">IF(TODAY()-E18&gt;335,((N18+1+(LOG(J18)*4/3))*0.588),((N18+(((TODAY()-E18)^0.5)/(336^0.5))+(LOG(J18)*4/3))*0.588))</f>
        <v>1.2391964272237139</v>
      </c>
      <c r="AL18" s="37">
        <f t="shared" ref="AL18:AL19" ca="1" si="156">IF(TODAY()-E18&gt;335,((L18+1+(LOG(J18)*4/3))*0.754),((L18+(((TODAY()-E18)^0.5)/(336^0.5))+(LOG(J18)*4/3))*0.754))</f>
        <v>3.0970375954535379</v>
      </c>
      <c r="AM18" s="37">
        <f t="shared" ref="AM18:AM19" ca="1" si="157">IF(TODAY()-E18&gt;335,((L18+1+(LOG(J18)*4/3))*0.708),((L18+(((TODAY()-E18)^0.5)/(336^0.414))+(LOG(J18)*4/3))*0.708))</f>
        <v>3.1419671796498343</v>
      </c>
      <c r="AN18" s="37">
        <f t="shared" ref="AN18:AN19" ca="1" si="158">IF(TODAY()-E18&gt;335,((Q18+1+(LOG(J18)*4/3))*0.167),((Q18+(((TODAY()-E18)^0.5)/(336^0.5))+(LOG(J18)*4/3))*0.167))</f>
        <v>0.43544864514687115</v>
      </c>
      <c r="AO18" s="37">
        <f t="shared" ref="AO18:AO19" ca="1" si="159">IF(TODAY()-E18&gt;335,((R18+1+(LOG(J18)*4/3))*0.288),((R18+(((TODAY()-E18)^0.5)/(336^0.5))+(LOG(J18)*4/3))*0.288))</f>
        <v>0.50252935210957417</v>
      </c>
      <c r="AP18" s="37">
        <f t="shared" ref="AP18:AP19" ca="1" si="160">IF(TODAY()-E18&gt;335,((L18+1+(LOG(J18)*4/3))*0.27),((L18+(((TODAY()-E18)^0.5)/(336^0.5))+(LOG(J18)*4/3))*0.27))</f>
        <v>1.1090187676027259</v>
      </c>
      <c r="AQ18" s="37">
        <f t="shared" ref="AQ18:AQ19" ca="1" si="161">IF(TODAY()-E18&gt;335,((L18+1+(LOG(J18)*4/3))*0.594),((L18+(((TODAY()-E18)^0.5)/(336^0.5))+(LOG(J18)*4/3))*0.594))</f>
        <v>2.4398412887259968</v>
      </c>
      <c r="AR18" s="37">
        <f t="shared" ref="AR18:AR19" ca="1" si="162">AP18/2</f>
        <v>0.55450938380136294</v>
      </c>
      <c r="AS18" s="37">
        <f t="shared" ref="AS18:AS19" ca="1" si="163">IF(TODAY()-E18&gt;335,((M18+1+(LOG(J18)*4/3))*0.944),((M18+(((TODAY()-E18)^0.5)/(336^0.5))+(LOG(J18)*4/3))*0.944))</f>
        <v>1.9894582096924931</v>
      </c>
      <c r="AT18" s="37">
        <f t="shared" ref="AT18:AT19" ca="1" si="164">IF(TODAY()-E18&gt;335,((O18+1+(LOG(J18)*4/3))*0.13),((O18+(((TODAY()-E18)^0.5)/(336^0.5))+(LOG(J18)*4/3))*0.13))</f>
        <v>0.41042866588279392</v>
      </c>
      <c r="AU18" s="37">
        <f t="shared" ref="AU18:AU19" ca="1" si="165">IF(TODAY()-E18&gt;335,((P18+1+(LOG(J18)*4/3))*0.173)+((O18+1+(LOG(J18)*4/3))*0.12),((P18+(((TODAY()-E18)^0.5)/(336^0.5))+(LOG(J18)*4/3))*0.173)+((O18+(((TODAY()-E18)^0.5)/(336^0.5))+(LOG(J18)*4/3))*0.12))</f>
        <v>1.3061812922503651</v>
      </c>
      <c r="AV18" s="37">
        <f t="shared" ref="AV18:AV19" ca="1" si="166">AT18/2</f>
        <v>0.20521433294139696</v>
      </c>
      <c r="AW18" s="37">
        <f t="shared" ref="AW18:AW19" ca="1" si="167">IF(TODAY()-E18&gt;335,((L18+1+(LOG(J18)*4/3))*0.189),((L18+(((TODAY()-E18)^0.5)/(336^0.5))+(LOG(J18)*4/3))*0.189))</f>
        <v>0.7763131373219081</v>
      </c>
      <c r="AX18" s="37">
        <f t="shared" ref="AX18:AX19" ca="1" si="168">IF(TODAY()-E18&gt;335,((L18+1+(LOG(J18)*4/3))*0.4),((L18+(((TODAY()-E18)^0.5)/(336^0.5))+(LOG(J18)*4/3))*0.4))</f>
        <v>1.642990766818853</v>
      </c>
      <c r="AY18" s="37">
        <f t="shared" ref="AY18:AY19" ca="1" si="169">AW18/2</f>
        <v>0.38815656866095405</v>
      </c>
      <c r="AZ18" s="37">
        <f t="shared" ref="AZ18:AZ19" ca="1" si="170">IF(TODAY()-E18&gt;335,((M18+1+(LOG(J18)*4/3))*1),((M18+(((TODAY()-E18)^0.5)/(336^0.5))+(LOG(J18)*4/3))*1))</f>
        <v>2.1074769170471326</v>
      </c>
      <c r="BA18" s="37">
        <f t="shared" ref="BA18:BA19" ca="1" si="171">IF(TODAY()-E18&gt;335,((O18+1+(LOG(J18)*4/3))*0.253),((O18+(((TODAY()-E18)^0.5)/(336^0.5))+(LOG(J18)*4/3))*0.253))</f>
        <v>0.79875732667959121</v>
      </c>
      <c r="BB18" s="37">
        <f t="shared" ref="BB18:BB19" ca="1" si="172">IF(TODAY()-E18&gt;335,((P18+1+(LOG(J18)*4/3))*0.21)+((O18+1+(LOG(J18)*4/3))*0.341),((P18+(((TODAY()-E18)^0.5)/(336^0.5))+(LOG(J18)*4/3))*0.21)+((O18+(((TODAY()-E18)^0.5)/(336^0.5))+(LOG(J18)*4/3))*0.341))</f>
        <v>2.2022394479596361</v>
      </c>
      <c r="BC18" s="37">
        <f t="shared" ref="BC18:BC19" ca="1" si="173">BA18/2</f>
        <v>0.3993786633397956</v>
      </c>
      <c r="BD18" s="37">
        <f t="shared" ref="BD18:BD19" ca="1" si="174">IF(TODAY()-E18&gt;335,((L18+1+(LOG(J18)*4/3))*0.291),((L18+(((TODAY()-E18)^0.5)/(336^0.5))+(LOG(J18)*4/3))*0.291))</f>
        <v>1.1952757828607155</v>
      </c>
      <c r="BE18" s="37">
        <f t="shared" ref="BE18:BE19" ca="1" si="175">IF(TODAY()-E18&gt;335,((L18+1+(LOG(J18)*4/3))*0.348),((L18+(((TODAY()-E18)^0.5)/(336^0.5))+(LOG(J18)*4/3))*0.348))</f>
        <v>1.4294019671324021</v>
      </c>
      <c r="BF18" s="37">
        <f t="shared" ref="BF18:BF19" ca="1" si="176">IF(TODAY()-E18&gt;335,((M18+1+(LOG(J18)*4/3))*0.881),((M18+(((TODAY()-E18)^0.5)/(336^0.5))+(LOG(J18)*4/3))*0.881))</f>
        <v>1.8566871639185238</v>
      </c>
      <c r="BG18" s="37">
        <f t="shared" ref="BG18:BG19" ca="1" si="177">IF(TODAY()-E18&gt;335,((N18+1+(LOG(J18)*4/3))*0.574)+((O18+1+(LOG(J18)*4/3))*0.315),((N18+(((TODAY()-E18)^0.5)/(336^0.5))+(LOG(J18)*4/3))*0.574)+((O18+(((TODAY()-E18)^0.5)/(336^0.5))+(LOG(J18)*4/3))*0.315))</f>
        <v>2.2041919792549005</v>
      </c>
      <c r="BH18" s="37">
        <f t="shared" ref="BH18:BH19" ca="1" si="178">IF(TODAY()-E18&gt;335,((O18+1+(LOG(J18)*4/3))*0.241),((O18+(((TODAY()-E18)^0.5)/(336^0.5))+(LOG(J18)*4/3))*0.241))</f>
        <v>0.7608716036750256</v>
      </c>
      <c r="BI18" s="37">
        <f t="shared" ref="BI18:BI19" ca="1" si="179">IF(TODAY()-E18&gt;335,((L18+1+(LOG(J18)*4/3))*0.485),((L18+(((TODAY()-E18)^0.5)/(336^0.5))+(LOG(J18)*4/3))*0.485))</f>
        <v>1.9921263047678592</v>
      </c>
      <c r="BJ18" s="37">
        <f t="shared" ref="BJ18:BJ19" ca="1" si="180">IF(TODAY()-E18&gt;335,((L18+1+(LOG(J18)*4/3))*0.264),((L18+(((TODAY()-E18)^0.5)/(336^0.5))+(LOG(J18)*4/3))*0.264))</f>
        <v>1.0843739061004432</v>
      </c>
      <c r="BK18" s="37">
        <f t="shared" ref="BK18:BK19" ca="1" si="181">IF(TODAY()-E18&gt;335,((M18+1+(LOG(J18)*4/3))*0.381),((M18+(((TODAY()-E18)^0.5)/(336^0.5))+(LOG(J18)*4/3))*0.381))</f>
        <v>0.80294870539495755</v>
      </c>
      <c r="BL18" s="37">
        <f t="shared" ref="BL18:BL19" ca="1" si="182">IF(TODAY()-E18&gt;335,((N18+1+(LOG(J18)*4/3))*0.673)+((O18+1+(LOG(J18)*4/3))*0.201),((N18+(((TODAY()-E18)^0.5)/(336^0.5))+(LOG(J18)*4/3))*0.673)+((O18+(((TODAY()-E18)^0.5)/(336^0.5))+(LOG(J18)*4/3))*0.201))</f>
        <v>2.0529178254991942</v>
      </c>
      <c r="BM18" s="37">
        <f t="shared" ref="BM18:BM19" ca="1" si="183">IF(TODAY()-E18&gt;335,((O18+1+(LOG(J18)*4/3))*0.052),((O18+(((TODAY()-E18)^0.5)/(336^0.5))+(LOG(J18)*4/3))*0.052))</f>
        <v>0.16417146635311755</v>
      </c>
      <c r="BN18" s="37">
        <f t="shared" ref="BN18:BN19" ca="1" si="184">IF(TODAY()-E18&gt;335,((L18+1+(LOG(J18)*4/3))*0.18),((L18+(((TODAY()-E18)^0.5)/(336^0.5))+(LOG(J18)*4/3))*0.18))</f>
        <v>0.73934584506848389</v>
      </c>
      <c r="BO18" s="37">
        <f t="shared" ref="BO18:BO19" ca="1" si="185">IF(TODAY()-E18&gt;335,((L18+1+(LOG(J18)*4/3))*0.068),((L18+(((TODAY()-E18)^0.5)/(336^0.5))+(LOG(J18)*4/3))*0.068))</f>
        <v>0.27930843035920505</v>
      </c>
      <c r="BP18" s="37">
        <f t="shared" ref="BP18:BP19" ca="1" si="186">IF(TODAY()-E18&gt;335,((M18+1+(LOG(J18)*4/3))*0.305),((M18+(((TODAY()-E18)^0.5)/(336^0.5))+(LOG(J18)*4/3))*0.305))</f>
        <v>0.64278045969937547</v>
      </c>
      <c r="BQ18" s="37">
        <f t="shared" ref="BQ18:BQ19" ca="1" si="187">IF(TODAY()-E18&gt;335,((N18+1+(LOG(J18)*4/3))*1)+((O18+1+(LOG(J18)*4/3))*0.286),((N18+(((TODAY()-E18)^0.5)/(336^0.5))+(LOG(J18)*4/3))*1)+((O18+(((TODAY()-E18)^0.5)/(336^0.5))+(LOG(J18)*4/3))*0.286))</f>
        <v>3.010419981989279</v>
      </c>
      <c r="BR18" s="37">
        <f t="shared" ref="BR18:BR19" ca="1" si="188">IF(TODAY()-E18&gt;335,((O18+1+(LOG(J18)*4/3))*0.135),((O18+(((TODAY()-E18)^0.5)/(336^0.5))+(LOG(J18)*4/3))*0.135))</f>
        <v>0.42621438380136289</v>
      </c>
      <c r="BS18" s="37">
        <f t="shared" ref="BS18:BS19" ca="1" si="189">IF(TODAY()-E18&gt;335,((L18+1+(LOG(J18)*4/3))*0.284),((L18+(((TODAY()-E18)^0.5)/(336^0.5))+(LOG(J18)*4/3))*0.284))</f>
        <v>1.1665234444413854</v>
      </c>
      <c r="BT18" s="37">
        <f t="shared" ref="BT18:BT19" ca="1" si="190">IF(TODAY()-E18&gt;335,((L18+1+(LOG(J18)*4/3))*0.244),((L18+(((TODAY()-E18)^0.5)/(336^0.5))+(LOG(J18)*4/3))*0.244))</f>
        <v>1.0022243677595004</v>
      </c>
      <c r="BU18" s="37">
        <f t="shared" ref="BU18:BU19" ca="1" si="191">IF(TODAY()-E18&gt;335,((M18+1+(LOG(J18)*4/3))*0.631),((M18+(((TODAY()-E18)^0.5)/(336^0.5))+(LOG(J18)*4/3))*0.631))</f>
        <v>1.3298179346567407</v>
      </c>
      <c r="BV18" s="37">
        <f t="shared" ref="BV18:BV19" ca="1" si="192">IF(TODAY()-E18&gt;335,((N18+1+(LOG(J18)*4/3))*0.702)+((O18+1+(LOG(J18)*4/3))*0.193),((N18+(((TODAY()-E18)^0.5)/(336^0.5))+(LOG(J18)*4/3))*0.702)+((O18+(((TODAY()-E18)^0.5)/(336^0.5))+(LOG(J18)*4/3))*0.193))</f>
        <v>2.0887775074238504</v>
      </c>
      <c r="BW18" s="37">
        <f t="shared" ref="BW18:BW19" ca="1" si="193">IF(TODAY()-E18&gt;335,((O18+1+(LOG(J18)*4/3))*0.148),((O18+(((TODAY()-E18)^0.5)/(336^0.5))+(LOG(J18)*4/3))*0.148))</f>
        <v>0.46725725038964222</v>
      </c>
      <c r="BX18" s="37">
        <f t="shared" ref="BX18:BX19" ca="1" si="194">IF(TODAY()-E18&gt;335,((M18+1+(LOG(J18)*4/3))*0.406),((M18+(((TODAY()-E18)^0.5)/(336^0.5))+(LOG(J18)*4/3))*0.406))</f>
        <v>0.85563562832113593</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1.7735149182260002</v>
      </c>
      <c r="BZ18" s="37">
        <f t="shared" ref="BZ18:BZ19" ca="1" si="196">IF(D18="TEC",IF(TODAY()-E18&gt;335,((O18+1+(LOG(J18)*4/3))*0.543)+((P18+1+(LOG(J18)*4/3))*0.583),((O18+(((TODAY()-E18)^0.5)/(336^0.5))+(LOG(J18)*4/3))*0.543)+((P18+(((TODAY()-E18)^0.5)/(336^0.5))+(LOG(J18)*4/3))*0.583)),IF(TODAY()-E18&gt;335,((O18+1+(LOG(J18)*4/3))*0.543)+((P18+1+(LOG(J18)*4/3))*0.583),((O18+(((TODAY()-E18)^0.5)/(336^0.5))+(LOG(J18)*4/3))*0.543)+((P18+(((TODAY()-E18)^0.5)/(336^0.5))+(LOG(J18)*4/3))*0.583)))</f>
        <v>4.8393574530395149</v>
      </c>
      <c r="CA18" s="37">
        <f t="shared" ref="CA18:CA19" ca="1" si="197">BY18</f>
        <v>1.7735149182260002</v>
      </c>
      <c r="CB18" s="37">
        <f t="shared" ref="CB18:CB19" ca="1" si="198">IF(TODAY()-E18&gt;335,((P18+1+(LOG(J18)*4/3))*0.26)+((N18+1+(LOG(J18)*4/3))*0.221)+((O18+1+(LOG(J18)*4/3))*0.142),((P18+(((TODAY()-E18)^0.5)/(336^0.5))+(LOG(J18)*4/3))*0.26)+((N18+(((TODAY()-E18)^0.5)/(336^0.5))+(LOG(J18)*4/3))*0.221)+((P18+(((TODAY()-E18)^0.5)/(336^0.5))+(LOG(J18)*4/3))*0.142))</f>
        <v>2.6205747859870296</v>
      </c>
      <c r="CC18" s="37">
        <f t="shared" ref="CC18:CC19" ca="1" si="199">IF(TODAY()-E18&gt;335,((P18+1+(LOG(J18)*4/3))*1)+((O18+1+(LOG(J18)*4/3))*0.369),((P18+(((TODAY()-E18)^0.5)/(336^0.5))+(LOG(J18)*4/3))*1)+((O18+(((TODAY()-E18)^0.5)/(336^0.5))+(LOG(J18)*4/3))*0.369))</f>
        <v>6.5252406772153009</v>
      </c>
      <c r="CD18" s="37">
        <f t="shared" ref="CD18:CD19" ca="1" si="200">CB18</f>
        <v>2.6205747859870296</v>
      </c>
      <c r="CE18" s="37">
        <f t="shared" ref="CE18:CE19" ca="1" si="201">IF(TODAY()-E18&gt;335,((M18+1+(LOG(J18)*4/3))*0.25),((M18+(((TODAY()-E18)^0.5)/(336^0.5))+(LOG(J18)*4/3))*0.25))</f>
        <v>0.52686922926178315</v>
      </c>
    </row>
    <row r="19" spans="1:83" x14ac:dyDescent="0.25">
      <c r="A19" t="str">
        <f>PLANTILLA!D23</f>
        <v>Diego Rincon</v>
      </c>
      <c r="B19">
        <f>PLANTILLA!E23</f>
        <v>19</v>
      </c>
      <c r="C19" s="33">
        <f ca="1">PLANTILLA!F23</f>
        <v>17</v>
      </c>
      <c r="D19" s="220">
        <f>PLANTILLA!G23</f>
        <v>0</v>
      </c>
      <c r="E19" s="30">
        <f>PLANTILLA!M23</f>
        <v>43121</v>
      </c>
      <c r="F19" s="47">
        <f>PLANTILLA!Q23</f>
        <v>5</v>
      </c>
      <c r="G19" s="48">
        <f t="shared" si="1"/>
        <v>0.84515425472851657</v>
      </c>
      <c r="H19" s="48">
        <f t="shared" si="2"/>
        <v>0.92504826128926143</v>
      </c>
      <c r="I19" s="51">
        <f t="shared" ca="1" si="3"/>
        <v>0.1889822365046136</v>
      </c>
      <c r="J19" s="39">
        <f>PLANTILLA!I23</f>
        <v>2</v>
      </c>
      <c r="K19" s="46">
        <f>PLANTILLA!X23</f>
        <v>0</v>
      </c>
      <c r="L19" s="46">
        <f>PLANTILLA!Y23</f>
        <v>4</v>
      </c>
      <c r="M19" s="46">
        <f>PLANTILLA!Z23</f>
        <v>4</v>
      </c>
      <c r="N19" s="46">
        <f>PLANTILLA!AA23</f>
        <v>2</v>
      </c>
      <c r="O19" s="46">
        <f>PLANTILLA!AB23</f>
        <v>4</v>
      </c>
      <c r="P19" s="46">
        <f>PLANTILLA!AC23</f>
        <v>4</v>
      </c>
      <c r="Q19" s="46">
        <f>PLANTILLA!AD23</f>
        <v>2</v>
      </c>
      <c r="R19" s="46">
        <f t="shared" si="136"/>
        <v>1.875</v>
      </c>
      <c r="S19" s="46">
        <f t="shared" si="137"/>
        <v>0.26</v>
      </c>
      <c r="T19" s="46">
        <f t="shared" si="138"/>
        <v>0.22000000000000003</v>
      </c>
      <c r="U19" s="46">
        <f t="shared" ca="1" si="139"/>
        <v>2.189250026222112</v>
      </c>
      <c r="V19" s="46">
        <f t="shared" ca="1" si="140"/>
        <v>2.3962039106515109</v>
      </c>
      <c r="W19" s="37">
        <f t="shared" ca="1" si="141"/>
        <v>1.619380407421402</v>
      </c>
      <c r="X19" s="37">
        <f t="shared" ca="1" si="142"/>
        <v>2.4621490331970559</v>
      </c>
      <c r="Y19" s="37">
        <f t="shared" ca="1" si="143"/>
        <v>1.619380407421402</v>
      </c>
      <c r="Z19" s="37">
        <f t="shared" ca="1" si="144"/>
        <v>2.3599569646297898</v>
      </c>
      <c r="AA19" s="37">
        <f t="shared" ca="1" si="145"/>
        <v>4.5903555640565887</v>
      </c>
      <c r="AB19" s="37">
        <f t="shared" ca="1" si="146"/>
        <v>1.1799784823148949</v>
      </c>
      <c r="AC19" s="37">
        <f t="shared" ca="1" si="147"/>
        <v>1.2540167605681891</v>
      </c>
      <c r="AD19" s="37">
        <f t="shared" ca="1" si="148"/>
        <v>1.7288056833915901</v>
      </c>
      <c r="AE19" s="37">
        <f t="shared" ca="1" si="149"/>
        <v>3.3188270728129137</v>
      </c>
      <c r="AF19" s="37">
        <f t="shared" ca="1" si="150"/>
        <v>0.86440284169579507</v>
      </c>
      <c r="AG19" s="37">
        <f t="shared" ca="1" si="151"/>
        <v>2.0285565244485411</v>
      </c>
      <c r="AH19" s="37">
        <f t="shared" ca="1" si="152"/>
        <v>4.2231271189320614</v>
      </c>
      <c r="AI19" s="37">
        <f t="shared" ca="1" si="153"/>
        <v>1.9511973115737975</v>
      </c>
      <c r="AJ19" s="37">
        <f t="shared" ca="1" si="154"/>
        <v>0.7665893791974504</v>
      </c>
      <c r="AK19" s="37">
        <f t="shared" ca="1" si="155"/>
        <v>1.5231290716652739</v>
      </c>
      <c r="AL19" s="37">
        <f t="shared" ca="1" si="156"/>
        <v>3.4611280952986681</v>
      </c>
      <c r="AM19" s="37">
        <f t="shared" ca="1" si="157"/>
        <v>3.3368301850102622</v>
      </c>
      <c r="AN19" s="37">
        <f t="shared" ca="1" si="158"/>
        <v>0.43258937919745027</v>
      </c>
      <c r="AO19" s="37">
        <f t="shared" ca="1" si="159"/>
        <v>0.7100224024482974</v>
      </c>
      <c r="AP19" s="37">
        <f t="shared" ca="1" si="160"/>
        <v>1.239396002295279</v>
      </c>
      <c r="AQ19" s="37">
        <f t="shared" ca="1" si="161"/>
        <v>2.7266712050496138</v>
      </c>
      <c r="AR19" s="37">
        <f t="shared" ca="1" si="162"/>
        <v>0.61969800114763951</v>
      </c>
      <c r="AS19" s="37">
        <f t="shared" ca="1" si="163"/>
        <v>4.3332956524694195</v>
      </c>
      <c r="AT19" s="37">
        <f t="shared" ca="1" si="164"/>
        <v>0.59674622332735661</v>
      </c>
      <c r="AU19" s="37">
        <f t="shared" ca="1" si="165"/>
        <v>1.3449741802685804</v>
      </c>
      <c r="AV19" s="37">
        <f t="shared" ca="1" si="166"/>
        <v>0.2983731116636783</v>
      </c>
      <c r="AW19" s="37">
        <f t="shared" ca="1" si="167"/>
        <v>0.86757720160669527</v>
      </c>
      <c r="AX19" s="37">
        <f t="shared" ca="1" si="168"/>
        <v>1.8361422256226356</v>
      </c>
      <c r="AY19" s="37">
        <f t="shared" ca="1" si="169"/>
        <v>0.43378860080334763</v>
      </c>
      <c r="AZ19" s="37">
        <f t="shared" ca="1" si="170"/>
        <v>4.5903555640565887</v>
      </c>
      <c r="BA19" s="37">
        <f t="shared" ca="1" si="171"/>
        <v>1.1613599577063169</v>
      </c>
      <c r="BB19" s="37">
        <f t="shared" ca="1" si="172"/>
        <v>2.5292859157951804</v>
      </c>
      <c r="BC19" s="37">
        <f t="shared" ca="1" si="173"/>
        <v>0.58067997885315847</v>
      </c>
      <c r="BD19" s="37">
        <f t="shared" ca="1" si="174"/>
        <v>1.3357934691404671</v>
      </c>
      <c r="BE19" s="37">
        <f t="shared" ca="1" si="175"/>
        <v>1.5974437362916927</v>
      </c>
      <c r="BF19" s="37">
        <f t="shared" ca="1" si="176"/>
        <v>4.0441032519338549</v>
      </c>
      <c r="BG19" s="37">
        <f t="shared" ca="1" si="177"/>
        <v>2.9328260964463073</v>
      </c>
      <c r="BH19" s="37">
        <f t="shared" ca="1" si="178"/>
        <v>1.1062756909376379</v>
      </c>
      <c r="BI19" s="37">
        <f t="shared" ca="1" si="179"/>
        <v>2.2263224485674455</v>
      </c>
      <c r="BJ19" s="37">
        <f t="shared" ca="1" si="180"/>
        <v>1.2118538689109395</v>
      </c>
      <c r="BK19" s="37">
        <f t="shared" ca="1" si="181"/>
        <v>1.7489254699055603</v>
      </c>
      <c r="BL19" s="37">
        <f t="shared" ca="1" si="182"/>
        <v>2.6659707629854585</v>
      </c>
      <c r="BM19" s="37">
        <f t="shared" ca="1" si="183"/>
        <v>0.23869848933094259</v>
      </c>
      <c r="BN19" s="37">
        <f t="shared" ca="1" si="184"/>
        <v>0.82626400153018598</v>
      </c>
      <c r="BO19" s="37">
        <f t="shared" ca="1" si="185"/>
        <v>0.31214417835584807</v>
      </c>
      <c r="BP19" s="37">
        <f t="shared" ca="1" si="186"/>
        <v>1.4000584470372595</v>
      </c>
      <c r="BQ19" s="37">
        <f t="shared" ca="1" si="187"/>
        <v>3.9031972553767726</v>
      </c>
      <c r="BR19" s="37">
        <f t="shared" ca="1" si="188"/>
        <v>0.61969800114763951</v>
      </c>
      <c r="BS19" s="37">
        <f t="shared" ca="1" si="189"/>
        <v>1.3036609801920711</v>
      </c>
      <c r="BT19" s="37">
        <f t="shared" ca="1" si="190"/>
        <v>1.1200467576298077</v>
      </c>
      <c r="BU19" s="37">
        <f t="shared" ca="1" si="191"/>
        <v>2.8965143609197077</v>
      </c>
      <c r="BV19" s="37">
        <f t="shared" ca="1" si="192"/>
        <v>2.7043682298306466</v>
      </c>
      <c r="BW19" s="37">
        <f t="shared" ca="1" si="193"/>
        <v>0.67937262348037508</v>
      </c>
      <c r="BX19" s="37">
        <f t="shared" ca="1" si="194"/>
        <v>1.8636843590069752</v>
      </c>
      <c r="BY19" s="37">
        <f t="shared" ca="1" si="195"/>
        <v>2.1035752488734825</v>
      </c>
      <c r="BZ19" s="37">
        <f t="shared" ca="1" si="196"/>
        <v>5.1687403651277188</v>
      </c>
      <c r="CA19" s="37">
        <f t="shared" ca="1" si="197"/>
        <v>2.1035752488734825</v>
      </c>
      <c r="CB19" s="37">
        <f t="shared" ca="1" si="198"/>
        <v>2.417791516407255</v>
      </c>
      <c r="CC19" s="37">
        <f t="shared" ca="1" si="199"/>
        <v>6.2841967671934702</v>
      </c>
      <c r="CD19" s="37">
        <f t="shared" ca="1" si="200"/>
        <v>2.417791516407255</v>
      </c>
      <c r="CE19" s="37">
        <f t="shared" ca="1" si="201"/>
        <v>1.1475888910141472</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3" t="s">
        <v>203</v>
      </c>
      <c r="B1" s="233"/>
      <c r="C1" s="233"/>
      <c r="D1" s="233"/>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4" t="s">
        <v>204</v>
      </c>
      <c r="B2" s="235" t="s">
        <v>205</v>
      </c>
      <c r="C2" s="235" t="s">
        <v>206</v>
      </c>
      <c r="D2" s="235"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4"/>
      <c r="B3" s="235"/>
      <c r="C3" s="235"/>
      <c r="D3" s="235"/>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6"/>
      <c r="U1" s="236"/>
      <c r="V1" s="236"/>
      <c r="W1" s="139"/>
      <c r="X1" s="236" t="s">
        <v>169</v>
      </c>
      <c r="Y1" s="236"/>
      <c r="Z1" s="114">
        <f>T2+U2+V2+W2+X2+Y2+Z2</f>
        <v>41</v>
      </c>
      <c r="AA1" s="32">
        <f>Z1/16</f>
        <v>2.5625</v>
      </c>
      <c r="AC1" s="65"/>
      <c r="AD1" s="65"/>
      <c r="AE1" s="65"/>
      <c r="AF1" s="65"/>
      <c r="AG1" s="65"/>
      <c r="AH1" s="65"/>
      <c r="AI1" s="65"/>
      <c r="AJ1" s="65"/>
    </row>
    <row r="2" spans="1:36" x14ac:dyDescent="0.25">
      <c r="A2" s="140"/>
      <c r="B2" s="140"/>
      <c r="C2" s="141"/>
      <c r="D2" s="142">
        <f ca="1">TODAY()</f>
        <v>43133</v>
      </c>
      <c r="G2" s="65"/>
      <c r="H2" s="143"/>
      <c r="I2" s="143"/>
      <c r="J2" s="144"/>
      <c r="K2" s="144"/>
      <c r="L2" s="143"/>
      <c r="M2" s="145"/>
      <c r="N2" s="143"/>
      <c r="O2" s="143"/>
      <c r="P2" s="143"/>
      <c r="Q2" s="143"/>
      <c r="R2" s="143"/>
      <c r="S2" s="143"/>
      <c r="T2" s="148">
        <v>0</v>
      </c>
      <c r="U2" s="149">
        <v>0</v>
      </c>
      <c r="V2" s="149">
        <v>0</v>
      </c>
      <c r="W2" s="148">
        <v>29</v>
      </c>
      <c r="X2" s="150">
        <v>0</v>
      </c>
      <c r="Y2" s="150">
        <v>12</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10.642857142857142</v>
      </c>
      <c r="D4" s="28" t="str">
        <f>PLANTILLA!D4</f>
        <v>Alberto Ercilla</v>
      </c>
      <c r="E4" s="16">
        <f>PLANTILLA!E4</f>
        <v>22</v>
      </c>
      <c r="F4" s="17">
        <f ca="1">PLANTILLA!F4</f>
        <v>40</v>
      </c>
      <c r="G4" s="18" t="str">
        <f>PLANTILLA!G4</f>
        <v>IMP</v>
      </c>
      <c r="H4" s="4">
        <f>PLANTILLA!H4</f>
        <v>4</v>
      </c>
      <c r="I4" s="27">
        <f>PLANTILLA!I4</f>
        <v>2.2999999999999998</v>
      </c>
      <c r="J4" s="19">
        <f>PLANTILLA!O4</f>
        <v>6</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5.2380952380952372</v>
      </c>
      <c r="S4" s="21">
        <f>PLANTILLA!AD4</f>
        <v>4</v>
      </c>
      <c r="T4" s="155">
        <v>0</v>
      </c>
      <c r="U4" s="155">
        <v>0</v>
      </c>
      <c r="V4" s="155">
        <v>0</v>
      </c>
      <c r="W4" s="155">
        <v>0.13</v>
      </c>
      <c r="X4" s="155">
        <v>0</v>
      </c>
      <c r="Y4" s="155">
        <f t="shared" ref="Y4:Y18" si="2">0.17</f>
        <v>0.17</v>
      </c>
      <c r="Z4" s="155">
        <v>0</v>
      </c>
      <c r="AA4" s="153">
        <v>20</v>
      </c>
      <c r="AB4" s="154">
        <v>56</v>
      </c>
      <c r="AC4" s="25">
        <f t="shared" ref="AC4:AC18"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15.160714285714286</v>
      </c>
      <c r="D5" s="28" t="str">
        <f>PLANTILLA!D5</f>
        <v>Marc Dolz</v>
      </c>
      <c r="E5" s="16">
        <f>PLANTILLA!E5</f>
        <v>17</v>
      </c>
      <c r="F5" s="17">
        <f ca="1">PLANTILLA!F5</f>
        <v>94</v>
      </c>
      <c r="G5" s="18" t="str">
        <f>PLANTILLA!G5</f>
        <v>POT</v>
      </c>
      <c r="H5" s="4">
        <f>PLANTILLA!H5</f>
        <v>3</v>
      </c>
      <c r="I5" s="27">
        <f>PLANTILLA!I5</f>
        <v>1</v>
      </c>
      <c r="J5" s="19">
        <f>PLANTILLA!O5</f>
        <v>4.2</v>
      </c>
      <c r="K5" s="6">
        <f t="shared" ref="K5:K18" si="4">(H5)*(H5)*(I5)</f>
        <v>9</v>
      </c>
      <c r="L5" s="6">
        <f t="shared" ref="L5:L18" si="5">(H5+1)*(H5+1)*I5</f>
        <v>16</v>
      </c>
      <c r="M5" s="21">
        <f>PLANTILLA!X5</f>
        <v>0</v>
      </c>
      <c r="N5" s="21">
        <f>PLANTILLA!Y5</f>
        <v>4</v>
      </c>
      <c r="O5" s="21">
        <f>PLANTILLA!Z5</f>
        <v>4</v>
      </c>
      <c r="P5" s="21">
        <f>PLANTILLA!AA5</f>
        <v>3</v>
      </c>
      <c r="Q5" s="21">
        <f>PLANTILLA!AB5</f>
        <v>4.2526666666666664</v>
      </c>
      <c r="R5" s="21">
        <f>PLANTILLA!AC5</f>
        <v>3.2000000000000006</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15.633928571428571</v>
      </c>
      <c r="D6" s="28" t="str">
        <f>PLANTILLA!D6</f>
        <v>Manuel Parejo</v>
      </c>
      <c r="E6" s="16">
        <f>PLANTILLA!E6</f>
        <v>17</v>
      </c>
      <c r="F6" s="17">
        <f ca="1">PLANTILLA!F6</f>
        <v>41</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3.3259259259259268</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15.133928571428571</v>
      </c>
      <c r="D7" s="28" t="str">
        <f>PLANTILLA!D7</f>
        <v>Valeri Gomis</v>
      </c>
      <c r="E7" s="16">
        <f>PLANTILLA!E7</f>
        <v>17</v>
      </c>
      <c r="F7" s="17">
        <f ca="1">PLANTILLA!F7</f>
        <v>97</v>
      </c>
      <c r="G7" s="18" t="str">
        <f>PLANTILLA!G7</f>
        <v>IMP</v>
      </c>
      <c r="H7" s="4">
        <f>PLANTILLA!H7</f>
        <v>6</v>
      </c>
      <c r="I7" s="27">
        <f>PLANTILLA!I7</f>
        <v>1.4</v>
      </c>
      <c r="J7" s="19">
        <f>PLANTILLA!O7</f>
        <v>5</v>
      </c>
      <c r="K7" s="6">
        <f t="shared" si="4"/>
        <v>50.4</v>
      </c>
      <c r="L7" s="6">
        <f t="shared" si="5"/>
        <v>68.599999999999994</v>
      </c>
      <c r="M7" s="21">
        <f>PLANTILLA!X7</f>
        <v>0</v>
      </c>
      <c r="N7" s="21">
        <f>PLANTILLA!Y7</f>
        <v>6</v>
      </c>
      <c r="O7" s="21">
        <f>PLANTILLA!Z7</f>
        <v>3</v>
      </c>
      <c r="P7" s="21">
        <f>PLANTILLA!AA7</f>
        <v>3</v>
      </c>
      <c r="Q7" s="21">
        <f>PLANTILLA!AB7</f>
        <v>5.4</v>
      </c>
      <c r="R7" s="21">
        <f>PLANTILLA!AC7</f>
        <v>5.33</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15.044642857142858</v>
      </c>
      <c r="D8" s="28" t="str">
        <f>PLANTILLA!D8</f>
        <v>J. G. de Minaya</v>
      </c>
      <c r="E8" s="16">
        <f>PLANTILLA!E8</f>
        <v>17</v>
      </c>
      <c r="F8" s="17">
        <f ca="1">PLANTILLA!F8</f>
        <v>107</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6.5</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14.741071428571429</v>
      </c>
      <c r="D9" s="28" t="str">
        <f>PLANTILLA!D9</f>
        <v>Roberto Montero</v>
      </c>
      <c r="E9" s="16">
        <f>PLANTILLA!E9</f>
        <v>18</v>
      </c>
      <c r="F9" s="17">
        <f ca="1">PLANTILLA!F9</f>
        <v>29</v>
      </c>
      <c r="G9" s="18" t="str">
        <f>PLANTILLA!G9</f>
        <v>TEC</v>
      </c>
      <c r="H9" s="4">
        <f>PLANTILLA!H9</f>
        <v>2</v>
      </c>
      <c r="I9" s="27">
        <f>PLANTILLA!I9</f>
        <v>0.5</v>
      </c>
      <c r="J9" s="19">
        <f>PLANTILLA!O9</f>
        <v>5.4</v>
      </c>
      <c r="K9" s="6">
        <f t="shared" si="4"/>
        <v>2</v>
      </c>
      <c r="L9" s="6">
        <f t="shared" si="5"/>
        <v>4.5</v>
      </c>
      <c r="M9" s="21">
        <f>PLANTILLA!X9</f>
        <v>0</v>
      </c>
      <c r="N9" s="21">
        <f>PLANTILLA!Y9</f>
        <v>6</v>
      </c>
      <c r="O9" s="21">
        <f>PLANTILLA!Z9</f>
        <v>4</v>
      </c>
      <c r="P9" s="21">
        <f>PLANTILLA!AA9</f>
        <v>4</v>
      </c>
      <c r="Q9" s="21">
        <f>PLANTILLA!AB9</f>
        <v>3.3028</v>
      </c>
      <c r="R9" s="21">
        <f>PLANTILLA!AC9</f>
        <v>4.0000000000000009</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15.169642857142858</v>
      </c>
      <c r="D10" s="28" t="str">
        <f>PLANTILLA!D10</f>
        <v>Eckardt Hägerling</v>
      </c>
      <c r="E10" s="16">
        <f>PLANTILLA!E10</f>
        <v>17</v>
      </c>
      <c r="F10" s="17">
        <f ca="1">PLANTILLA!F10</f>
        <v>93</v>
      </c>
      <c r="G10" s="18" t="str">
        <f>PLANTILLA!G10</f>
        <v>IMP</v>
      </c>
      <c r="H10" s="4">
        <f>PLANTILLA!H10</f>
        <v>3</v>
      </c>
      <c r="I10" s="27">
        <f>PLANTILLA!I10</f>
        <v>1.3</v>
      </c>
      <c r="J10" s="19">
        <f>PLANTILLA!O10</f>
        <v>5</v>
      </c>
      <c r="K10" s="6">
        <f t="shared" si="4"/>
        <v>11.700000000000001</v>
      </c>
      <c r="L10" s="6">
        <f t="shared" si="5"/>
        <v>20.8</v>
      </c>
      <c r="M10" s="21">
        <f>PLANTILLA!X10</f>
        <v>0</v>
      </c>
      <c r="N10" s="21">
        <f>PLANTILLA!Y10</f>
        <v>5</v>
      </c>
      <c r="O10" s="21">
        <f>PLANTILLA!Z10</f>
        <v>3</v>
      </c>
      <c r="P10" s="21">
        <f>PLANTILLA!AA10</f>
        <v>4</v>
      </c>
      <c r="Q10" s="21">
        <f>PLANTILLA!AB10</f>
        <v>2.4356</v>
      </c>
      <c r="R10" s="21">
        <f>PLANTILLA!AC10</f>
        <v>4.1966666666666672</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#3</v>
      </c>
      <c r="B11" s="15" t="str">
        <f>PLANTILLA!B11</f>
        <v>LAT</v>
      </c>
      <c r="C11" s="121">
        <f ca="1">PLANTILLA!C11</f>
        <v>15.482142857142858</v>
      </c>
      <c r="D11" s="28" t="str">
        <f>PLANTILLA!D11</f>
        <v>Will Duffill</v>
      </c>
      <c r="E11" s="16">
        <f>PLANTILLA!E11</f>
        <v>17</v>
      </c>
      <c r="F11" s="17">
        <f ca="1">PLANTILLA!F11</f>
        <v>58</v>
      </c>
      <c r="G11" s="18" t="str">
        <f>PLANTILLA!G11</f>
        <v>RAP</v>
      </c>
      <c r="H11" s="4">
        <f>PLANTILLA!H11</f>
        <v>3</v>
      </c>
      <c r="I11" s="27">
        <f>PLANTILLA!I11</f>
        <v>1.2</v>
      </c>
      <c r="J11" s="19">
        <f>PLANTILLA!O11</f>
        <v>3.7</v>
      </c>
      <c r="K11" s="6">
        <f t="shared" ref="K11" si="9">(H11)*(H11)*(I11)</f>
        <v>10.799999999999999</v>
      </c>
      <c r="L11" s="6">
        <f t="shared" ref="L11" si="10">(H11+1)*(H11+1)*I11</f>
        <v>19.2</v>
      </c>
      <c r="M11" s="21">
        <f>PLANTILLA!X11</f>
        <v>0</v>
      </c>
      <c r="N11" s="21">
        <f>PLANTILLA!Y11</f>
        <v>6</v>
      </c>
      <c r="O11" s="21">
        <f>PLANTILLA!Z11</f>
        <v>3</v>
      </c>
      <c r="P11" s="21">
        <f>PLANTILLA!AA11</f>
        <v>3</v>
      </c>
      <c r="Q11" s="21">
        <f>PLANTILLA!AB11</f>
        <v>6</v>
      </c>
      <c r="R11" s="21">
        <f>PLANTILLA!AC11</f>
        <v>4.5</v>
      </c>
      <c r="S11" s="21">
        <f>PLANTILLA!AD11</f>
        <v>3</v>
      </c>
      <c r="T11" s="155">
        <v>0</v>
      </c>
      <c r="U11" s="155">
        <v>0</v>
      </c>
      <c r="V11" s="155">
        <v>0</v>
      </c>
      <c r="W11" s="155">
        <v>0.13</v>
      </c>
      <c r="X11" s="155">
        <v>0</v>
      </c>
      <c r="Y11" s="155">
        <f t="shared" si="2"/>
        <v>0.17</v>
      </c>
      <c r="Z11" s="155">
        <v>0</v>
      </c>
      <c r="AA11" s="153">
        <v>20</v>
      </c>
      <c r="AB11" s="154">
        <v>85</v>
      </c>
      <c r="AC11" s="25">
        <f t="shared" ref="AC11" si="11">I11+$AC$2</f>
        <v>1.2</v>
      </c>
      <c r="AD11" s="156">
        <f t="shared" ref="AD11" si="12">M11</f>
        <v>0</v>
      </c>
      <c r="AE11" s="156">
        <f t="shared" ref="AE11" si="13">N11</f>
        <v>6</v>
      </c>
      <c r="AF11" s="156">
        <f t="shared" ref="AF11" si="14">O11</f>
        <v>3</v>
      </c>
      <c r="AG11" s="156">
        <f>5</f>
        <v>5</v>
      </c>
      <c r="AH11" s="156">
        <f>Q11+(X$2/16)</f>
        <v>6</v>
      </c>
      <c r="AI11" s="156">
        <f>5+18/19</f>
        <v>5.9473684210526319</v>
      </c>
      <c r="AJ11" s="156">
        <f>S11+(Z$2/5)</f>
        <v>3</v>
      </c>
    </row>
    <row r="12" spans="1:36" ht="16.5" customHeight="1" x14ac:dyDescent="0.25">
      <c r="A12" s="15" t="str">
        <f>PLANTILLA!A12</f>
        <v>#7</v>
      </c>
      <c r="B12" s="15" t="str">
        <f>PLANTILLA!B12</f>
        <v>LAT</v>
      </c>
      <c r="C12" s="121">
        <f ca="1">PLANTILLA!C12</f>
        <v>15.357142857142858</v>
      </c>
      <c r="D12" s="28" t="str">
        <f>PLANTILLA!D12</f>
        <v>Raul Riquelme</v>
      </c>
      <c r="E12" s="16">
        <f>PLANTILLA!E12</f>
        <v>17</v>
      </c>
      <c r="F12" s="17">
        <f ca="1">PLANTILLA!F12</f>
        <v>72</v>
      </c>
      <c r="G12" s="18" t="str">
        <f>PLANTILLA!G12</f>
        <v>RAP</v>
      </c>
      <c r="H12" s="4">
        <f>PLANTILLA!H12</f>
        <v>6</v>
      </c>
      <c r="I12" s="27">
        <f>PLANTILLA!I12</f>
        <v>1.1000000000000001</v>
      </c>
      <c r="J12" s="19">
        <f>PLANTILLA!O12</f>
        <v>3.5</v>
      </c>
      <c r="K12" s="6">
        <f t="shared" si="4"/>
        <v>39.6</v>
      </c>
      <c r="L12" s="6">
        <f t="shared" si="5"/>
        <v>53.900000000000006</v>
      </c>
      <c r="M12" s="21">
        <f>PLANTILLA!X12</f>
        <v>0</v>
      </c>
      <c r="N12" s="21">
        <f>PLANTILLA!Y12</f>
        <v>6</v>
      </c>
      <c r="O12" s="21">
        <f>PLANTILLA!Z12</f>
        <v>3</v>
      </c>
      <c r="P12" s="21">
        <f>PLANTILLA!AA12</f>
        <v>3</v>
      </c>
      <c r="Q12" s="21">
        <f>PLANTILLA!AB12</f>
        <v>3</v>
      </c>
      <c r="R12" s="21">
        <f>PLANTILLA!AC12</f>
        <v>5.9988235294117649</v>
      </c>
      <c r="S12" s="21">
        <f>PLANTILLA!AD12</f>
        <v>4</v>
      </c>
      <c r="T12" s="155">
        <v>0</v>
      </c>
      <c r="U12" s="155">
        <v>0</v>
      </c>
      <c r="V12" s="155">
        <v>0</v>
      </c>
      <c r="W12" s="155">
        <v>0.13</v>
      </c>
      <c r="X12" s="155">
        <v>0</v>
      </c>
      <c r="Y12" s="155">
        <f t="shared" si="2"/>
        <v>0.17</v>
      </c>
      <c r="Z12" s="155">
        <v>0</v>
      </c>
      <c r="AA12" s="153">
        <v>20</v>
      </c>
      <c r="AB12" s="154">
        <v>54</v>
      </c>
      <c r="AC12" s="25">
        <f t="shared" si="3"/>
        <v>1.1000000000000001</v>
      </c>
      <c r="AD12" s="156">
        <f t="shared" si="6"/>
        <v>0</v>
      </c>
      <c r="AE12" s="156">
        <f t="shared" si="7"/>
        <v>6</v>
      </c>
      <c r="AF12" s="156">
        <f t="shared" si="8"/>
        <v>3</v>
      </c>
      <c r="AG12" s="156">
        <f>5+14/18</f>
        <v>5.7777777777777777</v>
      </c>
      <c r="AH12" s="156">
        <f>Q12+(X$2/9)</f>
        <v>3</v>
      </c>
      <c r="AI12" s="156">
        <f>5+2/20</f>
        <v>5.0999999999999996</v>
      </c>
      <c r="AJ12" s="156">
        <f>S12+(Z$2/3)</f>
        <v>4</v>
      </c>
    </row>
    <row r="13" spans="1:36" ht="16.5" customHeight="1" x14ac:dyDescent="0.25">
      <c r="A13" s="15" t="str">
        <f>PLANTILLA!A13</f>
        <v>#21</v>
      </c>
      <c r="B13" s="15" t="str">
        <f>PLANTILLA!B13</f>
        <v>MED</v>
      </c>
      <c r="C13" s="121">
        <f ca="1">PLANTILLA!C13</f>
        <v>14.803571428571429</v>
      </c>
      <c r="D13" s="28" t="str">
        <f>PLANTILLA!D13</f>
        <v>Fernando Gazón</v>
      </c>
      <c r="E13" s="16">
        <f>PLANTILLA!E13</f>
        <v>18</v>
      </c>
      <c r="F13" s="17">
        <f ca="1">PLANTILLA!F13</f>
        <v>22</v>
      </c>
      <c r="G13" s="18" t="str">
        <f>PLANTILLA!G13</f>
        <v>IMP</v>
      </c>
      <c r="H13" s="4">
        <f>PLANTILLA!H13</f>
        <v>3</v>
      </c>
      <c r="I13" s="27">
        <f>PLANTILLA!I13</f>
        <v>1</v>
      </c>
      <c r="J13" s="19">
        <f>PLANTILLA!O13</f>
        <v>5</v>
      </c>
      <c r="K13" s="6">
        <f t="shared" si="4"/>
        <v>9</v>
      </c>
      <c r="L13" s="6">
        <f t="shared" si="5"/>
        <v>16</v>
      </c>
      <c r="M13" s="21">
        <f>PLANTILLA!X13</f>
        <v>0</v>
      </c>
      <c r="N13" s="21">
        <f>PLANTILLA!Y13</f>
        <v>3</v>
      </c>
      <c r="O13" s="21">
        <f>PLANTILLA!Z13</f>
        <v>6</v>
      </c>
      <c r="P13" s="21">
        <f>PLANTILLA!AA13</f>
        <v>3</v>
      </c>
      <c r="Q13" s="21">
        <f>PLANTILLA!AB13</f>
        <v>4</v>
      </c>
      <c r="R13" s="21">
        <f>PLANTILLA!AC13</f>
        <v>5.207261437908496</v>
      </c>
      <c r="S13" s="21">
        <f>PLANTILLA!AD13</f>
        <v>3</v>
      </c>
      <c r="T13" s="155">
        <v>0</v>
      </c>
      <c r="U13" s="155">
        <v>0</v>
      </c>
      <c r="V13" s="155">
        <v>0</v>
      </c>
      <c r="W13" s="155">
        <v>1</v>
      </c>
      <c r="X13" s="155">
        <v>0</v>
      </c>
      <c r="Y13" s="155">
        <v>1</v>
      </c>
      <c r="Z13" s="155">
        <v>0</v>
      </c>
      <c r="AA13" s="153">
        <v>20</v>
      </c>
      <c r="AB13" s="154">
        <v>55</v>
      </c>
      <c r="AC13" s="25">
        <f t="shared" si="3"/>
        <v>1</v>
      </c>
      <c r="AD13" s="156">
        <f t="shared" si="6"/>
        <v>0</v>
      </c>
      <c r="AE13" s="156">
        <f t="shared" si="7"/>
        <v>3</v>
      </c>
      <c r="AF13" s="156">
        <f t="shared" si="8"/>
        <v>6</v>
      </c>
      <c r="AG13" s="156">
        <f>12+5/6</f>
        <v>12.833333333333334</v>
      </c>
      <c r="AH13" s="156">
        <f>Q13+(X$2/6)</f>
        <v>4</v>
      </c>
      <c r="AI13" s="156">
        <f>8+2/4</f>
        <v>8.5</v>
      </c>
      <c r="AJ13" s="156">
        <f>S13+(Z$2/2.5)</f>
        <v>3</v>
      </c>
    </row>
    <row r="14" spans="1:36" ht="16.5" customHeight="1" x14ac:dyDescent="0.25">
      <c r="A14" s="15" t="str">
        <f>PLANTILLA!A14</f>
        <v>#26</v>
      </c>
      <c r="B14" s="15" t="str">
        <f>PLANTILLA!B14</f>
        <v>MED</v>
      </c>
      <c r="C14" s="121">
        <f ca="1">PLANTILLA!C14</f>
        <v>14.910714285714286</v>
      </c>
      <c r="D14" s="28" t="str">
        <f>PLANTILLA!D14</f>
        <v>Roberto Abenoza</v>
      </c>
      <c r="E14" s="16">
        <f>PLANTILLA!E14</f>
        <v>18</v>
      </c>
      <c r="F14" s="17">
        <f ca="1">PLANTILLA!F14</f>
        <v>10</v>
      </c>
      <c r="G14" s="18" t="str">
        <f>PLANTILLA!G14</f>
        <v>CAB</v>
      </c>
      <c r="H14" s="4">
        <f>PLANTILLA!H14</f>
        <v>4</v>
      </c>
      <c r="I14" s="27">
        <f>PLANTILLA!I14</f>
        <v>0.5</v>
      </c>
      <c r="J14" s="19">
        <f>PLANTILLA!O14</f>
        <v>5</v>
      </c>
      <c r="K14" s="6">
        <f t="shared" si="4"/>
        <v>8</v>
      </c>
      <c r="L14" s="6">
        <f t="shared" si="5"/>
        <v>12.5</v>
      </c>
      <c r="M14" s="21">
        <f>PLANTILLA!X14</f>
        <v>0</v>
      </c>
      <c r="N14" s="21">
        <f>PLANTILLA!Y14</f>
        <v>2</v>
      </c>
      <c r="O14" s="21">
        <f>PLANTILLA!Z14</f>
        <v>5</v>
      </c>
      <c r="P14" s="21">
        <f>PLANTILLA!AA14</f>
        <v>3</v>
      </c>
      <c r="Q14" s="21">
        <f>PLANTILLA!AB14</f>
        <v>2.1583999999999999</v>
      </c>
      <c r="R14" s="21">
        <f>PLANTILLA!AC14</f>
        <v>5.3499999999999988</v>
      </c>
      <c r="S14" s="21">
        <f>PLANTILLA!AD14</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2.1583999999999999</v>
      </c>
      <c r="AI14" s="156">
        <f>8+2/4</f>
        <v>8.5</v>
      </c>
      <c r="AJ14" s="156">
        <f>S14+(Z$2/2)</f>
        <v>5</v>
      </c>
    </row>
    <row r="15" spans="1:36" ht="16.5" customHeight="1" x14ac:dyDescent="0.25">
      <c r="A15" s="15" t="str">
        <f>PLANTILLA!A15</f>
        <v>#29</v>
      </c>
      <c r="B15" s="15" t="str">
        <f>PLANTILLA!B15</f>
        <v>MED</v>
      </c>
      <c r="C15" s="121">
        <f ca="1">PLANTILLA!C15</f>
        <v>15.178571428571429</v>
      </c>
      <c r="D15" s="28" t="str">
        <f>PLANTILLA!D15</f>
        <v>Julio Calle</v>
      </c>
      <c r="E15" s="16">
        <f>PLANTILLA!E15</f>
        <v>17</v>
      </c>
      <c r="F15" s="17">
        <f ca="1">PLANTILLA!F15</f>
        <v>92</v>
      </c>
      <c r="G15" s="18" t="str">
        <f>PLANTILLA!G15</f>
        <v>POT</v>
      </c>
      <c r="H15" s="4">
        <f>PLANTILLA!H15</f>
        <v>3</v>
      </c>
      <c r="I15" s="27">
        <f>PLANTILLA!I15</f>
        <v>0.5</v>
      </c>
      <c r="J15" s="19">
        <f>PLANTILLA!O15</f>
        <v>4.0999999999999996</v>
      </c>
      <c r="K15" s="6">
        <f t="shared" si="4"/>
        <v>4.5</v>
      </c>
      <c r="L15" s="6">
        <f t="shared" si="5"/>
        <v>8</v>
      </c>
      <c r="M15" s="21">
        <f>PLANTILLA!X15</f>
        <v>0</v>
      </c>
      <c r="N15" s="21">
        <f>PLANTILLA!Y15</f>
        <v>3</v>
      </c>
      <c r="O15" s="21">
        <f>PLANTILLA!Z15</f>
        <v>4</v>
      </c>
      <c r="P15" s="21">
        <f>PLANTILLA!AA15</f>
        <v>4</v>
      </c>
      <c r="Q15" s="21">
        <f>PLANTILLA!AB15</f>
        <v>3.0151111111111111</v>
      </c>
      <c r="R15" s="21">
        <f>PLANTILLA!AC15</f>
        <v>4.1764705882352935</v>
      </c>
      <c r="S15" s="21">
        <f>PLANTILLA!AD15</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3.0151111111111111</v>
      </c>
      <c r="AI15" s="156">
        <f>5+2/20</f>
        <v>5.0999999999999996</v>
      </c>
      <c r="AJ15" s="156">
        <f>S15+(Z$2/2)</f>
        <v>1.3</v>
      </c>
    </row>
    <row r="16" spans="1:36" ht="16.5" customHeight="1" x14ac:dyDescent="0.25">
      <c r="A16" s="15" t="str">
        <f>PLANTILLA!A17</f>
        <v>#8</v>
      </c>
      <c r="B16" s="15" t="str">
        <f>PLANTILLA!B17</f>
        <v>EXT</v>
      </c>
      <c r="C16" s="121">
        <f ca="1">PLANTILLA!C17</f>
        <v>15.169642857142858</v>
      </c>
      <c r="D16" s="28" t="str">
        <f>PLANTILLA!D17</f>
        <v>Enrique Cubas</v>
      </c>
      <c r="E16" s="16">
        <f>PLANTILLA!E17</f>
        <v>17</v>
      </c>
      <c r="F16" s="17">
        <f ca="1">PLANTILLA!F17</f>
        <v>93</v>
      </c>
      <c r="G16" s="18" t="str">
        <f>PLANTILLA!G17</f>
        <v>RAP</v>
      </c>
      <c r="H16" s="4">
        <f>PLANTILLA!H17</f>
        <v>1</v>
      </c>
      <c r="I16" s="27">
        <f>PLANTILLA!I17</f>
        <v>1.4</v>
      </c>
      <c r="J16" s="19">
        <f>PLANTILLA!O17</f>
        <v>5</v>
      </c>
      <c r="K16" s="6">
        <f t="shared" si="4"/>
        <v>1.4</v>
      </c>
      <c r="L16" s="6">
        <f t="shared" si="5"/>
        <v>5.6</v>
      </c>
      <c r="M16" s="21">
        <f>PLANTILLA!X17</f>
        <v>0</v>
      </c>
      <c r="N16" s="21">
        <f>PLANTILLA!Y17</f>
        <v>2</v>
      </c>
      <c r="O16" s="21">
        <f>PLANTILLA!Z17</f>
        <v>5.7</v>
      </c>
      <c r="P16" s="21">
        <f>PLANTILLA!AA17</f>
        <v>5.5</v>
      </c>
      <c r="Q16" s="21">
        <f>PLANTILLA!AB17</f>
        <v>5.5</v>
      </c>
      <c r="R16" s="21">
        <f>PLANTILLA!AC17</f>
        <v>5.5</v>
      </c>
      <c r="S16" s="21">
        <f>PLANTILLA!AD17</f>
        <v>5</v>
      </c>
      <c r="T16" s="155">
        <v>0</v>
      </c>
      <c r="U16" s="155">
        <v>0</v>
      </c>
      <c r="V16" s="155">
        <v>0</v>
      </c>
      <c r="W16" s="155">
        <v>0.5</v>
      </c>
      <c r="X16" s="155">
        <v>0</v>
      </c>
      <c r="Y16" s="155">
        <f t="shared" si="2"/>
        <v>0.17</v>
      </c>
      <c r="Z16" s="155">
        <v>0</v>
      </c>
      <c r="AA16" s="153">
        <v>20</v>
      </c>
      <c r="AB16" s="154">
        <v>53</v>
      </c>
      <c r="AC16" s="25">
        <f t="shared" si="3"/>
        <v>1.4</v>
      </c>
      <c r="AD16" s="156">
        <f t="shared" si="6"/>
        <v>0</v>
      </c>
      <c r="AE16" s="156">
        <f t="shared" si="7"/>
        <v>2</v>
      </c>
      <c r="AF16" s="156">
        <f t="shared" si="8"/>
        <v>5.7</v>
      </c>
      <c r="AG16" s="156">
        <f>5</f>
        <v>5</v>
      </c>
      <c r="AH16" s="156">
        <f>Q16+(X$2/13)</f>
        <v>5.5</v>
      </c>
      <c r="AI16" s="156">
        <f>5+19/20</f>
        <v>5.95</v>
      </c>
      <c r="AJ16" s="156">
        <f>S16+(Z$2/3)</f>
        <v>5</v>
      </c>
    </row>
    <row r="17" spans="1:36" ht="16.5" customHeight="1" x14ac:dyDescent="0.25">
      <c r="A17" s="15" t="str">
        <f>PLANTILLA!A18</f>
        <v>#11</v>
      </c>
      <c r="B17" s="15" t="str">
        <f>PLANTILLA!B18</f>
        <v>EXT</v>
      </c>
      <c r="C17" s="121">
        <f ca="1">PLANTILLA!C18</f>
        <v>15.169642857142858</v>
      </c>
      <c r="D17" s="28" t="str">
        <f>PLANTILLA!D18</f>
        <v>J. G. Peñuela</v>
      </c>
      <c r="E17" s="16">
        <f>PLANTILLA!E18</f>
        <v>17</v>
      </c>
      <c r="F17" s="17">
        <f ca="1">PLANTILLA!F18</f>
        <v>93</v>
      </c>
      <c r="G17" s="18" t="str">
        <f>PLANTILLA!G18</f>
        <v>IMP</v>
      </c>
      <c r="H17" s="4">
        <f>PLANTILLA!H18</f>
        <v>6</v>
      </c>
      <c r="I17" s="27">
        <f>PLANTILLA!I18</f>
        <v>1.2</v>
      </c>
      <c r="J17" s="19">
        <f>PLANTILLA!O18</f>
        <v>5</v>
      </c>
      <c r="K17" s="6">
        <f t="shared" si="4"/>
        <v>43.199999999999996</v>
      </c>
      <c r="L17" s="6">
        <f t="shared" si="5"/>
        <v>58.8</v>
      </c>
      <c r="M17" s="21">
        <f>PLANTILLA!X18</f>
        <v>0</v>
      </c>
      <c r="N17" s="21">
        <f>PLANTILLA!Y18</f>
        <v>3</v>
      </c>
      <c r="O17" s="21">
        <f>PLANTILLA!Z18</f>
        <v>5</v>
      </c>
      <c r="P17" s="21">
        <f>PLANTILLA!AA18</f>
        <v>4</v>
      </c>
      <c r="Q17" s="21">
        <f>PLANTILLA!AB18</f>
        <v>4.25</v>
      </c>
      <c r="R17" s="21">
        <f>PLANTILLA!AC18</f>
        <v>6.0016666666666669</v>
      </c>
      <c r="S17" s="21">
        <f>PLANTILLA!AD18</f>
        <v>3</v>
      </c>
      <c r="T17" s="155">
        <v>0</v>
      </c>
      <c r="U17" s="155">
        <v>0</v>
      </c>
      <c r="V17" s="155">
        <v>0</v>
      </c>
      <c r="W17" s="155">
        <v>0.5</v>
      </c>
      <c r="X17" s="155">
        <v>0</v>
      </c>
      <c r="Y17" s="155">
        <f t="shared" si="2"/>
        <v>0.17</v>
      </c>
      <c r="Z17" s="155">
        <v>0</v>
      </c>
      <c r="AA17" s="153">
        <v>20</v>
      </c>
      <c r="AB17" s="154">
        <v>96</v>
      </c>
      <c r="AC17" s="25">
        <f t="shared" si="3"/>
        <v>1.2</v>
      </c>
      <c r="AD17" s="156">
        <f t="shared" si="6"/>
        <v>0</v>
      </c>
      <c r="AE17" s="156">
        <f t="shared" si="7"/>
        <v>3</v>
      </c>
      <c r="AF17" s="156">
        <f t="shared" si="8"/>
        <v>5</v>
      </c>
      <c r="AG17" s="156">
        <f>5</f>
        <v>5</v>
      </c>
      <c r="AH17" s="156">
        <f>Q17+(X$2/13)</f>
        <v>4.25</v>
      </c>
      <c r="AI17" s="156">
        <f>6+19/23</f>
        <v>6.8260869565217392</v>
      </c>
      <c r="AJ17" s="156">
        <f>S17+(Z$2/3)</f>
        <v>3</v>
      </c>
    </row>
    <row r="18" spans="1:36" ht="16.5" customHeight="1" x14ac:dyDescent="0.25">
      <c r="A18" s="15" t="str">
        <f>PLANTILLA!A19</f>
        <v>#24</v>
      </c>
      <c r="B18" s="15" t="str">
        <f>PLANTILLA!B19</f>
        <v>EXT</v>
      </c>
      <c r="C18" s="121">
        <f ca="1">PLANTILLA!C19</f>
        <v>15.098214285714286</v>
      </c>
      <c r="D18" s="28" t="str">
        <f>PLANTILLA!D19</f>
        <v>Paulo Beltrán</v>
      </c>
      <c r="E18" s="16">
        <f>PLANTILLA!E19</f>
        <v>17</v>
      </c>
      <c r="F18" s="17">
        <f ca="1">PLANTILLA!F19</f>
        <v>101</v>
      </c>
      <c r="G18" s="18" t="str">
        <f>PLANTILLA!G19</f>
        <v>RAP</v>
      </c>
      <c r="H18" s="4">
        <f>PLANTILLA!H19</f>
        <v>3</v>
      </c>
      <c r="I18" s="27">
        <f>PLANTILLA!I19</f>
        <v>1.1000000000000001</v>
      </c>
      <c r="J18" s="19">
        <f>PLANTILLA!O19</f>
        <v>5.0999999999999996</v>
      </c>
      <c r="K18" s="6">
        <f t="shared" si="4"/>
        <v>9.9</v>
      </c>
      <c r="L18" s="6">
        <f t="shared" si="5"/>
        <v>17.600000000000001</v>
      </c>
      <c r="M18" s="21">
        <f>PLANTILLA!X19</f>
        <v>0</v>
      </c>
      <c r="N18" s="21">
        <f>PLANTILLA!Y19</f>
        <v>4</v>
      </c>
      <c r="O18" s="21">
        <f>PLANTILLA!Z19</f>
        <v>2</v>
      </c>
      <c r="P18" s="21">
        <f>PLANTILLA!AA19</f>
        <v>5</v>
      </c>
      <c r="Q18" s="21">
        <f>PLANTILLA!AB19</f>
        <v>4</v>
      </c>
      <c r="R18" s="21">
        <f>PLANTILLA!AC19</f>
        <v>4.3607843137254889</v>
      </c>
      <c r="S18" s="21">
        <f>PLANTILLA!AD19</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v>
      </c>
      <c r="AI18" s="156">
        <f>5+19/20</f>
        <v>5.95</v>
      </c>
      <c r="AJ18" s="156">
        <f>S18+(Z$2/3)</f>
        <v>4</v>
      </c>
    </row>
    <row r="19" spans="1:36" ht="16.5" customHeight="1" x14ac:dyDescent="0.25">
      <c r="A19" s="15" t="str">
        <f>PLANTILLA!A20</f>
        <v>#22</v>
      </c>
      <c r="B19" s="15" t="str">
        <f>PLANTILLA!B20</f>
        <v>DAV</v>
      </c>
      <c r="C19" s="121">
        <f ca="1">PLANTILLA!C20</f>
        <v>15.1875</v>
      </c>
      <c r="D19" s="28" t="str">
        <f>PLANTILLA!D20</f>
        <v>Santiago Serra</v>
      </c>
      <c r="E19" s="16">
        <f>PLANTILLA!E20</f>
        <v>17</v>
      </c>
      <c r="F19" s="17">
        <f ca="1">PLANTILLA!F20</f>
        <v>91</v>
      </c>
      <c r="G19" s="18"/>
      <c r="H19" s="4">
        <f>PLANTILLA!H20</f>
        <v>4</v>
      </c>
      <c r="I19" s="27">
        <f>PLANTILLA!I20</f>
        <v>1.1000000000000001</v>
      </c>
      <c r="J19" s="19">
        <f>PLANTILLA!O20</f>
        <v>5.0999999999999996</v>
      </c>
      <c r="K19" s="6">
        <f t="shared" ref="K19" si="15">(H19)*(H19)*(I19)</f>
        <v>17.600000000000001</v>
      </c>
      <c r="L19" s="6">
        <f t="shared" ref="L19" si="16">(H19+1)*(H19+1)*I19</f>
        <v>27.500000000000004</v>
      </c>
      <c r="M19" s="21">
        <f>PLANTILLA!X20</f>
        <v>1</v>
      </c>
      <c r="N19" s="21">
        <f>PLANTILLA!Y20</f>
        <v>4</v>
      </c>
      <c r="O19" s="21">
        <f>PLANTILLA!Z20</f>
        <v>2</v>
      </c>
      <c r="P19" s="21">
        <f>PLANTILLA!AA20</f>
        <v>3</v>
      </c>
      <c r="Q19" s="21">
        <f>PLANTILLA!AB20</f>
        <v>4.5</v>
      </c>
      <c r="R19" s="21">
        <f>PLANTILLA!AC20</f>
        <v>5.3027777777777771</v>
      </c>
      <c r="S19" s="21">
        <f>PLANTILLA!AD20</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4.5</v>
      </c>
      <c r="AI19" s="156">
        <v>10</v>
      </c>
      <c r="AJ19" s="156">
        <f>S19+(Z$2/3)</f>
        <v>6</v>
      </c>
    </row>
    <row r="20" spans="1:36" ht="16.5" customHeight="1" x14ac:dyDescent="0.25">
      <c r="A20" s="15" t="str">
        <f>PLANTILLA!A21</f>
        <v>#25</v>
      </c>
      <c r="B20" s="15" t="str">
        <f>PLANTILLA!B21</f>
        <v>DAV</v>
      </c>
      <c r="C20" s="121">
        <f ca="1">PLANTILLA!C21</f>
        <v>14.803571428571429</v>
      </c>
      <c r="D20" s="28" t="str">
        <f>PLANTILLA!D21</f>
        <v>Nicolás Eans</v>
      </c>
      <c r="E20" s="16">
        <f>PLANTILLA!E21</f>
        <v>18</v>
      </c>
      <c r="F20" s="17">
        <f ca="1">PLANTILLA!F21</f>
        <v>22</v>
      </c>
      <c r="G20" s="18"/>
      <c r="H20" s="4">
        <f>PLANTILLA!H21</f>
        <v>3</v>
      </c>
      <c r="I20" s="27">
        <f>PLANTILLA!I21</f>
        <v>0.5</v>
      </c>
      <c r="J20" s="19">
        <f>PLANTILLA!O21</f>
        <v>5</v>
      </c>
      <c r="K20" s="6">
        <f t="shared" ref="K20:K22" si="21">(H20)*(H20)*(I20)</f>
        <v>4.5</v>
      </c>
      <c r="L20" s="6">
        <f t="shared" ref="L20:L22" si="22">(H20+1)*(H20+1)*I20</f>
        <v>8</v>
      </c>
      <c r="M20" s="21">
        <f>PLANTILLA!X21</f>
        <v>0</v>
      </c>
      <c r="N20" s="21">
        <f>PLANTILLA!Y21</f>
        <v>5</v>
      </c>
      <c r="O20" s="21">
        <f>PLANTILLA!Z21</f>
        <v>2</v>
      </c>
      <c r="P20" s="21">
        <f>PLANTILLA!AA21</f>
        <v>3</v>
      </c>
      <c r="Q20" s="21">
        <f>PLANTILLA!AB21</f>
        <v>4.75</v>
      </c>
      <c r="R20" s="21">
        <f>PLANTILLA!AC21</f>
        <v>6.3043478260869579</v>
      </c>
      <c r="S20" s="21">
        <f>PLANTILLA!AD21</f>
        <v>3</v>
      </c>
      <c r="T20" s="155">
        <v>0</v>
      </c>
      <c r="U20" s="155">
        <v>0</v>
      </c>
      <c r="V20" s="155">
        <v>0</v>
      </c>
      <c r="W20" s="155">
        <v>0.5</v>
      </c>
      <c r="X20" s="155">
        <v>0</v>
      </c>
      <c r="Y20" s="155">
        <v>1</v>
      </c>
      <c r="Z20" s="155">
        <v>0</v>
      </c>
      <c r="AA20" s="153">
        <v>20</v>
      </c>
      <c r="AB20" s="154">
        <v>54</v>
      </c>
      <c r="AC20" s="25">
        <f t="shared" ref="AC20:AC22" si="23">I20+$AC$2</f>
        <v>0.5</v>
      </c>
      <c r="AD20" s="156">
        <f t="shared" ref="AD20:AD22" si="24">M20</f>
        <v>0</v>
      </c>
      <c r="AE20" s="156">
        <f t="shared" ref="AE20:AE22" si="25">N20</f>
        <v>5</v>
      </c>
      <c r="AF20" s="156">
        <f t="shared" ref="AF20:AF22" si="26">O20</f>
        <v>2</v>
      </c>
      <c r="AG20" s="156">
        <v>11</v>
      </c>
      <c r="AH20" s="156">
        <f t="shared" ref="AH20:AH22" si="27">Q20+(X$2/13)</f>
        <v>4.75</v>
      </c>
      <c r="AI20" s="156">
        <v>11</v>
      </c>
      <c r="AJ20" s="156">
        <f t="shared" ref="AJ20:AJ22" si="28">S20+(Z$2/3)</f>
        <v>3</v>
      </c>
    </row>
    <row r="21" spans="1:36" ht="16.5" customHeight="1" x14ac:dyDescent="0.25">
      <c r="A21" s="15" t="str">
        <f>PLANTILLA!A22</f>
        <v>#27</v>
      </c>
      <c r="B21" s="15" t="str">
        <f>PLANTILLA!B22</f>
        <v>DAV</v>
      </c>
      <c r="C21" s="121">
        <f ca="1">PLANTILLA!C22</f>
        <v>15.196428571428571</v>
      </c>
      <c r="D21" s="28" t="str">
        <f>PLANTILLA!D22</f>
        <v>Noel Fuster</v>
      </c>
      <c r="E21" s="16">
        <f>PLANTILLA!E22</f>
        <v>17</v>
      </c>
      <c r="F21" s="17">
        <f ca="1">PLANTILLA!F22</f>
        <v>90</v>
      </c>
      <c r="G21" s="18"/>
      <c r="H21" s="4">
        <f>PLANTILLA!H22</f>
        <v>4</v>
      </c>
      <c r="I21" s="27">
        <f>PLANTILLA!I22</f>
        <v>0.5</v>
      </c>
      <c r="J21" s="19">
        <f>PLANTILLA!O22</f>
        <v>5</v>
      </c>
      <c r="K21" s="6">
        <f t="shared" si="21"/>
        <v>8</v>
      </c>
      <c r="L21" s="6">
        <f t="shared" si="22"/>
        <v>12.5</v>
      </c>
      <c r="M21" s="21">
        <f>PLANTILLA!X22</f>
        <v>0</v>
      </c>
      <c r="N21" s="21">
        <f>PLANTILLA!Y22</f>
        <v>4</v>
      </c>
      <c r="O21" s="21">
        <f>PLANTILLA!Z22</f>
        <v>2</v>
      </c>
      <c r="P21" s="21">
        <f>PLANTILLA!AA22</f>
        <v>2</v>
      </c>
      <c r="Q21" s="21">
        <f>PLANTILLA!AB22</f>
        <v>3.0496666666666665</v>
      </c>
      <c r="R21" s="21">
        <f>PLANTILLA!AC22</f>
        <v>5.2527777777777773</v>
      </c>
      <c r="S21" s="21">
        <f>PLANTILLA!AD22</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3.0496666666666665</v>
      </c>
      <c r="AI21" s="156">
        <v>12</v>
      </c>
      <c r="AJ21" s="156">
        <f t="shared" si="28"/>
        <v>2.5</v>
      </c>
    </row>
    <row r="22" spans="1:36" ht="16.5" customHeight="1" x14ac:dyDescent="0.25">
      <c r="A22" s="15" t="str">
        <f>PLANTILLA!A23</f>
        <v>#9</v>
      </c>
      <c r="B22" s="15" t="str">
        <f>PLANTILLA!B23</f>
        <v>DAV</v>
      </c>
      <c r="C22" s="121">
        <f ca="1">PLANTILLA!C23</f>
        <v>13.848214285714286</v>
      </c>
      <c r="D22" s="28" t="str">
        <f>PLANTILLA!D23</f>
        <v>Diego Rincon</v>
      </c>
      <c r="E22" s="16">
        <f>PLANTILLA!E23</f>
        <v>19</v>
      </c>
      <c r="F22" s="17">
        <f ca="1">PLANTILLA!F23</f>
        <v>17</v>
      </c>
      <c r="G22" s="18"/>
      <c r="H22" s="4">
        <f>PLANTILLA!H23</f>
        <v>6</v>
      </c>
      <c r="I22" s="27">
        <f>PLANTILLA!I23</f>
        <v>2</v>
      </c>
      <c r="J22" s="19">
        <f>PLANTILLA!O23</f>
        <v>3.5</v>
      </c>
      <c r="K22" s="6">
        <f t="shared" si="21"/>
        <v>72</v>
      </c>
      <c r="L22" s="6">
        <f t="shared" si="22"/>
        <v>98</v>
      </c>
      <c r="M22" s="21">
        <f>PLANTILLA!X23</f>
        <v>0</v>
      </c>
      <c r="N22" s="21">
        <f>PLANTILLA!Y23</f>
        <v>4</v>
      </c>
      <c r="O22" s="21">
        <f>PLANTILLA!Z23</f>
        <v>4</v>
      </c>
      <c r="P22" s="21">
        <f>PLANTILLA!AA23</f>
        <v>2</v>
      </c>
      <c r="Q22" s="21">
        <f>PLANTILLA!AB23</f>
        <v>4</v>
      </c>
      <c r="R22" s="21">
        <f>PLANTILLA!AC23</f>
        <v>4</v>
      </c>
      <c r="S22" s="21">
        <f>PLANTILLA!AD23</f>
        <v>2</v>
      </c>
      <c r="T22" s="155">
        <v>0</v>
      </c>
      <c r="U22" s="155">
        <v>0</v>
      </c>
      <c r="V22" s="155">
        <v>0</v>
      </c>
      <c r="W22" s="155">
        <v>0.5</v>
      </c>
      <c r="X22" s="155">
        <v>0</v>
      </c>
      <c r="Y22" s="155">
        <v>1</v>
      </c>
      <c r="Z22" s="155">
        <v>0</v>
      </c>
      <c r="AA22" s="153">
        <v>20</v>
      </c>
      <c r="AB22" s="154">
        <v>56</v>
      </c>
      <c r="AC22" s="25">
        <f t="shared" si="23"/>
        <v>2</v>
      </c>
      <c r="AD22" s="156">
        <f t="shared" si="24"/>
        <v>0</v>
      </c>
      <c r="AE22" s="156">
        <f t="shared" si="25"/>
        <v>4</v>
      </c>
      <c r="AF22" s="156">
        <f t="shared" si="26"/>
        <v>4</v>
      </c>
      <c r="AG22" s="156">
        <v>13</v>
      </c>
      <c r="AH22" s="156">
        <f t="shared" si="27"/>
        <v>4</v>
      </c>
      <c r="AI22" s="156">
        <v>13</v>
      </c>
      <c r="AJ22" s="156">
        <f t="shared" si="28"/>
        <v>2</v>
      </c>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2018-02-02T15:17:33Z</dcterms:modified>
</cp:coreProperties>
</file>