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/>
  </bookViews>
  <sheets>
    <sheet name="OBIWAN-LA_Crsuh" sheetId="448" r:id="rId1"/>
    <sheet name="SIMULADOR_v3" sheetId="446" r:id="rId2"/>
    <sheet name="SIMULADOR&gt;22-12-17_v2" sheetId="436" r:id="rId3"/>
    <sheet name="SIMULADOR&gt;22-12-17" sheetId="435" r:id="rId4"/>
    <sheet name="SIMULADOR" sheetId="285" r:id="rId5"/>
    <sheet name="SIMULADOR_sinJC" sheetId="273" r:id="rId6"/>
  </sheets>
  <calcPr calcId="152511"/>
  <fileRecoveryPr autoRecover="0"/>
</workbook>
</file>

<file path=xl/calcChain.xml><?xml version="1.0" encoding="utf-8"?>
<calcChain xmlns="http://schemas.openxmlformats.org/spreadsheetml/2006/main">
  <c r="C16" i="448" l="1"/>
  <c r="BF48" i="448"/>
  <c r="BF47" i="448"/>
  <c r="BF46" i="448"/>
  <c r="BE45" i="448"/>
  <c r="BE44" i="448"/>
  <c r="BF45" i="448" s="1"/>
  <c r="BD44" i="448"/>
  <c r="BE43" i="448"/>
  <c r="BF44" i="448" s="1"/>
  <c r="BD43" i="448"/>
  <c r="BC43" i="448"/>
  <c r="BF42" i="448"/>
  <c r="BE42" i="448"/>
  <c r="BF43" i="448" s="1"/>
  <c r="BD42" i="448"/>
  <c r="BC42" i="448"/>
  <c r="BF41" i="448"/>
  <c r="BE41" i="448"/>
  <c r="BD41" i="448"/>
  <c r="BC41" i="448"/>
  <c r="BH40" i="448"/>
  <c r="BH45" i="448" s="1"/>
  <c r="BH50" i="448" s="1"/>
  <c r="BL11" i="448" s="1"/>
  <c r="BP38" i="448" s="1"/>
  <c r="BP46" i="448" s="1"/>
  <c r="BF40" i="448"/>
  <c r="BE40" i="448"/>
  <c r="BD40" i="448"/>
  <c r="BC40" i="448"/>
  <c r="BC39" i="448"/>
  <c r="AS38" i="448"/>
  <c r="AR38" i="448"/>
  <c r="AQ38" i="448"/>
  <c r="AP38" i="448"/>
  <c r="AO38" i="448"/>
  <c r="AN38" i="448"/>
  <c r="AM38" i="448"/>
  <c r="AL38" i="448"/>
  <c r="AK38" i="448"/>
  <c r="AJ38" i="448"/>
  <c r="AI38" i="448"/>
  <c r="AH38" i="448"/>
  <c r="AG38" i="448"/>
  <c r="AF38" i="448"/>
  <c r="AE38" i="448"/>
  <c r="AD38" i="448"/>
  <c r="AC38" i="448"/>
  <c r="AB38" i="448"/>
  <c r="AA38" i="448"/>
  <c r="Z38" i="448"/>
  <c r="Y38" i="448"/>
  <c r="X38" i="448"/>
  <c r="W38" i="448"/>
  <c r="V38" i="448"/>
  <c r="U38" i="448"/>
  <c r="T38" i="448"/>
  <c r="S38" i="448"/>
  <c r="R38" i="448"/>
  <c r="Q38" i="448"/>
  <c r="P38" i="448"/>
  <c r="O38" i="448"/>
  <c r="N38" i="448"/>
  <c r="M38" i="448"/>
  <c r="L38" i="448"/>
  <c r="K38" i="448"/>
  <c r="J38" i="448"/>
  <c r="I38" i="448"/>
  <c r="H38" i="448"/>
  <c r="G38" i="448"/>
  <c r="BH36" i="448"/>
  <c r="BH42" i="448" s="1"/>
  <c r="BH47" i="448" s="1"/>
  <c r="BH52" i="448" s="1"/>
  <c r="BH55" i="448" s="1"/>
  <c r="BH57" i="448" s="1"/>
  <c r="BF34" i="448"/>
  <c r="BF33" i="448"/>
  <c r="C33" i="448"/>
  <c r="B33" i="448"/>
  <c r="BH32" i="448"/>
  <c r="BH38" i="448" s="1"/>
  <c r="BL9" i="448" s="1"/>
  <c r="BP23" i="448" s="1"/>
  <c r="BP29" i="448" s="1"/>
  <c r="BP36" i="448" s="1"/>
  <c r="BP44" i="448" s="1"/>
  <c r="C32" i="448"/>
  <c r="B32" i="448"/>
  <c r="BH31" i="448"/>
  <c r="BE31" i="448"/>
  <c r="BF32" i="448" s="1"/>
  <c r="BP30" i="448"/>
  <c r="BP37" i="448" s="1"/>
  <c r="BP45" i="448" s="1"/>
  <c r="BH30" i="448"/>
  <c r="BH37" i="448" s="1"/>
  <c r="BH43" i="448" s="1"/>
  <c r="BH48" i="448" s="1"/>
  <c r="BH53" i="448" s="1"/>
  <c r="BH56" i="448" s="1"/>
  <c r="BH58" i="448" s="1"/>
  <c r="BH59" i="448" s="1"/>
  <c r="BE30" i="448"/>
  <c r="BD30" i="448"/>
  <c r="E30" i="448"/>
  <c r="D30" i="448"/>
  <c r="BH29" i="448"/>
  <c r="BE29" i="448"/>
  <c r="BF30" i="448" s="1"/>
  <c r="BD29" i="448"/>
  <c r="BC29" i="448"/>
  <c r="C29" i="448"/>
  <c r="B29" i="448"/>
  <c r="BH28" i="448"/>
  <c r="BH35" i="448" s="1"/>
  <c r="BH41" i="448" s="1"/>
  <c r="BH46" i="448" s="1"/>
  <c r="BH51" i="448" s="1"/>
  <c r="BH54" i="448" s="1"/>
  <c r="BE28" i="448"/>
  <c r="BD28" i="448"/>
  <c r="BC28" i="448"/>
  <c r="BH27" i="448"/>
  <c r="BH34" i="448" s="1"/>
  <c r="BF27" i="448"/>
  <c r="BE27" i="448"/>
  <c r="BF28" i="448" s="1"/>
  <c r="BD27" i="448"/>
  <c r="BC27" i="448"/>
  <c r="C27" i="448"/>
  <c r="B27" i="448"/>
  <c r="BH26" i="448"/>
  <c r="BH33" i="448" s="1"/>
  <c r="BH39" i="448" s="1"/>
  <c r="BH44" i="448" s="1"/>
  <c r="BF26" i="448"/>
  <c r="BE26" i="448"/>
  <c r="BD26" i="448"/>
  <c r="BC26" i="448"/>
  <c r="E26" i="448"/>
  <c r="E27" i="448" s="1"/>
  <c r="E23" i="448" s="1"/>
  <c r="D26" i="448"/>
  <c r="D27" i="448" s="1"/>
  <c r="D23" i="448" s="1"/>
  <c r="C26" i="448"/>
  <c r="B26" i="448"/>
  <c r="BH25" i="448"/>
  <c r="BC25" i="448"/>
  <c r="E25" i="448"/>
  <c r="D25" i="448"/>
  <c r="C25" i="448"/>
  <c r="B25" i="448"/>
  <c r="BH24" i="448"/>
  <c r="BH23" i="448"/>
  <c r="B22" i="448"/>
  <c r="C22" i="448" s="1"/>
  <c r="B20" i="448"/>
  <c r="B21" i="448" s="1"/>
  <c r="AO19" i="448"/>
  <c r="AL19" i="448"/>
  <c r="AH19" i="448"/>
  <c r="AG19" i="448"/>
  <c r="Z19" i="448"/>
  <c r="P19" i="448"/>
  <c r="AO18" i="448"/>
  <c r="AL18" i="448"/>
  <c r="AK18" i="448"/>
  <c r="AH18" i="448"/>
  <c r="AG18" i="448"/>
  <c r="AO17" i="448"/>
  <c r="AL17" i="448"/>
  <c r="AK17" i="448"/>
  <c r="AH17" i="448"/>
  <c r="AG17" i="448"/>
  <c r="AN17" i="448" s="1"/>
  <c r="Z17" i="448"/>
  <c r="Z18" i="448" s="1"/>
  <c r="P17" i="448"/>
  <c r="AK16" i="448"/>
  <c r="B16" i="448"/>
  <c r="Z15" i="448"/>
  <c r="P15" i="448"/>
  <c r="AL14" i="448"/>
  <c r="AG14" i="448" s="1"/>
  <c r="AN14" i="448" s="1"/>
  <c r="AH14" i="448"/>
  <c r="Z14" i="448"/>
  <c r="BL13" i="448"/>
  <c r="Z13" i="448"/>
  <c r="P13" i="448"/>
  <c r="BL12" i="448"/>
  <c r="BP47" i="448" s="1"/>
  <c r="AO12" i="448"/>
  <c r="AL12" i="448"/>
  <c r="AK12" i="448"/>
  <c r="AH12" i="448"/>
  <c r="AG12" i="448"/>
  <c r="Z12" i="448"/>
  <c r="P12" i="448"/>
  <c r="AO11" i="448"/>
  <c r="AL11" i="448"/>
  <c r="AK11" i="448"/>
  <c r="AH11" i="448"/>
  <c r="AG11" i="448"/>
  <c r="AN11" i="448" s="1"/>
  <c r="Z11" i="448"/>
  <c r="P11" i="448"/>
  <c r="BL10" i="448"/>
  <c r="AO10" i="448"/>
  <c r="AL10" i="448"/>
  <c r="AK10" i="448"/>
  <c r="AH10" i="448"/>
  <c r="AG10" i="448"/>
  <c r="AN10" i="448" s="1"/>
  <c r="Z10" i="448"/>
  <c r="AL9" i="448"/>
  <c r="AK9" i="448"/>
  <c r="AH9" i="448"/>
  <c r="AG9" i="448"/>
  <c r="Z9" i="448"/>
  <c r="P9" i="448"/>
  <c r="BP8" i="448"/>
  <c r="BP11" i="448" s="1"/>
  <c r="BP15" i="448" s="1"/>
  <c r="BP19" i="448" s="1"/>
  <c r="BP25" i="448" s="1"/>
  <c r="BP32" i="448" s="1"/>
  <c r="BP40" i="448" s="1"/>
  <c r="BL8" i="448"/>
  <c r="BP18" i="448" s="1"/>
  <c r="BP22" i="448" s="1"/>
  <c r="BP28" i="448" s="1"/>
  <c r="BP35" i="448" s="1"/>
  <c r="BP43" i="448" s="1"/>
  <c r="AO8" i="448"/>
  <c r="AL8" i="448"/>
  <c r="AK8" i="448"/>
  <c r="AH8" i="448"/>
  <c r="AG8" i="448"/>
  <c r="Z8" i="448"/>
  <c r="BP7" i="448"/>
  <c r="BP10" i="448" s="1"/>
  <c r="BP14" i="448" s="1"/>
  <c r="BH49" i="448" s="1"/>
  <c r="BP24" i="448" s="1"/>
  <c r="BP31" i="448" s="1"/>
  <c r="BP39" i="448" s="1"/>
  <c r="BL14" i="448" s="1"/>
  <c r="BL7" i="448"/>
  <c r="BP13" i="448" s="1"/>
  <c r="BP17" i="448" s="1"/>
  <c r="BP21" i="448" s="1"/>
  <c r="BP27" i="448" s="1"/>
  <c r="BP34" i="448" s="1"/>
  <c r="BP42" i="448" s="1"/>
  <c r="AL7" i="448"/>
  <c r="AK7" i="448"/>
  <c r="AH7" i="448"/>
  <c r="AG7" i="448"/>
  <c r="Z7" i="448"/>
  <c r="P7" i="448"/>
  <c r="BP6" i="448"/>
  <c r="BL6" i="448"/>
  <c r="BP9" i="448" s="1"/>
  <c r="BP12" i="448" s="1"/>
  <c r="BP16" i="448" s="1"/>
  <c r="BP20" i="448" s="1"/>
  <c r="BP26" i="448" s="1"/>
  <c r="BP33" i="448" s="1"/>
  <c r="BP41" i="448" s="1"/>
  <c r="AO6" i="448"/>
  <c r="AL6" i="448"/>
  <c r="AK6" i="448"/>
  <c r="AH6" i="448"/>
  <c r="AG6" i="448"/>
  <c r="Z6" i="448"/>
  <c r="BP5" i="448"/>
  <c r="AO5" i="448"/>
  <c r="AL5" i="448"/>
  <c r="AK5" i="448"/>
  <c r="AH5" i="448"/>
  <c r="AG5" i="448"/>
  <c r="Z5" i="448"/>
  <c r="P5" i="448"/>
  <c r="AM3" i="448"/>
  <c r="K3" i="448"/>
  <c r="G3" i="448"/>
  <c r="D3" i="448"/>
  <c r="K2" i="448"/>
  <c r="G2" i="448"/>
  <c r="K1" i="448"/>
  <c r="G1" i="448"/>
  <c r="AG13" i="448" l="1"/>
  <c r="AN13" i="448" s="1"/>
  <c r="AK14" i="448"/>
  <c r="AG15" i="448"/>
  <c r="AN15" i="448" s="1"/>
  <c r="AN5" i="448"/>
  <c r="AN8" i="448"/>
  <c r="AG16" i="448"/>
  <c r="AN16" i="448" s="1"/>
  <c r="AK15" i="448"/>
  <c r="AN6" i="448"/>
  <c r="AN7" i="448"/>
  <c r="AN18" i="448"/>
  <c r="AN19" i="448"/>
  <c r="AN9" i="448"/>
  <c r="B31" i="448"/>
  <c r="W25" i="448" s="1"/>
  <c r="C31" i="448"/>
  <c r="W39" i="448" s="1"/>
  <c r="AK13" i="448"/>
  <c r="AN12" i="448"/>
  <c r="B23" i="448"/>
  <c r="BF29" i="448"/>
  <c r="BF31" i="448"/>
  <c r="P18" i="448"/>
  <c r="AK15" i="446"/>
  <c r="AG15" i="446"/>
  <c r="AK14" i="446"/>
  <c r="AG14" i="446"/>
  <c r="T42" i="448" l="1"/>
  <c r="T39" i="448"/>
  <c r="T46" i="448"/>
  <c r="T43" i="448"/>
  <c r="T45" i="448"/>
  <c r="AN3" i="448"/>
  <c r="AI5" i="448" s="1"/>
  <c r="T41" i="448"/>
  <c r="T48" i="448"/>
  <c r="B34" i="448"/>
  <c r="T47" i="448"/>
  <c r="T40" i="448"/>
  <c r="B24" i="448"/>
  <c r="T44" i="448"/>
  <c r="T49" i="448"/>
  <c r="C23" i="448"/>
  <c r="AL14" i="446"/>
  <c r="AH14" i="446"/>
  <c r="AI10" i="448" l="1"/>
  <c r="AI11" i="448"/>
  <c r="AI16" i="448"/>
  <c r="AI7" i="448"/>
  <c r="O7" i="448" s="1"/>
  <c r="Q7" i="448" s="1"/>
  <c r="R7" i="448" s="1"/>
  <c r="AI6" i="448"/>
  <c r="AI15" i="448"/>
  <c r="AI12" i="448"/>
  <c r="Y12" i="448" s="1"/>
  <c r="AA12" i="448" s="1"/>
  <c r="AB12" i="448" s="1"/>
  <c r="AI14" i="448"/>
  <c r="O14" i="448" s="1"/>
  <c r="Q14" i="448" s="1"/>
  <c r="R14" i="448" s="1"/>
  <c r="AI18" i="448"/>
  <c r="AI9" i="448"/>
  <c r="O9" i="448" s="1"/>
  <c r="Q9" i="448" s="1"/>
  <c r="R9" i="448" s="1"/>
  <c r="AI17" i="448"/>
  <c r="Y17" i="448" s="1"/>
  <c r="AA17" i="448" s="1"/>
  <c r="AB17" i="448" s="1"/>
  <c r="AI19" i="448"/>
  <c r="O19" i="448" s="1"/>
  <c r="Q19" i="448" s="1"/>
  <c r="R19" i="448" s="1"/>
  <c r="AI8" i="448"/>
  <c r="O8" i="448" s="1"/>
  <c r="Q8" i="448" s="1"/>
  <c r="R8" i="448" s="1"/>
  <c r="AI13" i="448"/>
  <c r="Y16" i="448"/>
  <c r="AA16" i="448" s="1"/>
  <c r="AB16" i="448" s="1"/>
  <c r="O16" i="448"/>
  <c r="Q16" i="448" s="1"/>
  <c r="R16" i="448" s="1"/>
  <c r="O5" i="448"/>
  <c r="Q5" i="448" s="1"/>
  <c r="R5" i="448" s="1"/>
  <c r="Y5" i="448"/>
  <c r="AA5" i="448" s="1"/>
  <c r="AB5" i="448" s="1"/>
  <c r="T37" i="448"/>
  <c r="Y18" i="448"/>
  <c r="AA18" i="448" s="1"/>
  <c r="AB18" i="448" s="1"/>
  <c r="O18" i="448"/>
  <c r="Q18" i="448" s="1"/>
  <c r="R18" i="448" s="1"/>
  <c r="C34" i="448"/>
  <c r="T32" i="448"/>
  <c r="T26" i="448"/>
  <c r="C24" i="448"/>
  <c r="T28" i="448"/>
  <c r="T25" i="448"/>
  <c r="T27" i="448"/>
  <c r="T29" i="448"/>
  <c r="T34" i="448"/>
  <c r="T30" i="448"/>
  <c r="T35" i="448"/>
  <c r="T33" i="448"/>
  <c r="T31" i="448"/>
  <c r="N30" i="448"/>
  <c r="P30" i="448" s="1"/>
  <c r="R35" i="448" s="1"/>
  <c r="N26" i="448"/>
  <c r="N28" i="448"/>
  <c r="P28" i="448" s="1"/>
  <c r="N25" i="448"/>
  <c r="N29" i="448"/>
  <c r="P29" i="448" s="1"/>
  <c r="R34" i="448" s="1"/>
  <c r="N27" i="448"/>
  <c r="P27" i="448" s="1"/>
  <c r="O10" i="448"/>
  <c r="Q10" i="448" s="1"/>
  <c r="R10" i="448" s="1"/>
  <c r="Y10" i="448"/>
  <c r="AA10" i="448" s="1"/>
  <c r="AB10" i="448" s="1"/>
  <c r="Y9" i="448"/>
  <c r="AA9" i="448" s="1"/>
  <c r="AB9" i="448" s="1"/>
  <c r="O15" i="448"/>
  <c r="Q15" i="448" s="1"/>
  <c r="R15" i="448" s="1"/>
  <c r="Y15" i="448"/>
  <c r="AA15" i="448" s="1"/>
  <c r="AB15" i="448" s="1"/>
  <c r="Y6" i="448"/>
  <c r="AA6" i="448" s="1"/>
  <c r="AB6" i="448" s="1"/>
  <c r="O6" i="448"/>
  <c r="Q6" i="448" s="1"/>
  <c r="R6" i="448" s="1"/>
  <c r="Y11" i="448"/>
  <c r="AA11" i="448" s="1"/>
  <c r="AB11" i="448" s="1"/>
  <c r="O11" i="448"/>
  <c r="Q11" i="448" s="1"/>
  <c r="R11" i="448" s="1"/>
  <c r="Y8" i="448"/>
  <c r="AA8" i="448" s="1"/>
  <c r="AB8" i="448" s="1"/>
  <c r="Z19" i="446"/>
  <c r="P19" i="446"/>
  <c r="Z18" i="446"/>
  <c r="P18" i="446"/>
  <c r="Z17" i="446"/>
  <c r="P17" i="446"/>
  <c r="Z15" i="446"/>
  <c r="P15" i="446"/>
  <c r="Z14" i="446"/>
  <c r="Z13" i="446"/>
  <c r="Z12" i="446"/>
  <c r="Z11" i="446"/>
  <c r="Z10" i="446"/>
  <c r="Z9" i="446"/>
  <c r="Z8" i="446"/>
  <c r="Z7" i="446"/>
  <c r="Z6" i="446"/>
  <c r="Z5" i="446"/>
  <c r="P14" i="446"/>
  <c r="P13" i="446"/>
  <c r="P12" i="446"/>
  <c r="P11" i="446"/>
  <c r="P10" i="446"/>
  <c r="P9" i="446"/>
  <c r="P8" i="446"/>
  <c r="P7" i="446"/>
  <c r="P6" i="446"/>
  <c r="P5" i="446"/>
  <c r="AL19" i="446"/>
  <c r="AH19" i="446"/>
  <c r="AL18" i="446"/>
  <c r="AH18" i="446"/>
  <c r="AL17" i="446"/>
  <c r="AH17" i="446"/>
  <c r="AL12" i="446"/>
  <c r="AH12" i="446"/>
  <c r="AL11" i="446"/>
  <c r="AL10" i="446"/>
  <c r="AH11" i="446"/>
  <c r="AH10" i="446"/>
  <c r="AL9" i="446"/>
  <c r="AK9" i="446"/>
  <c r="AL7" i="446"/>
  <c r="AK7" i="446"/>
  <c r="AH7" i="446"/>
  <c r="AG7" i="446"/>
  <c r="AH9" i="446"/>
  <c r="AL8" i="446"/>
  <c r="AH8" i="446"/>
  <c r="AL6" i="446"/>
  <c r="AH6" i="446"/>
  <c r="AL5" i="446"/>
  <c r="AH5" i="446"/>
  <c r="AK18" i="446"/>
  <c r="AG18" i="446"/>
  <c r="AK17" i="446"/>
  <c r="AG17" i="446"/>
  <c r="AO19" i="446"/>
  <c r="AO18" i="446"/>
  <c r="AO17" i="446"/>
  <c r="AO12" i="446"/>
  <c r="AO11" i="446"/>
  <c r="AO10" i="446"/>
  <c r="AO8" i="446"/>
  <c r="AO6" i="446"/>
  <c r="AO5" i="446"/>
  <c r="Y19" i="448" l="1"/>
  <c r="AA19" i="448" s="1"/>
  <c r="AB19" i="448" s="1"/>
  <c r="Y14" i="448"/>
  <c r="AA14" i="448" s="1"/>
  <c r="AB14" i="448" s="1"/>
  <c r="AC14" i="448" s="1"/>
  <c r="Y7" i="448"/>
  <c r="AA7" i="448" s="1"/>
  <c r="AB7" i="448" s="1"/>
  <c r="AC7" i="448" s="1"/>
  <c r="O12" i="448"/>
  <c r="Q12" i="448" s="1"/>
  <c r="R12" i="448" s="1"/>
  <c r="S12" i="448" s="1"/>
  <c r="O17" i="448"/>
  <c r="Q17" i="448" s="1"/>
  <c r="R17" i="448" s="1"/>
  <c r="S17" i="448" s="1"/>
  <c r="AI3" i="448"/>
  <c r="R33" i="448"/>
  <c r="O13" i="448"/>
  <c r="Q13" i="448" s="1"/>
  <c r="R13" i="448" s="1"/>
  <c r="S13" i="448" s="1"/>
  <c r="Y13" i="448"/>
  <c r="AA13" i="448" s="1"/>
  <c r="AB13" i="448" s="1"/>
  <c r="AC13" i="448" s="1"/>
  <c r="S7" i="448"/>
  <c r="S9" i="448"/>
  <c r="AC12" i="448"/>
  <c r="AC6" i="448"/>
  <c r="AC9" i="448"/>
  <c r="S10" i="448"/>
  <c r="R32" i="448"/>
  <c r="P26" i="448"/>
  <c r="R31" i="448" s="1"/>
  <c r="AC18" i="448"/>
  <c r="AC5" i="448"/>
  <c r="S16" i="448"/>
  <c r="S15" i="448"/>
  <c r="S18" i="448"/>
  <c r="S8" i="448"/>
  <c r="S11" i="448"/>
  <c r="S14" i="448"/>
  <c r="AC19" i="448"/>
  <c r="T23" i="448"/>
  <c r="AC16" i="448"/>
  <c r="S6" i="448"/>
  <c r="AC10" i="448"/>
  <c r="N43" i="448"/>
  <c r="P43" i="448" s="1"/>
  <c r="N41" i="448"/>
  <c r="P41" i="448" s="1"/>
  <c r="N44" i="448"/>
  <c r="P44" i="448" s="1"/>
  <c r="N40" i="448"/>
  <c r="P40" i="448" s="1"/>
  <c r="N42" i="448"/>
  <c r="P42" i="448" s="1"/>
  <c r="N39" i="448"/>
  <c r="AC17" i="448"/>
  <c r="AC8" i="448"/>
  <c r="AC11" i="448"/>
  <c r="AC15" i="448"/>
  <c r="S19" i="448"/>
  <c r="P25" i="448"/>
  <c r="R26" i="448" s="1"/>
  <c r="N23" i="448"/>
  <c r="S5" i="448"/>
  <c r="AK12" i="446"/>
  <c r="AG12" i="446"/>
  <c r="AN17" i="446"/>
  <c r="AN18" i="446"/>
  <c r="AM3" i="446"/>
  <c r="BF48" i="446"/>
  <c r="BF47" i="446"/>
  <c r="BF46" i="446"/>
  <c r="BE45" i="446"/>
  <c r="BE44" i="446"/>
  <c r="BF45" i="446" s="1"/>
  <c r="BD44" i="446"/>
  <c r="BE43" i="446"/>
  <c r="BD43" i="446"/>
  <c r="BC43" i="446"/>
  <c r="BF42" i="446"/>
  <c r="BE42" i="446"/>
  <c r="BF43" i="446" s="1"/>
  <c r="BD42" i="446"/>
  <c r="BC42" i="446"/>
  <c r="BF41" i="446"/>
  <c r="BE41" i="446"/>
  <c r="BD41" i="446"/>
  <c r="BC41" i="446"/>
  <c r="BF40" i="446"/>
  <c r="BE40" i="446"/>
  <c r="BD40" i="446"/>
  <c r="BC40" i="446"/>
  <c r="BC39" i="446"/>
  <c r="AS38" i="446"/>
  <c r="AR38" i="446"/>
  <c r="AQ38" i="446"/>
  <c r="AP38" i="446"/>
  <c r="AO38" i="446"/>
  <c r="AN38" i="446"/>
  <c r="AM38" i="446"/>
  <c r="AL38" i="446"/>
  <c r="AK38" i="446"/>
  <c r="AJ38" i="446"/>
  <c r="AI38" i="446"/>
  <c r="AH38" i="446"/>
  <c r="AG38" i="446"/>
  <c r="AF38" i="446"/>
  <c r="AE38" i="446"/>
  <c r="AD38" i="446"/>
  <c r="AC38" i="446"/>
  <c r="AB38" i="446"/>
  <c r="AA38" i="446"/>
  <c r="Z38" i="446"/>
  <c r="Y38" i="446"/>
  <c r="X38" i="446"/>
  <c r="W38" i="446"/>
  <c r="V38" i="446"/>
  <c r="U38" i="446"/>
  <c r="T38" i="446"/>
  <c r="S38" i="446"/>
  <c r="R38" i="446"/>
  <c r="Q38" i="446"/>
  <c r="P38" i="446"/>
  <c r="O38" i="446"/>
  <c r="N38" i="446"/>
  <c r="M38" i="446"/>
  <c r="L38" i="446"/>
  <c r="K38" i="446"/>
  <c r="J38" i="446"/>
  <c r="I38" i="446"/>
  <c r="H38" i="446"/>
  <c r="G38" i="446"/>
  <c r="BH36" i="446"/>
  <c r="BH42" i="446" s="1"/>
  <c r="BH47" i="446" s="1"/>
  <c r="BH52" i="446" s="1"/>
  <c r="BH55" i="446" s="1"/>
  <c r="BH57" i="446" s="1"/>
  <c r="BL13" i="446" s="1"/>
  <c r="BF34" i="446"/>
  <c r="BH33" i="446"/>
  <c r="BH39" i="446" s="1"/>
  <c r="BH44" i="446" s="1"/>
  <c r="BL10" i="446" s="1"/>
  <c r="BP30" i="446" s="1"/>
  <c r="BP37" i="446" s="1"/>
  <c r="BP45" i="446" s="1"/>
  <c r="BF33" i="446"/>
  <c r="C33" i="446"/>
  <c r="B33" i="446"/>
  <c r="C32" i="446"/>
  <c r="B32" i="446"/>
  <c r="BE31" i="446"/>
  <c r="BF32" i="446" s="1"/>
  <c r="BH30" i="446"/>
  <c r="BH37" i="446" s="1"/>
  <c r="BH43" i="446" s="1"/>
  <c r="BH48" i="446" s="1"/>
  <c r="BH53" i="446" s="1"/>
  <c r="BH56" i="446" s="1"/>
  <c r="BH58" i="446" s="1"/>
  <c r="BH59" i="446" s="1"/>
  <c r="BE30" i="446"/>
  <c r="BD30" i="446"/>
  <c r="E30" i="446"/>
  <c r="D30" i="446"/>
  <c r="BH29" i="446"/>
  <c r="BE29" i="446"/>
  <c r="BF30" i="446" s="1"/>
  <c r="BD29" i="446"/>
  <c r="BC29" i="446"/>
  <c r="C29" i="446"/>
  <c r="B29" i="446"/>
  <c r="BH28" i="446"/>
  <c r="BH35" i="446" s="1"/>
  <c r="BH41" i="446" s="1"/>
  <c r="BH46" i="446" s="1"/>
  <c r="BH51" i="446" s="1"/>
  <c r="BH54" i="446" s="1"/>
  <c r="BL12" i="446" s="1"/>
  <c r="BP47" i="446" s="1"/>
  <c r="BE28" i="446"/>
  <c r="BF29" i="446" s="1"/>
  <c r="BD28" i="446"/>
  <c r="BC28" i="446"/>
  <c r="BH27" i="446"/>
  <c r="BH34" i="446" s="1"/>
  <c r="BH40" i="446" s="1"/>
  <c r="BH45" i="446" s="1"/>
  <c r="BH50" i="446" s="1"/>
  <c r="BL11" i="446" s="1"/>
  <c r="BP38" i="446" s="1"/>
  <c r="BP46" i="446" s="1"/>
  <c r="BF27" i="446"/>
  <c r="BE27" i="446"/>
  <c r="BF28" i="446" s="1"/>
  <c r="BD27" i="446"/>
  <c r="BC27" i="446"/>
  <c r="C27" i="446"/>
  <c r="B27" i="446"/>
  <c r="BH26" i="446"/>
  <c r="BF26" i="446"/>
  <c r="BE26" i="446"/>
  <c r="BD26" i="446"/>
  <c r="BC26" i="446"/>
  <c r="E26" i="446"/>
  <c r="E27" i="446" s="1"/>
  <c r="D26" i="446"/>
  <c r="D27" i="446" s="1"/>
  <c r="C26" i="446"/>
  <c r="B26" i="446"/>
  <c r="BH25" i="446"/>
  <c r="BH32" i="446" s="1"/>
  <c r="BH38" i="446" s="1"/>
  <c r="BC25" i="446"/>
  <c r="E25" i="446"/>
  <c r="D25" i="446"/>
  <c r="C25" i="446"/>
  <c r="B25" i="446"/>
  <c r="BH24" i="446"/>
  <c r="BH31" i="446" s="1"/>
  <c r="BH23" i="446"/>
  <c r="BL7" i="446" s="1"/>
  <c r="BP13" i="446" s="1"/>
  <c r="BP17" i="446" s="1"/>
  <c r="BP21" i="446" s="1"/>
  <c r="BP27" i="446" s="1"/>
  <c r="BP34" i="446" s="1"/>
  <c r="BP42" i="446" s="1"/>
  <c r="B22" i="446"/>
  <c r="B20" i="446"/>
  <c r="B21" i="446" s="1"/>
  <c r="AK19" i="446"/>
  <c r="AG19" i="446"/>
  <c r="C16" i="446"/>
  <c r="B16" i="446"/>
  <c r="AK11" i="446"/>
  <c r="AG11" i="446"/>
  <c r="AK10" i="446"/>
  <c r="AG10" i="446"/>
  <c r="BL9" i="446"/>
  <c r="BP23" i="446" s="1"/>
  <c r="BP29" i="446" s="1"/>
  <c r="BP36" i="446" s="1"/>
  <c r="BP44" i="446" s="1"/>
  <c r="AG9" i="446"/>
  <c r="BL8" i="446"/>
  <c r="BP18" i="446" s="1"/>
  <c r="BP22" i="446" s="1"/>
  <c r="BP28" i="446" s="1"/>
  <c r="BP35" i="446" s="1"/>
  <c r="BP43" i="446" s="1"/>
  <c r="AK8" i="446"/>
  <c r="AG8" i="446"/>
  <c r="BP6" i="446"/>
  <c r="BP8" i="446" s="1"/>
  <c r="BP11" i="446" s="1"/>
  <c r="BP15" i="446" s="1"/>
  <c r="BP19" i="446" s="1"/>
  <c r="BP25" i="446" s="1"/>
  <c r="BP32" i="446" s="1"/>
  <c r="BP40" i="446" s="1"/>
  <c r="BL6" i="446"/>
  <c r="BP9" i="446" s="1"/>
  <c r="BP12" i="446" s="1"/>
  <c r="BP16" i="446" s="1"/>
  <c r="BP20" i="446" s="1"/>
  <c r="BP26" i="446" s="1"/>
  <c r="BP33" i="446" s="1"/>
  <c r="BP41" i="446" s="1"/>
  <c r="AK6" i="446"/>
  <c r="AG6" i="446"/>
  <c r="AN6" i="446" s="1"/>
  <c r="BP5" i="446"/>
  <c r="BP7" i="446" s="1"/>
  <c r="BP10" i="446" s="1"/>
  <c r="BP14" i="446" s="1"/>
  <c r="BH49" i="446" s="1"/>
  <c r="BP24" i="446" s="1"/>
  <c r="BP31" i="446" s="1"/>
  <c r="BP39" i="446" s="1"/>
  <c r="BL14" i="446" s="1"/>
  <c r="AK5" i="446"/>
  <c r="AG5" i="446"/>
  <c r="K3" i="446"/>
  <c r="G3" i="446"/>
  <c r="D3" i="446"/>
  <c r="K2" i="446"/>
  <c r="G2" i="446"/>
  <c r="K1" i="446"/>
  <c r="G1" i="446"/>
  <c r="U6" i="448" l="1"/>
  <c r="U7" i="448"/>
  <c r="U17" i="448"/>
  <c r="T19" i="448"/>
  <c r="AE17" i="448"/>
  <c r="AE14" i="448"/>
  <c r="U16" i="448"/>
  <c r="U12" i="448"/>
  <c r="T15" i="448"/>
  <c r="AD7" i="448"/>
  <c r="AE11" i="448"/>
  <c r="AE16" i="448"/>
  <c r="U15" i="448"/>
  <c r="U11" i="448"/>
  <c r="AE5" i="448"/>
  <c r="AE15" i="448"/>
  <c r="U10" i="448"/>
  <c r="AE12" i="448"/>
  <c r="AE10" i="448"/>
  <c r="AD12" i="448"/>
  <c r="S20" i="448"/>
  <c r="T13" i="448"/>
  <c r="T12" i="448"/>
  <c r="AD15" i="448"/>
  <c r="AE8" i="448"/>
  <c r="P39" i="448"/>
  <c r="N37" i="448"/>
  <c r="R41" i="448"/>
  <c r="U13" i="448"/>
  <c r="AD19" i="448"/>
  <c r="T14" i="448"/>
  <c r="T18" i="448"/>
  <c r="AD5" i="448"/>
  <c r="AD18" i="448"/>
  <c r="AD14" i="448"/>
  <c r="AE6" i="448"/>
  <c r="T7" i="448"/>
  <c r="R47" i="448"/>
  <c r="R44" i="448"/>
  <c r="R49" i="448"/>
  <c r="R46" i="448"/>
  <c r="R45" i="448"/>
  <c r="R48" i="448"/>
  <c r="AE7" i="448"/>
  <c r="T9" i="448"/>
  <c r="U5" i="448"/>
  <c r="R29" i="448"/>
  <c r="R27" i="448"/>
  <c r="V27" i="448" s="1"/>
  <c r="P23" i="448"/>
  <c r="R30" i="448"/>
  <c r="R25" i="448"/>
  <c r="R28" i="448"/>
  <c r="V28" i="448" s="1"/>
  <c r="AD11" i="448"/>
  <c r="R42" i="448"/>
  <c r="R43" i="448"/>
  <c r="AD10" i="448"/>
  <c r="AD16" i="448"/>
  <c r="T11" i="448"/>
  <c r="U8" i="448"/>
  <c r="U18" i="448"/>
  <c r="AC20" i="448"/>
  <c r="AD13" i="448"/>
  <c r="AE18" i="448"/>
  <c r="AD9" i="448"/>
  <c r="AD6" i="448"/>
  <c r="T17" i="448"/>
  <c r="T5" i="448"/>
  <c r="AD8" i="448"/>
  <c r="AD17" i="448"/>
  <c r="R40" i="448"/>
  <c r="T6" i="448"/>
  <c r="U14" i="448"/>
  <c r="T8" i="448"/>
  <c r="T16" i="448"/>
  <c r="T10" i="448"/>
  <c r="AE9" i="448"/>
  <c r="AE13" i="448"/>
  <c r="U9" i="448"/>
  <c r="D23" i="446"/>
  <c r="C22" i="446"/>
  <c r="AN15" i="446"/>
  <c r="AG13" i="446"/>
  <c r="AN13" i="446" s="1"/>
  <c r="AK16" i="446"/>
  <c r="AN14" i="446"/>
  <c r="AN8" i="446"/>
  <c r="AN19" i="446"/>
  <c r="AN12" i="446"/>
  <c r="AN5" i="446"/>
  <c r="AN11" i="446"/>
  <c r="AN10" i="446"/>
  <c r="AN9" i="446"/>
  <c r="AN7" i="446"/>
  <c r="E23" i="446"/>
  <c r="B23" i="446"/>
  <c r="B34" i="446" s="1"/>
  <c r="C31" i="446"/>
  <c r="W39" i="446" s="1"/>
  <c r="BF31" i="446"/>
  <c r="B31" i="446"/>
  <c r="BF44" i="446"/>
  <c r="AE20" i="448" l="1"/>
  <c r="L41" i="448" s="1"/>
  <c r="T20" i="448"/>
  <c r="L26" i="448" s="1"/>
  <c r="R23" i="448"/>
  <c r="V25" i="448"/>
  <c r="V33" i="448"/>
  <c r="V34" i="448"/>
  <c r="V32" i="448"/>
  <c r="V29" i="448"/>
  <c r="V30" i="448"/>
  <c r="V31" i="448"/>
  <c r="U20" i="448"/>
  <c r="L27" i="448" s="1"/>
  <c r="R39" i="448"/>
  <c r="V40" i="448" s="1"/>
  <c r="P37" i="448"/>
  <c r="V26" i="448"/>
  <c r="AE27" i="448"/>
  <c r="AE25" i="448"/>
  <c r="AE28" i="448"/>
  <c r="AE26" i="448"/>
  <c r="AC27" i="448"/>
  <c r="AC25" i="448"/>
  <c r="AC26" i="448"/>
  <c r="L39" i="448"/>
  <c r="AD20" i="448"/>
  <c r="L40" i="448" s="1"/>
  <c r="L25" i="448"/>
  <c r="C23" i="446"/>
  <c r="T27" i="446" s="1"/>
  <c r="AK13" i="446"/>
  <c r="AG16" i="446"/>
  <c r="AN16" i="446" s="1"/>
  <c r="AN3" i="446" s="1"/>
  <c r="B24" i="446"/>
  <c r="N30" i="446" s="1"/>
  <c r="P30" i="446" s="1"/>
  <c r="R35" i="446" s="1"/>
  <c r="T44" i="446"/>
  <c r="T49" i="446"/>
  <c r="T39" i="446"/>
  <c r="T41" i="446"/>
  <c r="T48" i="446"/>
  <c r="T42" i="446"/>
  <c r="T43" i="446"/>
  <c r="T46" i="446"/>
  <c r="T47" i="446"/>
  <c r="T45" i="446"/>
  <c r="W25" i="446"/>
  <c r="T40" i="446"/>
  <c r="N29" i="446"/>
  <c r="P29" i="446" s="1"/>
  <c r="N26" i="446"/>
  <c r="N25" i="446"/>
  <c r="N27" i="446"/>
  <c r="P27" i="446" s="1"/>
  <c r="AF20" i="448" l="1"/>
  <c r="L42" i="448" s="1"/>
  <c r="V20" i="448"/>
  <c r="L28" i="448" s="1"/>
  <c r="L23" i="448" s="1"/>
  <c r="AC23" i="448"/>
  <c r="AE23" i="448"/>
  <c r="R37" i="448"/>
  <c r="V39" i="448"/>
  <c r="V46" i="448"/>
  <c r="V43" i="448"/>
  <c r="V48" i="448"/>
  <c r="V45" i="448"/>
  <c r="V44" i="448"/>
  <c r="V47" i="448"/>
  <c r="V41" i="448"/>
  <c r="AM32" i="448"/>
  <c r="AM27" i="448"/>
  <c r="AM25" i="448"/>
  <c r="AM29" i="448"/>
  <c r="AM26" i="448"/>
  <c r="AM30" i="448"/>
  <c r="AM28" i="448"/>
  <c r="AM31" i="448"/>
  <c r="V23" i="448"/>
  <c r="V35" i="448" s="1"/>
  <c r="V22" i="448" s="1"/>
  <c r="Y25" i="448"/>
  <c r="AG28" i="448"/>
  <c r="AG27" i="448"/>
  <c r="AG25" i="448"/>
  <c r="AG29" i="448"/>
  <c r="AG26" i="448"/>
  <c r="AK29" i="448"/>
  <c r="AK25" i="448"/>
  <c r="AK26" i="448"/>
  <c r="AK30" i="448"/>
  <c r="AK28" i="448"/>
  <c r="AK31" i="448"/>
  <c r="AK27" i="448"/>
  <c r="AQ32" i="448"/>
  <c r="AQ34" i="448"/>
  <c r="AQ33" i="448"/>
  <c r="AQ29" i="448"/>
  <c r="AQ27" i="448"/>
  <c r="AQ31" i="448"/>
  <c r="AQ30" i="448"/>
  <c r="AQ25" i="448"/>
  <c r="AQ26" i="448"/>
  <c r="AQ28" i="448"/>
  <c r="AA40" i="448"/>
  <c r="AA39" i="448"/>
  <c r="L37" i="448"/>
  <c r="AA25" i="448"/>
  <c r="AA26" i="448"/>
  <c r="V42" i="448"/>
  <c r="AI30" i="448"/>
  <c r="AI28" i="448"/>
  <c r="AI26" i="448"/>
  <c r="AI29" i="448"/>
  <c r="AI25" i="448"/>
  <c r="AI27" i="448"/>
  <c r="AO30" i="448"/>
  <c r="AO33" i="448"/>
  <c r="AO31" i="448"/>
  <c r="AO25" i="448"/>
  <c r="AO26" i="448"/>
  <c r="AO32" i="448"/>
  <c r="AO27" i="448"/>
  <c r="AO28" i="448"/>
  <c r="AO29" i="448"/>
  <c r="N28" i="446"/>
  <c r="P28" i="446" s="1"/>
  <c r="T25" i="446"/>
  <c r="T29" i="446"/>
  <c r="T35" i="446"/>
  <c r="C34" i="446"/>
  <c r="T28" i="446"/>
  <c r="T31" i="446"/>
  <c r="T32" i="446"/>
  <c r="T33" i="446"/>
  <c r="T26" i="446"/>
  <c r="T30" i="446"/>
  <c r="T34" i="446"/>
  <c r="C24" i="446"/>
  <c r="N44" i="446" s="1"/>
  <c r="P44" i="446" s="1"/>
  <c r="AI7" i="446"/>
  <c r="AI11" i="446"/>
  <c r="AI15" i="446"/>
  <c r="AI19" i="446"/>
  <c r="AI6" i="446"/>
  <c r="AI18" i="446"/>
  <c r="AI8" i="446"/>
  <c r="AI12" i="446"/>
  <c r="AI16" i="446"/>
  <c r="AI5" i="446"/>
  <c r="AI14" i="446"/>
  <c r="AI9" i="446"/>
  <c r="AI17" i="446"/>
  <c r="AI10" i="446"/>
  <c r="AI13" i="446"/>
  <c r="R32" i="446"/>
  <c r="R34" i="446"/>
  <c r="T37" i="446"/>
  <c r="P26" i="446"/>
  <c r="R31" i="446" s="1"/>
  <c r="R33" i="446"/>
  <c r="P25" i="446"/>
  <c r="N23" i="446"/>
  <c r="O5" i="436"/>
  <c r="O6" i="436"/>
  <c r="O8" i="436"/>
  <c r="O9" i="436"/>
  <c r="O10" i="436"/>
  <c r="O11" i="436"/>
  <c r="O19" i="436"/>
  <c r="Y5" i="436"/>
  <c r="Y6" i="436"/>
  <c r="Y8" i="436"/>
  <c r="Y9" i="436"/>
  <c r="Y10" i="436"/>
  <c r="Y11" i="436"/>
  <c r="Y19" i="436"/>
  <c r="AE41" i="448" l="1"/>
  <c r="AE39" i="448"/>
  <c r="AE40" i="448"/>
  <c r="AE42" i="448"/>
  <c r="AK45" i="448"/>
  <c r="AK44" i="448"/>
  <c r="AK43" i="448"/>
  <c r="AK41" i="448"/>
  <c r="AK40" i="448"/>
  <c r="AK42" i="448"/>
  <c r="AK39" i="448"/>
  <c r="AK23" i="448"/>
  <c r="Y23" i="448"/>
  <c r="AM23" i="448"/>
  <c r="AQ39" i="448"/>
  <c r="AQ46" i="448"/>
  <c r="AQ47" i="448"/>
  <c r="AQ43" i="448"/>
  <c r="AQ45" i="448"/>
  <c r="AQ42" i="448"/>
  <c r="AQ41" i="448"/>
  <c r="AQ48" i="448"/>
  <c r="AQ44" i="448"/>
  <c r="AQ40" i="448"/>
  <c r="AQ23" i="448"/>
  <c r="AO23" i="448"/>
  <c r="AA23" i="448"/>
  <c r="AG23" i="448"/>
  <c r="AO41" i="448"/>
  <c r="AO46" i="448"/>
  <c r="AO45" i="448"/>
  <c r="AO39" i="448"/>
  <c r="AO40" i="448"/>
  <c r="AO43" i="448"/>
  <c r="AO47" i="448"/>
  <c r="AO42" i="448"/>
  <c r="AO44" i="448"/>
  <c r="AG42" i="448"/>
  <c r="AG41" i="448"/>
  <c r="AG43" i="448"/>
  <c r="AG39" i="448"/>
  <c r="AG40" i="448"/>
  <c r="AC40" i="448"/>
  <c r="AC41" i="448"/>
  <c r="AC39" i="448"/>
  <c r="Y39" i="448"/>
  <c r="V37" i="448"/>
  <c r="V49" i="448" s="1"/>
  <c r="V36" i="448" s="1"/>
  <c r="AI23" i="448"/>
  <c r="AA37" i="448"/>
  <c r="AS33" i="448"/>
  <c r="J33" i="448" s="1"/>
  <c r="AS28" i="448"/>
  <c r="J28" i="448" s="1"/>
  <c r="AS30" i="448"/>
  <c r="J30" i="448" s="1"/>
  <c r="AS25" i="448"/>
  <c r="AS26" i="448"/>
  <c r="J26" i="448" s="1"/>
  <c r="AS32" i="448"/>
  <c r="J32" i="448" s="1"/>
  <c r="AS31" i="448"/>
  <c r="J31" i="448" s="1"/>
  <c r="AS29" i="448"/>
  <c r="J29" i="448" s="1"/>
  <c r="AS34" i="448"/>
  <c r="J34" i="448" s="1"/>
  <c r="AS35" i="448"/>
  <c r="J35" i="448" s="1"/>
  <c r="AS27" i="448"/>
  <c r="J27" i="448" s="1"/>
  <c r="AI41" i="448"/>
  <c r="AI43" i="448"/>
  <c r="AI39" i="448"/>
  <c r="AI40" i="448"/>
  <c r="AI42" i="448"/>
  <c r="AI44" i="448"/>
  <c r="AM43" i="448"/>
  <c r="AM44" i="448"/>
  <c r="AM46" i="448"/>
  <c r="AM45" i="448"/>
  <c r="AM42" i="448"/>
  <c r="AM41" i="448"/>
  <c r="AM40" i="448"/>
  <c r="AM39" i="448"/>
  <c r="N42" i="446"/>
  <c r="P42" i="446" s="1"/>
  <c r="N41" i="446"/>
  <c r="P41" i="446" s="1"/>
  <c r="T23" i="446"/>
  <c r="N40" i="446"/>
  <c r="P40" i="446" s="1"/>
  <c r="N43" i="446"/>
  <c r="P43" i="446" s="1"/>
  <c r="N39" i="446"/>
  <c r="P39" i="446" s="1"/>
  <c r="Y9" i="446"/>
  <c r="AA9" i="446" s="1"/>
  <c r="O9" i="446"/>
  <c r="Q9" i="446" s="1"/>
  <c r="O13" i="446"/>
  <c r="Q13" i="446" s="1"/>
  <c r="Y13" i="446"/>
  <c r="AA13" i="446" s="1"/>
  <c r="O14" i="446"/>
  <c r="Q14" i="446" s="1"/>
  <c r="Y14" i="446"/>
  <c r="AA14" i="446" s="1"/>
  <c r="Y8" i="446"/>
  <c r="AA8" i="446" s="1"/>
  <c r="O8" i="446"/>
  <c r="Q8" i="446" s="1"/>
  <c r="Y15" i="446"/>
  <c r="AA15" i="446" s="1"/>
  <c r="O15" i="446"/>
  <c r="Q15" i="446" s="1"/>
  <c r="O12" i="446"/>
  <c r="Q12" i="446" s="1"/>
  <c r="Y12" i="446"/>
  <c r="AA12" i="446" s="1"/>
  <c r="O10" i="446"/>
  <c r="Q10" i="446" s="1"/>
  <c r="Y10" i="446"/>
  <c r="AA10" i="446" s="1"/>
  <c r="Y5" i="446"/>
  <c r="AA5" i="446" s="1"/>
  <c r="O5" i="446"/>
  <c r="Q5" i="446" s="1"/>
  <c r="Y18" i="446"/>
  <c r="AA18" i="446" s="1"/>
  <c r="O18" i="446"/>
  <c r="Q18" i="446" s="1"/>
  <c r="Y11" i="446"/>
  <c r="AA11" i="446" s="1"/>
  <c r="O11" i="446"/>
  <c r="Q11" i="446" s="1"/>
  <c r="O19" i="446"/>
  <c r="Q19" i="446" s="1"/>
  <c r="Y19" i="446"/>
  <c r="AA19" i="446" s="1"/>
  <c r="O17" i="446"/>
  <c r="Q17" i="446" s="1"/>
  <c r="Y17" i="446"/>
  <c r="AA17" i="446" s="1"/>
  <c r="Y16" i="446"/>
  <c r="AA16" i="446" s="1"/>
  <c r="O16" i="446"/>
  <c r="Q16" i="446" s="1"/>
  <c r="O6" i="446"/>
  <c r="Q6" i="446" s="1"/>
  <c r="Y6" i="446"/>
  <c r="AA6" i="446" s="1"/>
  <c r="Y7" i="446"/>
  <c r="AA7" i="446" s="1"/>
  <c r="O7" i="446"/>
  <c r="Q7" i="446" s="1"/>
  <c r="AI3" i="446"/>
  <c r="R26" i="446"/>
  <c r="N37" i="446"/>
  <c r="R47" i="446"/>
  <c r="R49" i="446"/>
  <c r="R48" i="446"/>
  <c r="R28" i="446"/>
  <c r="R25" i="446"/>
  <c r="R27" i="446"/>
  <c r="R30" i="446"/>
  <c r="R29" i="446"/>
  <c r="P23" i="446"/>
  <c r="H33" i="448" l="1"/>
  <c r="H31" i="448"/>
  <c r="AE37" i="448"/>
  <c r="H29" i="448"/>
  <c r="H30" i="448"/>
  <c r="AS23" i="448"/>
  <c r="AS22" i="448" s="1"/>
  <c r="H34" i="448"/>
  <c r="AI37" i="448"/>
  <c r="Y37" i="448"/>
  <c r="J25" i="448"/>
  <c r="H26" i="448" s="1"/>
  <c r="AM37" i="448"/>
  <c r="H35" i="448"/>
  <c r="AC37" i="448"/>
  <c r="AG37" i="448"/>
  <c r="H32" i="448"/>
  <c r="AS46" i="448"/>
  <c r="J46" i="448" s="1"/>
  <c r="AS43" i="448"/>
  <c r="J43" i="448" s="1"/>
  <c r="AS45" i="448"/>
  <c r="J45" i="448" s="1"/>
  <c r="AS39" i="448"/>
  <c r="J39" i="448" s="1"/>
  <c r="AS40" i="448"/>
  <c r="J40" i="448" s="1"/>
  <c r="AS48" i="448"/>
  <c r="J48" i="448" s="1"/>
  <c r="AS44" i="448"/>
  <c r="J44" i="448" s="1"/>
  <c r="AS47" i="448"/>
  <c r="J47" i="448" s="1"/>
  <c r="AS42" i="448"/>
  <c r="J42" i="448" s="1"/>
  <c r="AS49" i="448"/>
  <c r="J49" i="448" s="1"/>
  <c r="AS41" i="448"/>
  <c r="J41" i="448" s="1"/>
  <c r="AO37" i="448"/>
  <c r="AQ37" i="448"/>
  <c r="AK37" i="448"/>
  <c r="R46" i="446"/>
  <c r="AB7" i="446"/>
  <c r="AC7" i="446" s="1"/>
  <c r="AB18" i="446"/>
  <c r="AC18" i="446" s="1"/>
  <c r="R14" i="446"/>
  <c r="S14" i="446" s="1"/>
  <c r="AB6" i="446"/>
  <c r="AB17" i="446"/>
  <c r="AC17" i="446" s="1"/>
  <c r="R11" i="446"/>
  <c r="R5" i="446"/>
  <c r="S5" i="446" s="1"/>
  <c r="AB12" i="446"/>
  <c r="AC12" i="446" s="1"/>
  <c r="R8" i="446"/>
  <c r="S8" i="446" s="1"/>
  <c r="AB13" i="446"/>
  <c r="AC13" i="446" s="1"/>
  <c r="R19" i="446"/>
  <c r="S19" i="446" s="1"/>
  <c r="AB15" i="446"/>
  <c r="R6" i="446"/>
  <c r="S6" i="446" s="1"/>
  <c r="R17" i="446"/>
  <c r="S17" i="446" s="1"/>
  <c r="AB11" i="446"/>
  <c r="AC11" i="446" s="1"/>
  <c r="AB5" i="446"/>
  <c r="R12" i="446"/>
  <c r="S12" i="446" s="1"/>
  <c r="AB8" i="446"/>
  <c r="AC8" i="446" s="1"/>
  <c r="R13" i="446"/>
  <c r="S13" i="446" s="1"/>
  <c r="AB16" i="446"/>
  <c r="R10" i="446"/>
  <c r="S10" i="446" s="1"/>
  <c r="AB9" i="446"/>
  <c r="R7" i="446"/>
  <c r="S7" i="446" s="1"/>
  <c r="R16" i="446"/>
  <c r="S16" i="446" s="1"/>
  <c r="AB19" i="446"/>
  <c r="AC19" i="446" s="1"/>
  <c r="R18" i="446"/>
  <c r="AB10" i="446"/>
  <c r="AC10" i="446" s="1"/>
  <c r="R15" i="446"/>
  <c r="AB14" i="446"/>
  <c r="AC14" i="446" s="1"/>
  <c r="R9" i="446"/>
  <c r="R45" i="446"/>
  <c r="R44" i="446"/>
  <c r="R23" i="446"/>
  <c r="V25" i="446"/>
  <c r="V33" i="446"/>
  <c r="V31" i="446"/>
  <c r="V32" i="446"/>
  <c r="V34" i="446"/>
  <c r="V30" i="446"/>
  <c r="V29" i="446"/>
  <c r="R39" i="446"/>
  <c r="P37" i="446"/>
  <c r="V28" i="446"/>
  <c r="R41" i="446"/>
  <c r="V26" i="446"/>
  <c r="R43" i="446"/>
  <c r="V27" i="446"/>
  <c r="R42" i="446"/>
  <c r="R40" i="446"/>
  <c r="H40" i="448" l="1"/>
  <c r="BN5" i="448" s="1"/>
  <c r="H41" i="448"/>
  <c r="BJ14" i="448" s="1"/>
  <c r="H44" i="448"/>
  <c r="BR23" i="448" s="1"/>
  <c r="H45" i="448"/>
  <c r="BJ39" i="448" s="1"/>
  <c r="H28" i="448"/>
  <c r="BR20" i="448"/>
  <c r="H48" i="448"/>
  <c r="BJ47" i="448" s="1"/>
  <c r="H43" i="448"/>
  <c r="BN8" i="448" s="1"/>
  <c r="H46" i="448"/>
  <c r="BJ19" i="448" s="1"/>
  <c r="H49" i="448"/>
  <c r="BJ22" i="448" s="1"/>
  <c r="H42" i="448"/>
  <c r="BR13" i="448" s="1"/>
  <c r="J37" i="448"/>
  <c r="H39" i="448"/>
  <c r="BR24" i="448" s="1"/>
  <c r="H27" i="448"/>
  <c r="H47" i="448"/>
  <c r="BR47" i="448" s="1"/>
  <c r="AS37" i="448"/>
  <c r="AS36" i="448" s="1"/>
  <c r="J23" i="448"/>
  <c r="H25" i="448"/>
  <c r="S9" i="446"/>
  <c r="T5" i="446" s="1"/>
  <c r="S15" i="446"/>
  <c r="S18" i="446"/>
  <c r="AC9" i="446"/>
  <c r="AC16" i="446"/>
  <c r="AC5" i="446"/>
  <c r="AC15" i="446"/>
  <c r="S11" i="446"/>
  <c r="AC6" i="446"/>
  <c r="AD5" i="446" s="1"/>
  <c r="V42" i="446"/>
  <c r="AE39" i="446" s="1"/>
  <c r="V40" i="446"/>
  <c r="AA40" i="446" s="1"/>
  <c r="AC27" i="446"/>
  <c r="AC26" i="446"/>
  <c r="AC25" i="446"/>
  <c r="AQ31" i="446"/>
  <c r="AQ26" i="446"/>
  <c r="AQ34" i="446"/>
  <c r="AQ27" i="446"/>
  <c r="AQ29" i="446"/>
  <c r="AQ28" i="446"/>
  <c r="AQ30" i="446"/>
  <c r="AQ33" i="446"/>
  <c r="AQ25" i="446"/>
  <c r="AQ32" i="446"/>
  <c r="AO29" i="446"/>
  <c r="AO33" i="446"/>
  <c r="AO28" i="446"/>
  <c r="AO30" i="446"/>
  <c r="AO31" i="446"/>
  <c r="AO26" i="446"/>
  <c r="AO27" i="446"/>
  <c r="AO32" i="446"/>
  <c r="AO25" i="446"/>
  <c r="AA26" i="446"/>
  <c r="AA25" i="446"/>
  <c r="R37" i="446"/>
  <c r="V39" i="446"/>
  <c r="V46" i="446"/>
  <c r="V45" i="446"/>
  <c r="V43" i="446"/>
  <c r="V47" i="446"/>
  <c r="V44" i="446"/>
  <c r="V48" i="446"/>
  <c r="AM30" i="446"/>
  <c r="AM28" i="446"/>
  <c r="AM32" i="446"/>
  <c r="AM27" i="446"/>
  <c r="AM26" i="446"/>
  <c r="AM29" i="446"/>
  <c r="AM31" i="446"/>
  <c r="AM25" i="446"/>
  <c r="Y25" i="446"/>
  <c r="V23" i="446"/>
  <c r="V35" i="446" s="1"/>
  <c r="V22" i="446" s="1"/>
  <c r="AE27" i="446"/>
  <c r="AE25" i="446"/>
  <c r="AE28" i="446"/>
  <c r="AE26" i="446"/>
  <c r="AI29" i="446"/>
  <c r="AI26" i="446"/>
  <c r="AI25" i="446"/>
  <c r="AI28" i="446"/>
  <c r="AI27" i="446"/>
  <c r="AI30" i="446"/>
  <c r="V41" i="446"/>
  <c r="AG25" i="446"/>
  <c r="AG29" i="446"/>
  <c r="AG28" i="446"/>
  <c r="AG27" i="446"/>
  <c r="AG26" i="446"/>
  <c r="AK31" i="446"/>
  <c r="AK26" i="446"/>
  <c r="AK30" i="446"/>
  <c r="AK28" i="446"/>
  <c r="AK27" i="446"/>
  <c r="AK29" i="446"/>
  <c r="AK25" i="446"/>
  <c r="BN11" i="448" l="1"/>
  <c r="BJ40" i="448"/>
  <c r="BR32" i="448"/>
  <c r="BR9" i="448"/>
  <c r="BR16" i="448"/>
  <c r="BR8" i="448"/>
  <c r="BR15" i="448"/>
  <c r="BR11" i="448"/>
  <c r="BR33" i="448"/>
  <c r="BR10" i="448"/>
  <c r="BR26" i="448"/>
  <c r="BR12" i="448"/>
  <c r="BR41" i="448"/>
  <c r="BR25" i="448"/>
  <c r="BR40" i="448"/>
  <c r="BR19" i="448"/>
  <c r="BR7" i="448"/>
  <c r="BR29" i="448"/>
  <c r="BJ37" i="448"/>
  <c r="BN13" i="448"/>
  <c r="BR14" i="448"/>
  <c r="BJ33" i="448"/>
  <c r="BJ56" i="448"/>
  <c r="BN14" i="448"/>
  <c r="BJ38" i="448"/>
  <c r="BR39" i="448"/>
  <c r="BN9" i="448"/>
  <c r="BJ59" i="448"/>
  <c r="BJ44" i="448"/>
  <c r="BJ55" i="448"/>
  <c r="BJ32" i="448"/>
  <c r="BR44" i="448"/>
  <c r="BJ48" i="448"/>
  <c r="BJ17" i="448"/>
  <c r="BJ41" i="448"/>
  <c r="BR46" i="448"/>
  <c r="BJ45" i="448"/>
  <c r="BR37" i="448"/>
  <c r="BR30" i="448"/>
  <c r="BJ54" i="448"/>
  <c r="BJ36" i="448"/>
  <c r="BJ43" i="448"/>
  <c r="BJ42" i="448"/>
  <c r="BR45" i="448"/>
  <c r="BJ18" i="448"/>
  <c r="BR36" i="448"/>
  <c r="BN10" i="448"/>
  <c r="BJ34" i="448"/>
  <c r="BR21" i="448"/>
  <c r="BR34" i="448"/>
  <c r="BR43" i="448"/>
  <c r="BJ51" i="448"/>
  <c r="BN12" i="448"/>
  <c r="BJ30" i="448"/>
  <c r="BJ26" i="448"/>
  <c r="BJ29" i="448"/>
  <c r="BJ23" i="448"/>
  <c r="BJ25" i="448"/>
  <c r="BJ28" i="448"/>
  <c r="BJ24" i="448"/>
  <c r="BJ27" i="448"/>
  <c r="BR5" i="448"/>
  <c r="BR6" i="448"/>
  <c r="BN6" i="448"/>
  <c r="BJ58" i="448"/>
  <c r="BJ53" i="448"/>
  <c r="BJ20" i="448"/>
  <c r="BJ16" i="448"/>
  <c r="BR38" i="448"/>
  <c r="BJ50" i="448"/>
  <c r="BJ57" i="448"/>
  <c r="BJ52" i="448"/>
  <c r="BR17" i="448"/>
  <c r="BJ15" i="448"/>
  <c r="BR27" i="448"/>
  <c r="BJ31" i="448"/>
  <c r="BJ35" i="448"/>
  <c r="BR42" i="448"/>
  <c r="H23" i="448"/>
  <c r="BJ13" i="448"/>
  <c r="BJ8" i="448"/>
  <c r="BJ5" i="448"/>
  <c r="BJ4" i="448"/>
  <c r="BJ12" i="448"/>
  <c r="BJ7" i="448"/>
  <c r="BJ9" i="448"/>
  <c r="BJ11" i="448"/>
  <c r="BJ6" i="448"/>
  <c r="BN4" i="448"/>
  <c r="BJ10" i="448"/>
  <c r="BJ46" i="448"/>
  <c r="H37" i="448"/>
  <c r="BJ49" i="448"/>
  <c r="BR31" i="448"/>
  <c r="BJ21" i="448"/>
  <c r="BR35" i="448"/>
  <c r="BR22" i="448"/>
  <c r="BR28" i="448"/>
  <c r="BN7" i="448"/>
  <c r="BR18" i="448"/>
  <c r="BR4" i="448"/>
  <c r="AE15" i="446"/>
  <c r="T8" i="446"/>
  <c r="T6" i="446"/>
  <c r="AE17" i="446"/>
  <c r="U8" i="446"/>
  <c r="AE7" i="446"/>
  <c r="T15" i="446"/>
  <c r="T19" i="446"/>
  <c r="T7" i="446"/>
  <c r="S20" i="446"/>
  <c r="L25" i="446" s="1"/>
  <c r="T13" i="446"/>
  <c r="U14" i="446"/>
  <c r="U17" i="446"/>
  <c r="T9" i="446"/>
  <c r="T12" i="446"/>
  <c r="T11" i="446"/>
  <c r="U18" i="446"/>
  <c r="T14" i="446"/>
  <c r="AD9" i="446"/>
  <c r="U13" i="446"/>
  <c r="T18" i="446"/>
  <c r="T16" i="446"/>
  <c r="AD14" i="446"/>
  <c r="U11" i="446"/>
  <c r="U5" i="446"/>
  <c r="AD18" i="446"/>
  <c r="AE18" i="446"/>
  <c r="AE11" i="446"/>
  <c r="AD12" i="446"/>
  <c r="AE8" i="446"/>
  <c r="AD17" i="446"/>
  <c r="AD11" i="446"/>
  <c r="AC20" i="446"/>
  <c r="L39" i="446" s="1"/>
  <c r="AD7" i="446"/>
  <c r="AD13" i="446"/>
  <c r="AD19" i="446"/>
  <c r="AD10" i="446"/>
  <c r="AE12" i="446"/>
  <c r="U10" i="446"/>
  <c r="AD8" i="446"/>
  <c r="AE10" i="446"/>
  <c r="U9" i="446"/>
  <c r="U16" i="446"/>
  <c r="AD6" i="446"/>
  <c r="AD20" i="446" s="1"/>
  <c r="L40" i="446" s="1"/>
  <c r="AE9" i="446"/>
  <c r="U12" i="446"/>
  <c r="U7" i="446"/>
  <c r="AE13" i="446"/>
  <c r="T17" i="446"/>
  <c r="AD16" i="446"/>
  <c r="AE16" i="446"/>
  <c r="T10" i="446"/>
  <c r="AD15" i="446"/>
  <c r="U6" i="446"/>
  <c r="AE14" i="446"/>
  <c r="AE6" i="446"/>
  <c r="U15" i="446"/>
  <c r="AE5" i="446"/>
  <c r="AA39" i="446"/>
  <c r="AE42" i="446"/>
  <c r="AE41" i="446"/>
  <c r="AE40" i="446"/>
  <c r="AE23" i="446"/>
  <c r="AC23" i="446"/>
  <c r="AK23" i="446"/>
  <c r="AM23" i="446"/>
  <c r="AA23" i="446"/>
  <c r="AO23" i="446"/>
  <c r="AG23" i="446"/>
  <c r="AA37" i="446"/>
  <c r="AI23" i="446"/>
  <c r="AQ23" i="446"/>
  <c r="Y39" i="446"/>
  <c r="V37" i="446"/>
  <c r="V49" i="446" s="1"/>
  <c r="V36" i="446" s="1"/>
  <c r="AC40" i="446"/>
  <c r="AC39" i="446"/>
  <c r="AC41" i="446"/>
  <c r="Y23" i="446"/>
  <c r="AQ45" i="446"/>
  <c r="AQ42" i="446"/>
  <c r="AQ48" i="446"/>
  <c r="AQ44" i="446"/>
  <c r="AQ40" i="446"/>
  <c r="AQ43" i="446"/>
  <c r="AQ47" i="446"/>
  <c r="AQ41" i="446"/>
  <c r="AQ46" i="446"/>
  <c r="AQ39" i="446"/>
  <c r="AG41" i="446"/>
  <c r="AG40" i="446"/>
  <c r="AG43" i="446"/>
  <c r="AG42" i="446"/>
  <c r="AG39" i="446"/>
  <c r="AI39" i="446"/>
  <c r="AI42" i="446"/>
  <c r="AI40" i="446"/>
  <c r="AI41" i="446"/>
  <c r="AI44" i="446"/>
  <c r="AI43" i="446"/>
  <c r="AK43" i="446"/>
  <c r="AK39" i="446"/>
  <c r="AK42" i="446"/>
  <c r="AK40" i="446"/>
  <c r="AK45" i="446"/>
  <c r="AK44" i="446"/>
  <c r="AK41" i="446"/>
  <c r="AS31" i="446"/>
  <c r="J31" i="446" s="1"/>
  <c r="AS28" i="446"/>
  <c r="J28" i="446" s="1"/>
  <c r="AS25" i="446"/>
  <c r="AS29" i="446"/>
  <c r="J29" i="446" s="1"/>
  <c r="AS35" i="446"/>
  <c r="J35" i="446" s="1"/>
  <c r="AS34" i="446"/>
  <c r="J34" i="446" s="1"/>
  <c r="AS27" i="446"/>
  <c r="J27" i="446" s="1"/>
  <c r="AS26" i="446"/>
  <c r="J26" i="446" s="1"/>
  <c r="AS33" i="446"/>
  <c r="J33" i="446" s="1"/>
  <c r="AS32" i="446"/>
  <c r="J32" i="446" s="1"/>
  <c r="AS30" i="446"/>
  <c r="J30" i="446" s="1"/>
  <c r="AO45" i="446"/>
  <c r="AO39" i="446"/>
  <c r="AO44" i="446"/>
  <c r="AO42" i="446"/>
  <c r="AO43" i="446"/>
  <c r="AO47" i="446"/>
  <c r="AO41" i="446"/>
  <c r="AO46" i="446"/>
  <c r="AO40" i="446"/>
  <c r="AM46" i="446"/>
  <c r="AM42" i="446"/>
  <c r="AM40" i="446"/>
  <c r="AM44" i="446"/>
  <c r="AM41" i="446"/>
  <c r="AM45" i="446"/>
  <c r="AM39" i="446"/>
  <c r="AM43" i="446"/>
  <c r="B38" i="448" l="1"/>
  <c r="B39" i="448"/>
  <c r="B37" i="448"/>
  <c r="T20" i="446"/>
  <c r="L26" i="446"/>
  <c r="AE37" i="446"/>
  <c r="AE20" i="446"/>
  <c r="L41" i="446" s="1"/>
  <c r="U20" i="446"/>
  <c r="L27" i="446" s="1"/>
  <c r="AC37" i="446"/>
  <c r="AM37" i="446"/>
  <c r="AQ37" i="446"/>
  <c r="AS23" i="446"/>
  <c r="AI37" i="446"/>
  <c r="AO37" i="446"/>
  <c r="AK37" i="446"/>
  <c r="AG37" i="446"/>
  <c r="J25" i="446"/>
  <c r="AS40" i="446"/>
  <c r="J40" i="446" s="1"/>
  <c r="AS44" i="446"/>
  <c r="J44" i="446" s="1"/>
  <c r="AS39" i="446"/>
  <c r="J39" i="446" s="1"/>
  <c r="AS42" i="446"/>
  <c r="J42" i="446" s="1"/>
  <c r="AS48" i="446"/>
  <c r="AS47" i="446"/>
  <c r="J47" i="446" s="1"/>
  <c r="AS45" i="446"/>
  <c r="J45" i="446" s="1"/>
  <c r="AS49" i="446"/>
  <c r="J49" i="446" s="1"/>
  <c r="AS46" i="446"/>
  <c r="J46" i="446" s="1"/>
  <c r="AS43" i="446"/>
  <c r="J43" i="446" s="1"/>
  <c r="AS41" i="446"/>
  <c r="J41" i="446" s="1"/>
  <c r="J48" i="446"/>
  <c r="AS22" i="446"/>
  <c r="Y37" i="446"/>
  <c r="B36" i="448" l="1"/>
  <c r="AF20" i="446"/>
  <c r="L42" i="446" s="1"/>
  <c r="L37" i="446" s="1"/>
  <c r="V20" i="446"/>
  <c r="L28" i="446" s="1"/>
  <c r="H40" i="446"/>
  <c r="H43" i="446"/>
  <c r="H47" i="446"/>
  <c r="AS37" i="446"/>
  <c r="AS36" i="446" s="1"/>
  <c r="H42" i="446"/>
  <c r="H44" i="446"/>
  <c r="H46" i="446"/>
  <c r="H45" i="446"/>
  <c r="H41" i="446"/>
  <c r="H49" i="446"/>
  <c r="J23" i="446"/>
  <c r="H25" i="446"/>
  <c r="J37" i="446"/>
  <c r="H39" i="446"/>
  <c r="H48" i="446"/>
  <c r="H27" i="446"/>
  <c r="H26" i="446"/>
  <c r="H32" i="446" l="1"/>
  <c r="BR25" i="446" s="1"/>
  <c r="H31" i="446"/>
  <c r="BJ51" i="446" s="1"/>
  <c r="H33" i="446"/>
  <c r="BR32" i="446" s="1"/>
  <c r="H35" i="446"/>
  <c r="BN14" i="446" s="1"/>
  <c r="H34" i="446"/>
  <c r="BR44" i="446" s="1"/>
  <c r="H30" i="446"/>
  <c r="L23" i="446"/>
  <c r="H29" i="446"/>
  <c r="BR13" i="446" s="1"/>
  <c r="BR21" i="446"/>
  <c r="BR19" i="446"/>
  <c r="H28" i="446"/>
  <c r="BJ34" i="446" s="1"/>
  <c r="BR42" i="446"/>
  <c r="BR15" i="446"/>
  <c r="BR18" i="446"/>
  <c r="BR43" i="446"/>
  <c r="BR17" i="446"/>
  <c r="BR35" i="446"/>
  <c r="BJ54" i="446"/>
  <c r="BR46" i="446"/>
  <c r="BR36" i="446"/>
  <c r="BR22" i="446"/>
  <c r="BJ59" i="446"/>
  <c r="BJ46" i="446"/>
  <c r="BR47" i="446"/>
  <c r="BJ21" i="446"/>
  <c r="BJ20" i="446"/>
  <c r="BJ19" i="446"/>
  <c r="BJ22" i="446"/>
  <c r="BJ16" i="446"/>
  <c r="BJ17" i="446"/>
  <c r="BN5" i="446"/>
  <c r="BR4" i="446"/>
  <c r="BJ18" i="446"/>
  <c r="BJ14" i="446"/>
  <c r="BJ15" i="446"/>
  <c r="BN10" i="446"/>
  <c r="BR30" i="446"/>
  <c r="BJ44" i="446"/>
  <c r="BJ29" i="446"/>
  <c r="BJ28" i="446"/>
  <c r="BJ27" i="446"/>
  <c r="BJ24" i="446"/>
  <c r="BJ26" i="446"/>
  <c r="BJ25" i="446"/>
  <c r="BN6" i="446"/>
  <c r="BJ23" i="446"/>
  <c r="BJ30" i="446"/>
  <c r="BR5" i="446"/>
  <c r="BR6" i="446"/>
  <c r="H37" i="446"/>
  <c r="BJ49" i="446"/>
  <c r="BR14" i="446"/>
  <c r="BJ48" i="446"/>
  <c r="BJ53" i="446"/>
  <c r="BR39" i="446"/>
  <c r="BR20" i="446"/>
  <c r="BR16" i="446"/>
  <c r="BJ9" i="446"/>
  <c r="BJ10" i="446"/>
  <c r="BJ5" i="446"/>
  <c r="BN4" i="446"/>
  <c r="BJ11" i="446"/>
  <c r="BJ7" i="446"/>
  <c r="BJ4" i="446"/>
  <c r="BJ13" i="446"/>
  <c r="BJ8" i="446"/>
  <c r="BJ6" i="446"/>
  <c r="BJ12" i="446"/>
  <c r="BR23" i="446"/>
  <c r="BN9" i="446"/>
  <c r="BJ55" i="446"/>
  <c r="BJ52" i="446"/>
  <c r="BJ47" i="446"/>
  <c r="BN13" i="446"/>
  <c r="BJ45" i="446"/>
  <c r="BJ50" i="446"/>
  <c r="BJ58" i="446" l="1"/>
  <c r="BR37" i="446"/>
  <c r="BJ41" i="446"/>
  <c r="BJ38" i="446"/>
  <c r="BJ57" i="446"/>
  <c r="BJ36" i="446"/>
  <c r="BR9" i="446"/>
  <c r="BR45" i="446"/>
  <c r="BR7" i="446"/>
  <c r="BR24" i="446"/>
  <c r="BJ33" i="446"/>
  <c r="BR41" i="446"/>
  <c r="BJ32" i="446"/>
  <c r="BJ37" i="446"/>
  <c r="BJ31" i="446"/>
  <c r="BR34" i="446"/>
  <c r="BN11" i="446"/>
  <c r="BR33" i="446"/>
  <c r="BR29" i="446"/>
  <c r="H23" i="446"/>
  <c r="BR26" i="446"/>
  <c r="BJ56" i="446"/>
  <c r="BN12" i="446"/>
  <c r="BJ35" i="446"/>
  <c r="BR27" i="446"/>
  <c r="BR40" i="446"/>
  <c r="BR31" i="446"/>
  <c r="BR28" i="446"/>
  <c r="BR10" i="446"/>
  <c r="BR11" i="446"/>
  <c r="BJ40" i="446"/>
  <c r="BN8" i="446"/>
  <c r="BJ43" i="446"/>
  <c r="BJ42" i="446"/>
  <c r="BR12" i="446"/>
  <c r="BJ39" i="446"/>
  <c r="BN7" i="446"/>
  <c r="BR8" i="446"/>
  <c r="BR38" i="446"/>
  <c r="B39" i="446" l="1"/>
  <c r="B38" i="446"/>
  <c r="B37" i="446"/>
  <c r="B36" i="446" l="1"/>
  <c r="Z14" i="436" l="1"/>
  <c r="P14" i="436"/>
  <c r="AI19" i="436" l="1"/>
  <c r="AI14" i="436"/>
  <c r="AI9" i="436"/>
  <c r="AN19" i="436"/>
  <c r="AN17" i="436"/>
  <c r="AI17" i="436" s="1"/>
  <c r="AN14" i="436"/>
  <c r="AN11" i="436"/>
  <c r="AI11" i="436" s="1"/>
  <c r="AN10" i="436"/>
  <c r="AI10" i="436" s="1"/>
  <c r="AN9" i="436"/>
  <c r="AN8" i="436"/>
  <c r="AI8" i="436" s="1"/>
  <c r="AN6" i="436"/>
  <c r="AI6" i="436" s="1"/>
  <c r="AN5" i="436"/>
  <c r="AI13" i="436" l="1"/>
  <c r="AI5" i="436"/>
  <c r="AG19" i="436"/>
  <c r="AK19" i="436"/>
  <c r="Z17" i="436"/>
  <c r="P17" i="436"/>
  <c r="AK17" i="436"/>
  <c r="AG17" i="436"/>
  <c r="AK11" i="436"/>
  <c r="AG11" i="436"/>
  <c r="AG10" i="436"/>
  <c r="AK10" i="436"/>
  <c r="AK9" i="436"/>
  <c r="AG9" i="436"/>
  <c r="AK8" i="436"/>
  <c r="AG8" i="436"/>
  <c r="AK6" i="436"/>
  <c r="AG6" i="436"/>
  <c r="AK5" i="436"/>
  <c r="AG5" i="436"/>
  <c r="AI2" i="436"/>
  <c r="D3" i="436"/>
  <c r="G1" i="436" s="1"/>
  <c r="K1" i="436"/>
  <c r="BF48" i="436"/>
  <c r="BF47" i="436"/>
  <c r="BF46" i="436"/>
  <c r="BE45" i="436"/>
  <c r="BE44" i="436"/>
  <c r="BF45" i="436" s="1"/>
  <c r="BD44" i="436"/>
  <c r="BF43" i="436"/>
  <c r="BE43" i="436"/>
  <c r="BF44" i="436" s="1"/>
  <c r="BD43" i="436"/>
  <c r="BC43" i="436"/>
  <c r="BF42" i="436"/>
  <c r="BE42" i="436"/>
  <c r="BD42" i="436"/>
  <c r="BC42" i="436"/>
  <c r="BF41" i="436"/>
  <c r="BE41" i="436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F31" i="436" s="1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F30" i="436" s="1"/>
  <c r="BD29" i="436"/>
  <c r="BC29" i="436"/>
  <c r="C29" i="436"/>
  <c r="B29" i="436"/>
  <c r="BP28" i="436"/>
  <c r="BP35" i="436" s="1"/>
  <c r="BP43" i="436" s="1"/>
  <c r="BH28" i="436"/>
  <c r="BH35" i="436" s="1"/>
  <c r="BH41" i="436" s="1"/>
  <c r="BH46" i="436" s="1"/>
  <c r="BH51" i="436" s="1"/>
  <c r="BH54" i="436" s="1"/>
  <c r="BE28" i="436"/>
  <c r="BF29" i="436" s="1"/>
  <c r="BD28" i="436"/>
  <c r="BC28" i="436"/>
  <c r="BH27" i="436"/>
  <c r="BH34" i="436" s="1"/>
  <c r="BH40" i="436" s="1"/>
  <c r="BH45" i="436" s="1"/>
  <c r="BH50" i="436" s="1"/>
  <c r="BF27" i="436"/>
  <c r="BE27" i="436"/>
  <c r="BF28" i="436" s="1"/>
  <c r="BD27" i="436"/>
  <c r="BC27" i="436"/>
  <c r="C27" i="436"/>
  <c r="B27" i="436"/>
  <c r="BH26" i="436"/>
  <c r="BH33" i="436" s="1"/>
  <c r="BH39" i="436" s="1"/>
  <c r="BH44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C25" i="436"/>
  <c r="E25" i="436"/>
  <c r="D25" i="436"/>
  <c r="D23" i="436" s="1"/>
  <c r="C25" i="436"/>
  <c r="B25" i="436"/>
  <c r="BH24" i="436"/>
  <c r="BH31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P20" i="436"/>
  <c r="BP26" i="436" s="1"/>
  <c r="BP33" i="436" s="1"/>
  <c r="BP41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P12" i="436"/>
  <c r="BP16" i="436" s="1"/>
  <c r="BL12" i="436"/>
  <c r="BP47" i="436" s="1"/>
  <c r="AA12" i="436"/>
  <c r="Q12" i="436"/>
  <c r="BL11" i="436"/>
  <c r="BP38" i="436" s="1"/>
  <c r="BP46" i="436" s="1"/>
  <c r="Z11" i="436"/>
  <c r="P11" i="436"/>
  <c r="BL10" i="436"/>
  <c r="BP30" i="436" s="1"/>
  <c r="BP37" i="436" s="1"/>
  <c r="BP45" i="436" s="1"/>
  <c r="Z10" i="436"/>
  <c r="P10" i="436"/>
  <c r="BP9" i="436"/>
  <c r="BL9" i="436"/>
  <c r="BP23" i="436" s="1"/>
  <c r="BP29" i="436" s="1"/>
  <c r="BP36" i="436" s="1"/>
  <c r="BP44" i="436" s="1"/>
  <c r="Z9" i="436"/>
  <c r="P9" i="436"/>
  <c r="BL8" i="436"/>
  <c r="BP18" i="436" s="1"/>
  <c r="BP22" i="436" s="1"/>
  <c r="Z8" i="436"/>
  <c r="P8" i="436"/>
  <c r="AA7" i="436"/>
  <c r="Z7" i="436"/>
  <c r="Q7" i="436"/>
  <c r="P7" i="436"/>
  <c r="BP6" i="436"/>
  <c r="BP8" i="436" s="1"/>
  <c r="BP11" i="436" s="1"/>
  <c r="BP15" i="436" s="1"/>
  <c r="BP19" i="436" s="1"/>
  <c r="BP25" i="436" s="1"/>
  <c r="BP32" i="436" s="1"/>
  <c r="BP40" i="436" s="1"/>
  <c r="BL6" i="436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K2" i="436"/>
  <c r="S2" i="436"/>
  <c r="S1" i="436"/>
  <c r="O5" i="435"/>
  <c r="Y17" i="436" l="1"/>
  <c r="O13" i="436"/>
  <c r="Y13" i="436"/>
  <c r="O17" i="436"/>
  <c r="B31" i="436"/>
  <c r="W25" i="436" s="1"/>
  <c r="E23" i="436"/>
  <c r="AA18" i="436"/>
  <c r="G2" i="436"/>
  <c r="G3" i="436"/>
  <c r="B23" i="436"/>
  <c r="T43" i="436" s="1"/>
  <c r="C31" i="436"/>
  <c r="W39" i="436" s="1"/>
  <c r="R5" i="435"/>
  <c r="Q10" i="436" l="1"/>
  <c r="R10" i="436" s="1"/>
  <c r="Q11" i="436"/>
  <c r="R11" i="436" s="1"/>
  <c r="Q5" i="436"/>
  <c r="R5" i="436" s="1"/>
  <c r="AA19" i="436"/>
  <c r="AB19" i="436" s="1"/>
  <c r="Q19" i="436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Q13" i="436"/>
  <c r="R13" i="436" s="1"/>
  <c r="AA13" i="436"/>
  <c r="AB13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T37" i="436" l="1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R34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AD19" i="436" l="1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E20" i="436" l="1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V26" i="436" l="1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S1" i="435"/>
  <c r="AA26" i="436" l="1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G23" i="436" l="1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AS25" i="436"/>
  <c r="AS26" i="436"/>
  <c r="J26" i="436" s="1"/>
  <c r="AS34" i="436"/>
  <c r="AS27" i="436"/>
  <c r="J27" i="436" s="1"/>
  <c r="AS33" i="436"/>
  <c r="AS28" i="436"/>
  <c r="J28" i="436" s="1"/>
  <c r="AS35" i="436"/>
  <c r="J35" i="436" s="1"/>
  <c r="AS32" i="436"/>
  <c r="AS31" i="436"/>
  <c r="AK23" i="436"/>
  <c r="J3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32" i="436"/>
  <c r="J25" i="436"/>
  <c r="Y23" i="436"/>
  <c r="J30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H31" i="436" l="1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P26" i="435"/>
  <c r="R31" i="435" s="1"/>
  <c r="R32" i="435"/>
  <c r="P25" i="435"/>
  <c r="N23" i="435"/>
  <c r="H43" i="436" l="1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J42" i="436" l="1"/>
  <c r="BJ55" i="436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B38" i="436" l="1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E21" i="435" l="1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F21" i="435" l="1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<sst xmlns="http://schemas.openxmlformats.org/spreadsheetml/2006/main" count="1322" uniqueCount="163">
  <si>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</si>
  <si>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</si>
  <si>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</si>
  <si>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</si>
  <si>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</si>
  <si>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</si>
  <si>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</si>
  <si>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</si>
  <si>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</si>
  <si>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</si>
  <si>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</si>
  <si>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</si>
  <si>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</si>
  <si>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</si>
  <si>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</si>
  <si>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</si>
  <si>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</si>
  <si>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</si>
  <si>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</si>
  <si>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</si>
  <si>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</si>
  <si>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</si>
  <si>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</si>
  <si>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</si>
  <si>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</si>
  <si>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</si>
  <si>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</si>
  <si>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</si>
  <si>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</si>
  <si>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</si>
  <si>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</si>
  <si>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</si>
  <si>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</si>
  <si>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</si>
  <si>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</si>
  <si>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</si>
  <si>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</si>
  <si>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</si>
  <si>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</si>
  <si>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</si>
  <si>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</si>
  <si>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</si>
  <si>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</si>
  <si>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</si>
  <si>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</si>
  <si>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</si>
  <si>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</si>
  <si>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</si>
  <si>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</si>
  <si>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</si>
  <si>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</si>
  <si>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</si>
  <si>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</si>
  <si>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</si>
  <si>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</si>
  <si>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</si>
  <si>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</si>
  <si>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</si>
  <si>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</si>
  <si>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</si>
  <si>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</si>
  <si>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</si>
  <si>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</si>
  <si>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</si>
  <si>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</si>
  <si>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</si>
  <si>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</si>
  <si>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</si>
  <si>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</si>
  <si>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</si>
  <si>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</si>
  <si>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</si>
  <si>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</si>
  <si>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</si>
  <si>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</si>
  <si>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</si>
  <si>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</si>
  <si>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</si>
  <si>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</si>
  <si>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</si>
  <si>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</si>
  <si>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</si>
  <si>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</si>
  <si>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</si>
  <si>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</si>
  <si>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</si>
  <si>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</si>
  <si>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</si>
  <si>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</si>
  <si>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</si>
  <si>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</si>
  <si>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</si>
  <si>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</si>
  <si>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</si>
  <si>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</si>
  <si>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</si>
  <si>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</si>
  <si>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</si>
  <si>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</si>
  <si>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</si>
  <si>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</si>
  <si>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</si>
  <si>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</si>
  <si>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</si>
  <si>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</si>
  <si>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</si>
  <si>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</si>
  <si>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</si>
  <si>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</si>
  <si>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</si>
  <si>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</si>
  <si>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</si>
  <si>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</si>
  <si>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</si>
  <si>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</si>
  <si>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</si>
  <si>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</si>
  <si>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</si>
  <si>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</si>
  <si>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</si>
  <si>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</si>
  <si>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</si>
  <si>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</si>
  <si>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</si>
  <si>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</si>
  <si>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</si>
  <si>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</si>
  <si>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</si>
  <si>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</si>
  <si>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</si>
  <si>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</si>
  <si>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</si>
  <si>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</si>
  <si>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</si>
  <si>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</si>
  <si>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</si>
  <si>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</si>
  <si>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</si>
  <si>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</si>
  <si>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</si>
  <si>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</si>
  <si>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</si>
  <si>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</si>
  <si>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</si>
  <si>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</si>
  <si>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</si>
  <si>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</si>
  <si>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</si>
  <si>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</si>
  <si>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</si>
  <si>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</si>
  <si>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</si>
  <si>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</si>
  <si>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</si>
  <si>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</si>
  <si>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IMP Propia</t>
  </si>
  <si>
    <t>25</t>
  </si>
  <si>
    <t>pbase</t>
  </si>
  <si>
    <t>pbase_P</t>
  </si>
  <si>
    <t>pEq</t>
  </si>
  <si>
    <t>Pslot</t>
  </si>
  <si>
    <t>N</t>
  </si>
  <si>
    <t>LA Crush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</si>
</sst>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  <numFmt numFmtId="168" formatCode="#,##0.000_ ;\-#,##0.0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167" fontId="4" fillId="0" borderId="1" xfId="1" applyNumberFormat="1" applyFont="1" applyFill="1" applyBorder="1" applyAlignment="1">
      <alignment horizontal="center"/>
    </xf>
    <xf numFmtId="167" fontId="5" fillId="0" borderId="1" xfId="1" applyNumberFormat="1" applyFont="1" applyFill="1" applyBorder="1" applyAlignment="1">
      <alignment horizontal="center"/>
    </xf>
    <xf numFmtId="168" fontId="4" fillId="14" borderId="1" xfId="1" applyNumberFormat="1" applyFont="1" applyFill="1" applyBorder="1" applyAlignment="1">
      <alignment horizontal="center"/>
    </xf>
    <xf numFmtId="168" fontId="5" fillId="14" borderId="1" xfId="1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8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'OBIWAN-LA_Crsuh'!$G$25:$G$35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'OBIWAN-LA_Crsuh'!$H$25:$H$35</c:f>
              <c:numCache>
                <c:formatCode>0.0%</c:formatCode>
                <c:ptCount val="11"/>
                <c:pt idx="0">
                  <c:v>2.3048225062194836E-3</c:v>
                </c:pt>
                <c:pt idx="1">
                  <c:v>1.8451125755650073E-2</c:v>
                </c:pt>
                <c:pt idx="2">
                  <c:v>6.7291481581893367E-2</c:v>
                </c:pt>
                <c:pt idx="3">
                  <c:v>0.14780249950073751</c:v>
                </c:pt>
                <c:pt idx="4">
                  <c:v>0.2177575390202077</c:v>
                </c:pt>
                <c:pt idx="5">
                  <c:v>0.22681358980943805</c:v>
                </c:pt>
                <c:pt idx="6">
                  <c:v>0.17149994017506021</c:v>
                </c:pt>
                <c:pt idx="7">
                  <c:v>9.5157294690544778E-2</c:v>
                </c:pt>
                <c:pt idx="8">
                  <c:v>3.8719037819522462E-2</c:v>
                </c:pt>
                <c:pt idx="9">
                  <c:v>1.1430944763442568E-2</c:v>
                </c:pt>
                <c:pt idx="10">
                  <c:v>2.3961558493037411E-3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'OBIWAN-LA_Crsuh'!$H$39:$H$49</c:f>
              <c:numCache>
                <c:formatCode>0.0%</c:formatCode>
                <c:ptCount val="11"/>
                <c:pt idx="0">
                  <c:v>0.12963949427467705</c:v>
                </c:pt>
                <c:pt idx="1">
                  <c:v>0.28761505073637239</c:v>
                </c:pt>
                <c:pt idx="2">
                  <c:v>0.29349911942552981</c:v>
                </c:pt>
                <c:pt idx="3">
                  <c:v>0.18244472133792386</c:v>
                </c:pt>
                <c:pt idx="4">
                  <c:v>7.7110838314012178E-2</c:v>
                </c:pt>
                <c:pt idx="5">
                  <c:v>2.3416831678472416E-2</c:v>
                </c:pt>
                <c:pt idx="6">
                  <c:v>5.2623728333694476E-3</c:v>
                </c:pt>
                <c:pt idx="7">
                  <c:v>8.875398247704065E-4</c:v>
                </c:pt>
                <c:pt idx="8">
                  <c:v>1.1261106834898929E-4</c:v>
                </c:pt>
                <c:pt idx="9">
                  <c:v>1.0651275659711146E-5</c:v>
                </c:pt>
                <c:pt idx="10">
                  <c:v>7.3319599421480322E-7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124800"/>
        <c:axId val="417124408"/>
      </c:lineChart>
      <c:catAx>
        <c:axId val="4171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7124408"/>
        <c:crosses val="autoZero"/>
        <c:auto val="1"/>
        <c:lblAlgn val="ctr"/>
        <c:lblOffset val="100"/>
        <c:noMultiLvlLbl val="0"/>
      </c:catAx>
      <c:valAx>
        <c:axId val="41712440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1712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207352"/>
        <c:axId val="308214800"/>
      </c:lineChart>
      <c:catAx>
        <c:axId val="30820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214800"/>
        <c:crosses val="autoZero"/>
        <c:auto val="1"/>
        <c:lblAlgn val="ctr"/>
        <c:lblOffset val="100"/>
        <c:noMultiLvlLbl val="0"/>
      </c:catAx>
      <c:valAx>
        <c:axId val="3082148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0820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'OBIWAN-LA_Crsuh'!$B$37:$B$39</c:f>
              <c:numCache>
                <c:formatCode>0.0%</c:formatCode>
                <c:ptCount val="3"/>
                <c:pt idx="0">
                  <c:v>7.5415552174008346E-2</c:v>
                </c:pt>
                <c:pt idx="1">
                  <c:v>7.8314969764075593E-2</c:v>
                </c:pt>
                <c:pt idx="2">
                  <c:v>0.84349771950649322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9.3225451797071437E-2</c:v>
                </c:pt>
                <c:pt idx="1">
                  <c:v>0.24481020691450373</c:v>
                </c:pt>
                <c:pt idx="2">
                  <c:v>0.29416318220185661</c:v>
                </c:pt>
                <c:pt idx="3">
                  <c:v>0.2140607182398547</c:v>
                </c:pt>
                <c:pt idx="4">
                  <c:v>0.10522371719928361</c:v>
                </c:pt>
                <c:pt idx="5">
                  <c:v>3.6899161971718525E-2</c:v>
                </c:pt>
                <c:pt idx="6">
                  <c:v>9.5031878895729255E-3</c:v>
                </c:pt>
                <c:pt idx="7">
                  <c:v>1.8229945738542175E-3</c:v>
                </c:pt>
                <c:pt idx="8">
                  <c:v>2.6131240187717518E-4</c:v>
                </c:pt>
                <c:pt idx="9">
                  <c:v>2.7796070751196754E-5</c:v>
                </c:pt>
                <c:pt idx="10">
                  <c:v>2.1507442922897612E-6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SIMULADOR_v3!$H$39:$H$49</c:f>
              <c:numCache>
                <c:formatCode>0.0%</c:formatCode>
                <c:ptCount val="11"/>
                <c:pt idx="0">
                  <c:v>1.0768418663279985E-2</c:v>
                </c:pt>
                <c:pt idx="1">
                  <c:v>5.9336437774699977E-2</c:v>
                </c:pt>
                <c:pt idx="2">
                  <c:v>0.14959176237989219</c:v>
                </c:pt>
                <c:pt idx="3">
                  <c:v>0.22831915969096711</c:v>
                </c:pt>
                <c:pt idx="4">
                  <c:v>0.23524510145670899</c:v>
                </c:pt>
                <c:pt idx="5">
                  <c:v>0.17271405769900178</c:v>
                </c:pt>
                <c:pt idx="6">
                  <c:v>9.29562669732171E-2</c:v>
                </c:pt>
                <c:pt idx="7">
                  <c:v>3.7158437809169047E-2</c:v>
                </c:pt>
                <c:pt idx="8">
                  <c:v>1.1053619182141049E-2</c:v>
                </c:pt>
                <c:pt idx="9">
                  <c:v>2.4265414645050455E-3</c:v>
                </c:pt>
                <c:pt idx="10">
                  <c:v>3.8489776611453692E-4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415000"/>
        <c:axId val="409411472"/>
      </c:lineChart>
      <c:catAx>
        <c:axId val="40941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9411472"/>
        <c:crosses val="autoZero"/>
        <c:auto val="1"/>
        <c:lblAlgn val="ctr"/>
        <c:lblOffset val="100"/>
        <c:noMultiLvlLbl val="0"/>
      </c:catAx>
      <c:valAx>
        <c:axId val="40941147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0941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0.14048905371143711</c:v>
                </c:pt>
                <c:pt idx="1">
                  <c:v>0.7067753884939828</c:v>
                </c:pt>
                <c:pt idx="2">
                  <c:v>0.15268798884529994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422448"/>
        <c:axId val="409420880"/>
      </c:lineChart>
      <c:catAx>
        <c:axId val="40942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9420880"/>
        <c:crosses val="autoZero"/>
        <c:auto val="1"/>
        <c:lblAlgn val="ctr"/>
        <c:lblOffset val="100"/>
        <c:noMultiLvlLbl val="0"/>
      </c:catAx>
      <c:valAx>
        <c:axId val="40942088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09422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209312"/>
        <c:axId val="308215976"/>
      </c:lineChart>
      <c:catAx>
        <c:axId val="3082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215976"/>
        <c:crosses val="autoZero"/>
        <c:auto val="1"/>
        <c:lblAlgn val="ctr"/>
        <c:lblOffset val="100"/>
        <c:noMultiLvlLbl val="0"/>
      </c:catAx>
      <c:valAx>
        <c:axId val="30821597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08209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204608"/>
        <c:axId val="308205000"/>
      </c:lineChart>
      <c:catAx>
        <c:axId val="3082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205000"/>
        <c:crosses val="autoZero"/>
        <c:auto val="1"/>
        <c:lblAlgn val="ctr"/>
        <c:lblOffset val="100"/>
        <c:noMultiLvlLbl val="0"/>
      </c:catAx>
      <c:valAx>
        <c:axId val="3082050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08204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tabSelected="1" zoomScale="80" zoomScaleNormal="80" workbookViewId="0">
      <selection activeCell="M17" sqref="M17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5" t="s">
        <v>143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6"/>
      <c r="Q1" s="216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5" t="s">
        <v>162</v>
      </c>
      <c r="B2" t="s">
        <v>145</v>
      </c>
      <c r="F2" s="204" t="s">
        <v>21</v>
      </c>
      <c r="G2" s="202">
        <f>IF(D3="SI",COUNTIF($F$6:$F$18,"TEC"),0)</f>
        <v>3</v>
      </c>
      <c r="H2" s="13"/>
      <c r="J2" s="205" t="s">
        <v>21</v>
      </c>
      <c r="K2" s="202">
        <f>IF(D3="SI",COUNTIF($J$6:$J$18,"TEC"),0)</f>
        <v>3</v>
      </c>
      <c r="L2" s="13"/>
      <c r="M2" s="163"/>
      <c r="O2" t="s">
        <v>147</v>
      </c>
      <c r="P2" s="212">
        <v>0.65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0.7</v>
      </c>
      <c r="Q3" t="s">
        <v>133</v>
      </c>
      <c r="R3" s="212">
        <v>0.75</v>
      </c>
      <c r="Y3" t="s">
        <v>132</v>
      </c>
      <c r="Z3" s="213">
        <v>0.56999999999999995</v>
      </c>
      <c r="AA3" t="s">
        <v>133</v>
      </c>
      <c r="AB3" s="213">
        <v>0.75</v>
      </c>
      <c r="AI3" s="208">
        <f>SUM(AI5:AI19)</f>
        <v>3.6837000000000009</v>
      </c>
      <c r="AM3" s="208">
        <f>SUM(AM5:AM19)</f>
        <v>3.6837000000000009</v>
      </c>
      <c r="AN3" s="208">
        <f>SUM(AN5:AN19)</f>
        <v>3.1991000000000005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5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5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6.6290164206464974E-4</v>
      </c>
      <c r="BL4">
        <v>0</v>
      </c>
      <c r="BM4">
        <v>0</v>
      </c>
      <c r="BN4" s="107">
        <f>H25*H39</f>
        <v>2.9879602409918759E-4</v>
      </c>
      <c r="BP4">
        <v>1</v>
      </c>
      <c r="BQ4">
        <v>0</v>
      </c>
      <c r="BR4" s="107">
        <f>$H$26*H39</f>
        <v>2.3919946117609437E-3</v>
      </c>
    </row>
    <row r="5" spans="1:70" x14ac:dyDescent="0.25">
      <c r="A5" s="40" t="s">
        <v>150</v>
      </c>
      <c r="B5" s="161">
        <v>352</v>
      </c>
      <c r="C5" s="161">
        <v>253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131</v>
      </c>
      <c r="K5" s="166">
        <v>12</v>
      </c>
      <c r="L5" s="10"/>
      <c r="M5" s="10"/>
      <c r="O5" s="67">
        <f>AG5*AI5*AO5*AH5</f>
        <v>0</v>
      </c>
      <c r="P5" s="210">
        <f>P3</f>
        <v>0.7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6.7646337600756111E-4</v>
      </c>
      <c r="BL5">
        <v>1</v>
      </c>
      <c r="BM5">
        <v>1</v>
      </c>
      <c r="BN5" s="107">
        <f>$H$26*H40</f>
        <v>5.3068214703544826E-3</v>
      </c>
      <c r="BP5">
        <f>BP4+1</f>
        <v>2</v>
      </c>
      <c r="BQ5">
        <v>0</v>
      </c>
      <c r="BR5" s="107">
        <f>$H$27*H39</f>
        <v>8.7236336412704011E-3</v>
      </c>
    </row>
    <row r="6" spans="1:70" x14ac:dyDescent="0.25">
      <c r="A6" s="2" t="s">
        <v>1</v>
      </c>
      <c r="B6" s="168">
        <v>12.75</v>
      </c>
      <c r="C6" s="169">
        <v>10.75</v>
      </c>
      <c r="E6" s="192" t="s">
        <v>17</v>
      </c>
      <c r="F6" s="167" t="s">
        <v>154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5.9776210887437099E-2</v>
      </c>
      <c r="P6" s="210">
        <v>0.75</v>
      </c>
      <c r="Q6" s="214">
        <f t="shared" ref="Q6:Q19" si="2">P6*O6</f>
        <v>4.4832158165577826E-2</v>
      </c>
      <c r="R6" s="157">
        <f t="shared" ref="R6:R19" si="3">IF($B$17="JC",IF($C$17="JC",$W$1,$V$1*1.1),IF($C$17="JC",$V$1/0.9,$U$1))*Q6/1.5</f>
        <v>4.4832158165577819E-2</v>
      </c>
      <c r="S6" s="176">
        <f t="shared" ref="S6:S19" si="4">(1-R6)</f>
        <v>0.95516784183442216</v>
      </c>
      <c r="T6" s="177">
        <f>R6*S5*PRODUCT(S7:S19)</f>
        <v>2.953737114504959E-2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1.3001239606190823E-2</v>
      </c>
      <c r="V6" s="18"/>
      <c r="W6" s="186" t="s">
        <v>38</v>
      </c>
      <c r="X6" s="15" t="s">
        <v>39</v>
      </c>
      <c r="Y6" s="69">
        <f t="shared" ref="Y6:Y19" si="5">AK6*AI6*AL6*AO6</f>
        <v>0</v>
      </c>
      <c r="Z6" s="69">
        <f>Z3</f>
        <v>0.56999999999999995</v>
      </c>
      <c r="AA6" s="69">
        <f t="shared" ref="AA6:AA19" si="6">Z6*Y6</f>
        <v>0</v>
      </c>
      <c r="AB6" s="157">
        <f t="shared" ref="AB6:AB19" si="7">IF($B$17="JC",IF($C$17="JC",$W$1,$V$1/0.9),IF($C$17="JC",$V$1*1.1,$U$1))*AA6/1.5</f>
        <v>0</v>
      </c>
      <c r="AC6" s="176">
        <f t="shared" ref="AC6:AC19" si="8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AG6" s="203">
        <f>IF(COUNTIF(F11:F18,"IMP")+COUNTIF(J11:J18,"IMP")=0,0,COUNTIF(F11:F18,"IMP")/(COUNTIF(F11:F18,"IMP")+COUNTIF(J11:J18,"IMP")))</f>
        <v>1</v>
      </c>
      <c r="AH6">
        <f>COUNTIF(F11:F18,"IMP")</f>
        <v>1</v>
      </c>
      <c r="AI6" s="207">
        <f t="shared" ref="AI6:AI19" si="9">AN6*$AM$3/$AN$3</f>
        <v>0.47820968709949679</v>
      </c>
      <c r="AK6" s="203">
        <f>IF(COUNTIF(F11:F18,"IMP")+COUNTIF(J11:J18,"IMP")=0,0,COUNTIF(J11:J18,"IMP")/(COUNTIF(F11:F18,"IMP")+COUNTIF(J11:J18,"IMP")))</f>
        <v>0</v>
      </c>
      <c r="AL6">
        <f>COUNTIF(J11:J18,"IMP")</f>
        <v>0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4.2050269988058898E-4</v>
      </c>
      <c r="BL6">
        <f>BH14+1</f>
        <v>2</v>
      </c>
      <c r="BM6">
        <v>2</v>
      </c>
      <c r="BN6" s="107">
        <f>$H$27*H41</f>
        <v>1.9749990589124959E-2</v>
      </c>
      <c r="BP6">
        <f>BL5+1</f>
        <v>2</v>
      </c>
      <c r="BQ6">
        <v>1</v>
      </c>
      <c r="BR6" s="107">
        <f>$H$27*H40</f>
        <v>1.9354042889301929E-2</v>
      </c>
    </row>
    <row r="7" spans="1:70" x14ac:dyDescent="0.25">
      <c r="A7" s="5" t="s">
        <v>2</v>
      </c>
      <c r="B7" s="168">
        <v>15</v>
      </c>
      <c r="C7" s="169">
        <v>11.25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0</v>
      </c>
      <c r="P7" s="210">
        <f>P2</f>
        <v>0.65</v>
      </c>
      <c r="Q7" s="214">
        <f t="shared" si="2"/>
        <v>0</v>
      </c>
      <c r="R7" s="157">
        <f t="shared" si="3"/>
        <v>0</v>
      </c>
      <c r="S7" s="176">
        <f t="shared" si="4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7" t="s">
        <v>155</v>
      </c>
      <c r="X7" s="15" t="s">
        <v>156</v>
      </c>
      <c r="Y7" s="69">
        <f t="shared" si="5"/>
        <v>4.4907724047388332E-3</v>
      </c>
      <c r="Z7" s="69">
        <f>Z2</f>
        <v>0.45</v>
      </c>
      <c r="AA7" s="69">
        <f t="shared" si="6"/>
        <v>2.0208475821324751E-3</v>
      </c>
      <c r="AB7" s="157">
        <f t="shared" si="7"/>
        <v>2.0208475821324751E-3</v>
      </c>
      <c r="AC7" s="176">
        <f t="shared" si="8"/>
        <v>0.9979791524178675</v>
      </c>
      <c r="AD7" s="177">
        <f>AB7*PRODUCT(AC5:AC6)*PRODUCT(AC8:AC19)</f>
        <v>1.4895739572341616E-3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4.7846379872595033E-4</v>
      </c>
      <c r="AG7" s="203">
        <f>IF(COUNTIF(F14:F18,"IMP")+COUNTIF(J14:J18,"IMP")=0,0,COUNTIF(J14:J18,"IMP")/(COUNTIF(F14:F18,"IMP")+COUNTIF(J14:J18,"IMP")))</f>
        <v>0</v>
      </c>
      <c r="AH7">
        <f>COUNTIF(J14:J18,"IMP")</f>
        <v>0</v>
      </c>
      <c r="AI7" s="207">
        <f t="shared" si="9"/>
        <v>4.4907724047388332E-3</v>
      </c>
      <c r="AK7" s="203">
        <f>IF(COUNTIF(F14:F18,"IMP")+COUNTIF(J14:J18,"IMP")=0,0,COUNTIF(F14:F18,"IMP")/(COUNTIF(F14:F18,"IMP")+COUNTIF(J14:J18,"IMP")))</f>
        <v>1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1.7772679561958694E-4</v>
      </c>
      <c r="BL7">
        <f>BH23+1</f>
        <v>3</v>
      </c>
      <c r="BM7">
        <v>3</v>
      </c>
      <c r="BN7" s="107">
        <f>$H$28*H42</f>
        <v>2.6965785834460687E-2</v>
      </c>
      <c r="BP7">
        <f>BP5+1</f>
        <v>3</v>
      </c>
      <c r="BQ7">
        <v>0</v>
      </c>
      <c r="BR7" s="107">
        <f>$H$28*H39</f>
        <v>1.9161041287808819E-2</v>
      </c>
    </row>
    <row r="8" spans="1:70" x14ac:dyDescent="0.25">
      <c r="A8" s="5" t="s">
        <v>3</v>
      </c>
      <c r="B8" s="168">
        <v>13.75</v>
      </c>
      <c r="C8" s="169">
        <v>9</v>
      </c>
      <c r="E8" s="192" t="s">
        <v>18</v>
      </c>
      <c r="F8" s="167" t="s">
        <v>16</v>
      </c>
      <c r="G8" s="167"/>
      <c r="H8" s="10"/>
      <c r="I8" s="10"/>
      <c r="J8" s="166"/>
      <c r="K8" s="166"/>
      <c r="L8" s="10"/>
      <c r="M8" s="10"/>
      <c r="O8" s="67">
        <f t="shared" si="1"/>
        <v>4.074468059526358E-2</v>
      </c>
      <c r="P8" s="210">
        <v>0.75</v>
      </c>
      <c r="Q8" s="214">
        <f t="shared" si="2"/>
        <v>3.0558510446447685E-2</v>
      </c>
      <c r="R8" s="157">
        <f t="shared" si="3"/>
        <v>3.0558510446447685E-2</v>
      </c>
      <c r="S8" s="176">
        <f t="shared" si="4"/>
        <v>0.96944148955355236</v>
      </c>
      <c r="T8" s="177">
        <f>R8*PRODUCT(S5:S7)*PRODUCT(S9:S19)</f>
        <v>1.9836838851787397E-2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8.1061379698888075E-3</v>
      </c>
      <c r="W8" s="186" t="s">
        <v>42</v>
      </c>
      <c r="X8" s="15" t="s">
        <v>43</v>
      </c>
      <c r="Y8" s="69">
        <f t="shared" si="5"/>
        <v>0</v>
      </c>
      <c r="Z8" s="69">
        <f>Z2</f>
        <v>0.45</v>
      </c>
      <c r="AA8" s="69">
        <f t="shared" si="6"/>
        <v>0</v>
      </c>
      <c r="AB8" s="157">
        <f t="shared" si="7"/>
        <v>0</v>
      </c>
      <c r="AC8" s="176">
        <f t="shared" si="8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AG8" s="203">
        <f>IF(COUNTIF(F6:F18,"IMP")+COUNTIF(J6:J18,"IMP")=0,0,COUNTIF(F6:F18,"IMP")/(COUNTIF(F6:F18,"IMP")+COUNTIF(J6:J18,"IMP")))</f>
        <v>1</v>
      </c>
      <c r="AH8">
        <f>COUNTIF(F6:F18,"IMP")</f>
        <v>1</v>
      </c>
      <c r="AI8" s="207">
        <f t="shared" si="9"/>
        <v>0.5296808477384265</v>
      </c>
      <c r="AK8" s="203">
        <f>IF(COUNTIF(F6:F18,"IMP")+COUNTIF(J6:J18,"IMP")=0,0,COUNTIF(J6:J18,"IMP")/(COUNTIF(F6:F18,"IMP")+COUNTIF(J6:J18,"IMP")))</f>
        <v>0</v>
      </c>
      <c r="AL8">
        <f>COUNTIF(J6:J18,"IMP")</f>
        <v>0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5.3971640676896594E-5</v>
      </c>
      <c r="BL8">
        <f>BH31+1</f>
        <v>4</v>
      </c>
      <c r="BM8">
        <v>4</v>
      </c>
      <c r="BN8" s="107">
        <f>$H$29*H43</f>
        <v>1.6791466383044434E-2</v>
      </c>
      <c r="BP8">
        <f>BP6+1</f>
        <v>3</v>
      </c>
      <c r="BQ8">
        <v>1</v>
      </c>
      <c r="BR8" s="107">
        <f>$H$28*H40</f>
        <v>4.2510223392867273E-2</v>
      </c>
    </row>
    <row r="9" spans="1:70" x14ac:dyDescent="0.25">
      <c r="A9" s="5" t="s">
        <v>4</v>
      </c>
      <c r="B9" s="168">
        <v>15.25</v>
      </c>
      <c r="C9" s="169">
        <v>12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0.65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0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0</v>
      </c>
      <c r="AO9">
        <v>1</v>
      </c>
      <c r="BH9">
        <v>0</v>
      </c>
      <c r="BI9">
        <v>6</v>
      </c>
      <c r="BJ9" s="107">
        <f t="shared" si="0"/>
        <v>1.2128835342467896E-5</v>
      </c>
      <c r="BL9">
        <f>BH38+1</f>
        <v>5</v>
      </c>
      <c r="BM9">
        <v>5</v>
      </c>
      <c r="BN9" s="107">
        <f>$H$30*H44</f>
        <v>5.3112556549576974E-3</v>
      </c>
      <c r="BP9">
        <f>BL6+1</f>
        <v>3</v>
      </c>
      <c r="BQ9">
        <v>2</v>
      </c>
      <c r="BR9" s="107">
        <f>$H$28*H41</f>
        <v>4.3379903452358766E-2</v>
      </c>
    </row>
    <row r="10" spans="1:70" x14ac:dyDescent="0.25">
      <c r="A10" s="6" t="s">
        <v>5</v>
      </c>
      <c r="B10" s="168">
        <v>17.75</v>
      </c>
      <c r="C10" s="169">
        <v>15</v>
      </c>
      <c r="E10" s="192" t="s">
        <v>17</v>
      </c>
      <c r="F10" s="167" t="s">
        <v>16</v>
      </c>
      <c r="G10" s="167"/>
      <c r="H10" s="10"/>
      <c r="I10" s="10"/>
      <c r="J10" s="166" t="s">
        <v>16</v>
      </c>
      <c r="K10" s="166"/>
      <c r="L10" s="10"/>
      <c r="M10" s="10"/>
      <c r="O10" s="67">
        <f t="shared" si="1"/>
        <v>3.5983753243099624E-2</v>
      </c>
      <c r="P10" s="210">
        <v>0.6</v>
      </c>
      <c r="Q10" s="214">
        <f t="shared" si="2"/>
        <v>2.1590251945859774E-2</v>
      </c>
      <c r="R10" s="157">
        <f t="shared" si="3"/>
        <v>2.1590251945859774E-2</v>
      </c>
      <c r="S10" s="176">
        <f t="shared" si="4"/>
        <v>0.97840974805414027</v>
      </c>
      <c r="T10" s="177">
        <f>R10*PRODUCT(S5:S9)*PRODUCT(S11:S19)</f>
        <v>1.3886692730542652E-2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5.3682334530476255E-3</v>
      </c>
      <c r="W10" s="186" t="s">
        <v>46</v>
      </c>
      <c r="X10" s="15" t="s">
        <v>47</v>
      </c>
      <c r="Y10" s="69">
        <f t="shared" si="5"/>
        <v>3.5983753243099624E-2</v>
      </c>
      <c r="Z10" s="69">
        <f>Z3</f>
        <v>0.56999999999999995</v>
      </c>
      <c r="AA10" s="69">
        <f t="shared" si="6"/>
        <v>2.0510739348566783E-2</v>
      </c>
      <c r="AB10" s="157">
        <f t="shared" si="7"/>
        <v>2.0510739348566783E-2</v>
      </c>
      <c r="AC10" s="176">
        <f t="shared" si="8"/>
        <v>0.97948926065143327</v>
      </c>
      <c r="AD10" s="177">
        <f>AB10*PRODUCT(AC5:AC9)*PRODUCT(AC11:AC19)</f>
        <v>1.5403932885029966E-2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4.6253119546562412E-3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0.57574005188959398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2.0456217632969297E-6</v>
      </c>
      <c r="BL10">
        <f>BH44+1</f>
        <v>6</v>
      </c>
      <c r="BM10">
        <v>6</v>
      </c>
      <c r="BN10" s="107">
        <f>$H$31*H45</f>
        <v>9.0249662610172236E-4</v>
      </c>
      <c r="BP10">
        <f>BP7+1</f>
        <v>4</v>
      </c>
      <c r="BQ10">
        <v>0</v>
      </c>
      <c r="BR10" s="107">
        <f>$H$29*H39</f>
        <v>2.822997723307798E-2</v>
      </c>
    </row>
    <row r="11" spans="1:70" x14ac:dyDescent="0.25">
      <c r="A11" s="6" t="s">
        <v>6</v>
      </c>
      <c r="B11" s="168">
        <v>11.25</v>
      </c>
      <c r="C11" s="169">
        <v>11.75</v>
      </c>
      <c r="E11" s="192" t="s">
        <v>19</v>
      </c>
      <c r="F11" s="167" t="s">
        <v>21</v>
      </c>
      <c r="G11" s="167"/>
      <c r="H11" s="10"/>
      <c r="I11" s="10"/>
      <c r="J11" s="166" t="s">
        <v>123</v>
      </c>
      <c r="K11" s="166"/>
      <c r="L11" s="10"/>
      <c r="M11" s="10"/>
      <c r="O11" s="67">
        <f t="shared" si="1"/>
        <v>3.5983753243099624E-2</v>
      </c>
      <c r="P11" s="210">
        <f>P3</f>
        <v>0.7</v>
      </c>
      <c r="Q11" s="214">
        <f t="shared" si="2"/>
        <v>2.5188627270169735E-2</v>
      </c>
      <c r="R11" s="157">
        <f t="shared" si="3"/>
        <v>2.5188627270169735E-2</v>
      </c>
      <c r="S11" s="176">
        <f t="shared" si="4"/>
        <v>0.97481137272983032</v>
      </c>
      <c r="T11" s="177">
        <f>R11*PRODUCT(S5:S10)*PRODUCT(S12:S19)</f>
        <v>1.6260945691853997E-2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5.8658832435469471E-3</v>
      </c>
      <c r="W11" s="186" t="s">
        <v>48</v>
      </c>
      <c r="X11" s="15" t="s">
        <v>49</v>
      </c>
      <c r="Y11" s="69">
        <f t="shared" si="5"/>
        <v>3.5983753243099624E-2</v>
      </c>
      <c r="Z11" s="69">
        <f>Z3</f>
        <v>0.56999999999999995</v>
      </c>
      <c r="AA11" s="69">
        <f t="shared" si="6"/>
        <v>2.0510739348566783E-2</v>
      </c>
      <c r="AB11" s="157">
        <f t="shared" si="7"/>
        <v>2.0510739348566783E-2</v>
      </c>
      <c r="AC11" s="176">
        <f t="shared" si="8"/>
        <v>0.97948926065143327</v>
      </c>
      <c r="AD11" s="177">
        <f>AB11*PRODUCT(AC5:AC10)*PRODUCT(AC12:AC19)</f>
        <v>1.5403932885029966E-2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4.3027499164185398E-3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0.57574005188959398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2.5954852478017109E-7</v>
      </c>
      <c r="BL11">
        <f>BH50+1</f>
        <v>7</v>
      </c>
      <c r="BM11">
        <v>7</v>
      </c>
      <c r="BN11" s="107">
        <f>$H$32*H46</f>
        <v>8.445588865527204E-5</v>
      </c>
      <c r="BP11">
        <f>BP8+1</f>
        <v>4</v>
      </c>
      <c r="BQ11">
        <v>1</v>
      </c>
      <c r="BR11" s="107">
        <f>$H$29*H40</f>
        <v>6.2630345633524626E-2</v>
      </c>
    </row>
    <row r="12" spans="1:70" x14ac:dyDescent="0.25">
      <c r="A12" s="6" t="s">
        <v>7</v>
      </c>
      <c r="B12" s="168">
        <v>18.5</v>
      </c>
      <c r="C12" s="169">
        <v>15.5</v>
      </c>
      <c r="E12" s="192" t="s">
        <v>19</v>
      </c>
      <c r="F12" s="167" t="s">
        <v>16</v>
      </c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2.6484042386921321E-3</v>
      </c>
      <c r="P12" s="210">
        <f>P2</f>
        <v>0.65</v>
      </c>
      <c r="Q12" s="214">
        <f t="shared" si="2"/>
        <v>1.721462755149886E-3</v>
      </c>
      <c r="R12" s="157">
        <f t="shared" si="3"/>
        <v>1.721462755149886E-3</v>
      </c>
      <c r="S12" s="176">
        <f t="shared" si="4"/>
        <v>0.99827853724485016</v>
      </c>
      <c r="T12" s="177">
        <f>R12*PRODUCT(S5:S11)*PRODUCT(S13:S19)</f>
        <v>1.0851949988266493E-3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3.8959587301298163E-4</v>
      </c>
      <c r="W12" s="187" t="s">
        <v>50</v>
      </c>
      <c r="X12" s="15" t="s">
        <v>51</v>
      </c>
      <c r="Y12" s="69">
        <f t="shared" si="5"/>
        <v>2.6484042386921321E-3</v>
      </c>
      <c r="Z12" s="69">
        <f>Z2</f>
        <v>0.45</v>
      </c>
      <c r="AA12" s="69">
        <f t="shared" si="6"/>
        <v>1.1917819074114594E-3</v>
      </c>
      <c r="AB12" s="157">
        <f t="shared" si="7"/>
        <v>1.1917819074114594E-3</v>
      </c>
      <c r="AC12" s="176">
        <f t="shared" si="8"/>
        <v>0.99880821809258857</v>
      </c>
      <c r="AD12" s="177">
        <f>AB12*PRODUCT(AC5:AC11)*PRODUCT(AC13:AC19)</f>
        <v>8.7773751712822551E-4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2.4412935394833906E-4</v>
      </c>
      <c r="AG12" s="203">
        <f>IF(COUNTA(F6:F10)+COUNTA(J6:J10)=0,0,COUNTA(F6:F10)/(COUNTA(F6:F10)+COUNTA(J6:J10)))</f>
        <v>0.6</v>
      </c>
      <c r="AH12">
        <f>COUNTA(J6:J10)</f>
        <v>2</v>
      </c>
      <c r="AI12" s="207">
        <f t="shared" si="9"/>
        <v>1.324202119346066E-2</v>
      </c>
      <c r="AK12" s="203">
        <f>IF(COUNTA(J6:J10)+COUNTA(F6:F10)=0,0,COUNTA(J6:J10)/(COUNTA(J6:J10)+COUNTA(F6:F10)))</f>
        <v>0.4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2.4549299860450028E-8</v>
      </c>
      <c r="BL12">
        <f>BH54+1</f>
        <v>8</v>
      </c>
      <c r="BM12">
        <v>8</v>
      </c>
      <c r="BN12" s="107">
        <f>$H$33*H47</f>
        <v>4.3601922143013456E-6</v>
      </c>
      <c r="BP12">
        <f>BP9+1</f>
        <v>4</v>
      </c>
      <c r="BQ12">
        <v>2</v>
      </c>
      <c r="BR12" s="107">
        <f>$H$29*H41</f>
        <v>6.391164595070141E-2</v>
      </c>
    </row>
    <row r="13" spans="1:70" x14ac:dyDescent="0.25">
      <c r="A13" s="7" t="s">
        <v>8</v>
      </c>
      <c r="B13" s="168">
        <v>13</v>
      </c>
      <c r="C13" s="169">
        <v>10</v>
      </c>
      <c r="E13" s="192" t="s">
        <v>19</v>
      </c>
      <c r="F13" s="167" t="s">
        <v>21</v>
      </c>
      <c r="G13" s="167"/>
      <c r="H13" s="10"/>
      <c r="I13" s="10"/>
      <c r="J13" s="166" t="s">
        <v>16</v>
      </c>
      <c r="K13" s="166"/>
      <c r="L13" s="10"/>
      <c r="M13" s="10"/>
      <c r="O13" s="67">
        <f t="shared" si="1"/>
        <v>9.2024084932131836E-2</v>
      </c>
      <c r="P13" s="210">
        <f>P3</f>
        <v>0.7</v>
      </c>
      <c r="Q13" s="214">
        <f t="shared" si="2"/>
        <v>6.4416859452492287E-2</v>
      </c>
      <c r="R13" s="157">
        <f t="shared" si="3"/>
        <v>6.4416859452492287E-2</v>
      </c>
      <c r="S13" s="176">
        <f t="shared" si="4"/>
        <v>0.93558314054750769</v>
      </c>
      <c r="T13" s="177">
        <f>R13*PRODUCT(S5:S12)*PRODUCT(S14:S19)</f>
        <v>4.3329038034887787E-2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1.2572263551745682E-2</v>
      </c>
      <c r="W13" s="186" t="s">
        <v>52</v>
      </c>
      <c r="X13" s="15" t="s">
        <v>53</v>
      </c>
      <c r="Y13" s="69">
        <f t="shared" si="5"/>
        <v>7.7588934354542546E-2</v>
      </c>
      <c r="Z13" s="69">
        <f>Z3</f>
        <v>0.56999999999999995</v>
      </c>
      <c r="AA13" s="69">
        <f t="shared" si="6"/>
        <v>4.4225692582089249E-2</v>
      </c>
      <c r="AB13" s="157">
        <f t="shared" si="7"/>
        <v>4.4225692582089249E-2</v>
      </c>
      <c r="AC13" s="176">
        <f t="shared" si="8"/>
        <v>0.95577430741791081</v>
      </c>
      <c r="AD13" s="177">
        <f>AB13*PRODUCT(AC5:AC12)*PRODUCT(AC14:AC19)</f>
        <v>3.4038410508769837E-2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7.8922376708633803E-3</v>
      </c>
      <c r="AG13" s="203">
        <f>B22</f>
        <v>0.54255319148936165</v>
      </c>
      <c r="AH13">
        <v>1</v>
      </c>
      <c r="AI13" s="207">
        <f t="shared" si="9"/>
        <v>0.16961301928667438</v>
      </c>
      <c r="AK13" s="203">
        <f>C22</f>
        <v>0.45744680851063835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1.6898866289362488E-9</v>
      </c>
      <c r="BL13">
        <f>BH57+1</f>
        <v>9</v>
      </c>
      <c r="BM13">
        <v>9</v>
      </c>
      <c r="BN13" s="107">
        <f>$H$34*H48</f>
        <v>1.217541437263584E-7</v>
      </c>
      <c r="BP13">
        <f>BL7+1</f>
        <v>4</v>
      </c>
      <c r="BQ13">
        <v>3</v>
      </c>
      <c r="BR13" s="107">
        <f>$H$29*H42</f>
        <v>3.9728713525773875E-2</v>
      </c>
    </row>
    <row r="14" spans="1:70" x14ac:dyDescent="0.25">
      <c r="A14" s="7" t="s">
        <v>9</v>
      </c>
      <c r="B14" s="168">
        <v>11</v>
      </c>
      <c r="C14" s="169">
        <v>7.25</v>
      </c>
      <c r="E14" s="192" t="s">
        <v>20</v>
      </c>
      <c r="F14" s="167" t="s">
        <v>154</v>
      </c>
      <c r="G14" s="167"/>
      <c r="H14" s="10"/>
      <c r="I14" s="10"/>
      <c r="J14" s="166" t="s">
        <v>16</v>
      </c>
      <c r="K14" s="166"/>
      <c r="L14" s="10"/>
      <c r="M14" s="10"/>
      <c r="O14" s="67">
        <f t="shared" si="1"/>
        <v>0.24100478572098408</v>
      </c>
      <c r="P14" s="210">
        <v>0.7</v>
      </c>
      <c r="Q14" s="214">
        <f t="shared" si="2"/>
        <v>0.16870335000468883</v>
      </c>
      <c r="R14" s="157">
        <f t="shared" si="3"/>
        <v>0.16870335000468883</v>
      </c>
      <c r="S14" s="176">
        <f t="shared" si="4"/>
        <v>0.83129664999531117</v>
      </c>
      <c r="T14" s="177">
        <f>R14*PRODUCT(S5:S13)*PRODUCT(S15:S19)</f>
        <v>0.12771136976661712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1.1138718824522083E-2</v>
      </c>
      <c r="W14" s="186" t="s">
        <v>54</v>
      </c>
      <c r="X14" s="15" t="s">
        <v>55</v>
      </c>
      <c r="Y14" s="69">
        <f t="shared" si="5"/>
        <v>0</v>
      </c>
      <c r="Z14" s="211">
        <f>IF(COUNTIF(J6:J18,"CAB")-COUNTIF(F6:F18,"CAB")&gt;2,0.8,IF(COUNTIF(J6:J18,"CAB")-COUNTIF(F6:F18,"CAB")&gt;0,0.6,IF(COUNTIF(J6:J18,"CAB")-COUNTIF(F6:F18,"CAB")=0,0.5,0.15)))</f>
        <v>0.15</v>
      </c>
      <c r="AA14" s="69">
        <f t="shared" si="6"/>
        <v>0</v>
      </c>
      <c r="AB14" s="157">
        <f t="shared" si="7"/>
        <v>0</v>
      </c>
      <c r="AC14" s="176">
        <f t="shared" si="8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G14" s="203">
        <f>IF(AL14=0,1,B22)</f>
        <v>1</v>
      </c>
      <c r="AH14">
        <f>IF(COUNTIF(F6:F18,"CAB")&gt;0,1,0)</f>
        <v>1</v>
      </c>
      <c r="AI14" s="207">
        <f t="shared" si="9"/>
        <v>0.24100478572098408</v>
      </c>
      <c r="AK14" s="203">
        <f>IF(AH14=0,1,C22)</f>
        <v>0.45744680851063835</v>
      </c>
      <c r="AL14">
        <f>IF(COUNTIF(J6:J18,"CAB")&gt;0,1,0)</f>
        <v>0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5.4153891616930093E-3</v>
      </c>
      <c r="BL14">
        <f>BP39+1</f>
        <v>10</v>
      </c>
      <c r="BM14">
        <v>10</v>
      </c>
      <c r="BN14" s="107">
        <f>$H$35*H49</f>
        <v>1.7568518702238728E-9</v>
      </c>
      <c r="BP14">
        <f>BP10+1</f>
        <v>5</v>
      </c>
      <c r="BQ14">
        <v>0</v>
      </c>
      <c r="BR14" s="107">
        <f>$H$30*H39</f>
        <v>2.9403999077519595E-2</v>
      </c>
    </row>
    <row r="15" spans="1:70" x14ac:dyDescent="0.25">
      <c r="A15" s="189" t="s">
        <v>71</v>
      </c>
      <c r="B15" s="170">
        <v>10</v>
      </c>
      <c r="C15" s="171">
        <v>7.5</v>
      </c>
      <c r="E15" s="192" t="s">
        <v>20</v>
      </c>
      <c r="F15" s="167" t="s">
        <v>146</v>
      </c>
      <c r="G15" s="167"/>
      <c r="H15" s="10"/>
      <c r="I15" s="10"/>
      <c r="J15" s="166" t="s">
        <v>16</v>
      </c>
      <c r="K15" s="166"/>
      <c r="L15" s="10"/>
      <c r="M15" s="10"/>
      <c r="O15" s="67">
        <f t="shared" si="1"/>
        <v>2.436482900443409E-2</v>
      </c>
      <c r="P15" s="210">
        <f>R3</f>
        <v>0.75</v>
      </c>
      <c r="Q15" s="214">
        <f t="shared" si="2"/>
        <v>1.8273621753325565E-2</v>
      </c>
      <c r="R15" s="157">
        <f t="shared" si="3"/>
        <v>1.8273621753325565E-2</v>
      </c>
      <c r="S15" s="176">
        <f t="shared" si="4"/>
        <v>0.98172637824667441</v>
      </c>
      <c r="T15" s="177">
        <f>R15*PRODUCT(S5:S14)*PRODUCT(S16:S19)</f>
        <v>1.1713752876915425E-2</v>
      </c>
      <c r="U15" s="177">
        <f>R15*R16*PRODUCT(S5:S14)*PRODUCT(S17:S19)+R15*R17*PRODUCT(S5:S14)*S16*PRODUCT(S18:S19)+R15*R18*PRODUCT(S5:S14)*S16*S17*S19+R15*R19*PRODUCT(S5:S14)*S16*S17*S18</f>
        <v>8.0361203529248474E-4</v>
      </c>
      <c r="W15" s="186" t="s">
        <v>56</v>
      </c>
      <c r="X15" s="15" t="s">
        <v>57</v>
      </c>
      <c r="Y15" s="69">
        <f t="shared" si="5"/>
        <v>2.0542895042954236E-2</v>
      </c>
      <c r="Z15" s="69">
        <f>AB3</f>
        <v>0.75</v>
      </c>
      <c r="AA15" s="69">
        <f t="shared" si="6"/>
        <v>1.5407171282215677E-2</v>
      </c>
      <c r="AB15" s="157">
        <f t="shared" si="7"/>
        <v>1.5407171282215677E-2</v>
      </c>
      <c r="AC15" s="176">
        <f t="shared" si="8"/>
        <v>0.98459282871778431</v>
      </c>
      <c r="AD15" s="177">
        <f>AB15*PRODUCT(AC5:AC14)*PRODUCT(AC16:AC19)</f>
        <v>1.1511084001378735E-2</v>
      </c>
      <c r="AE15" s="177">
        <f>AB15*AB16*PRODUCT(AC5:AC14)*PRODUCT(AC17:AC19)+AB15*AB17*PRODUCT(AC5:AC14)*AC16*PRODUCT(AC18:AC19)+AB15*AB18*PRODUCT(AC5:AC14)*AC16*AC17*AC19+AB15*AB19*PRODUCT(AC5:AC14)*AC16*AC17*AC18</f>
        <v>2.4888624711808436E-3</v>
      </c>
      <c r="AG15" s="203">
        <f>IF(AL15=0,1,B22)</f>
        <v>0.54255319148936165</v>
      </c>
      <c r="AH15">
        <v>1</v>
      </c>
      <c r="AI15" s="207">
        <f t="shared" si="9"/>
        <v>4.4907724047388325E-2</v>
      </c>
      <c r="AK15" s="203">
        <f>IF(AH15=0,1,C22)</f>
        <v>0.45744680851063835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3.3663104968605674E-3</v>
      </c>
      <c r="BP15">
        <f>BP11+1</f>
        <v>5</v>
      </c>
      <c r="BQ15">
        <v>1</v>
      </c>
      <c r="BR15" s="107">
        <f>$H$30*H40</f>
        <v>6.5235002140740281E-2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1.6434316034363392E-2</v>
      </c>
      <c r="P16" s="210">
        <v>0.15</v>
      </c>
      <c r="Q16" s="214">
        <f t="shared" si="2"/>
        <v>2.4651474051545085E-3</v>
      </c>
      <c r="R16" s="157">
        <f t="shared" si="3"/>
        <v>2.4651474051545085E-3</v>
      </c>
      <c r="S16" s="176">
        <f t="shared" si="4"/>
        <v>0.99753485259484553</v>
      </c>
      <c r="T16" s="177">
        <f>R16*PRODUCT(S5:S15)*PRODUCT(S17:S19)</f>
        <v>1.5551658167072785E-3</v>
      </c>
      <c r="U16" s="177">
        <f>R16*R17*PRODUCT(S5:S15)*PRODUCT(S18:S19)+R16*R18*PRODUCT(S5:S15)*S17*S19+R16*R19*PRODUCT(S5:S15)*S17*S18</f>
        <v>1.0284763875945032E-4</v>
      </c>
      <c r="W16" s="187" t="s">
        <v>58</v>
      </c>
      <c r="X16" s="15" t="s">
        <v>59</v>
      </c>
      <c r="Y16" s="69">
        <f t="shared" si="5"/>
        <v>1.9491863203547274E-2</v>
      </c>
      <c r="Z16" s="69">
        <v>0.15</v>
      </c>
      <c r="AA16" s="69">
        <f t="shared" si="6"/>
        <v>2.9237794805320912E-3</v>
      </c>
      <c r="AB16" s="157">
        <f t="shared" si="7"/>
        <v>2.9237794805320912E-3</v>
      </c>
      <c r="AC16" s="176">
        <f t="shared" si="8"/>
        <v>0.99707622051946787</v>
      </c>
      <c r="AD16" s="177">
        <f>AB16*PRODUCT(AC5:AC15)*PRODUCT(AC17:AC19)</f>
        <v>2.1570799187850685E-3</v>
      </c>
      <c r="AE16" s="177">
        <f>AB16*AB17*PRODUCT(AC5:AC15)*PRODUCT(AC18:AC19)+AB16*AB18*PRODUCT(AC5:AC15)*AC17*AC19+AB16*AB19*PRODUCT(AC5:AC15)*AC17*AC18</f>
        <v>4.6006648622308748E-4</v>
      </c>
      <c r="AG16" s="203">
        <f>C22</f>
        <v>0.45744680851063835</v>
      </c>
      <c r="AH16">
        <v>1</v>
      </c>
      <c r="AI16" s="207">
        <f t="shared" si="9"/>
        <v>3.5926179237910666E-2</v>
      </c>
      <c r="AK16" s="203">
        <f>B22</f>
        <v>0.54255319148936165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1.4227817748554386E-3</v>
      </c>
      <c r="BP16">
        <f>BP12+1</f>
        <v>5</v>
      </c>
      <c r="BQ16">
        <v>2</v>
      </c>
      <c r="BR16" s="107">
        <f>$H$30*H41</f>
        <v>6.6569588882813391E-2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 t="s">
        <v>21</v>
      </c>
      <c r="K17" s="166"/>
      <c r="L17" s="10"/>
      <c r="M17" s="10"/>
      <c r="O17" s="67">
        <f t="shared" si="1"/>
        <v>6.2698091650776777E-2</v>
      </c>
      <c r="P17" s="210">
        <f>P3</f>
        <v>0.7</v>
      </c>
      <c r="Q17" s="214">
        <f t="shared" si="2"/>
        <v>4.3888664155543738E-2</v>
      </c>
      <c r="R17" s="157">
        <f t="shared" si="3"/>
        <v>4.3888664155543738E-2</v>
      </c>
      <c r="S17" s="176">
        <f t="shared" si="4"/>
        <v>0.95611133584445629</v>
      </c>
      <c r="T17" s="177">
        <f>R17*PRODUCT(S5:S16)*PRODUCT(S18:S19)</f>
        <v>2.8887222181892748E-2</v>
      </c>
      <c r="U17" s="177">
        <f>R17*R18*PRODUCT(S5:S16)*S19+R17*R19*PRODUCT(S5:S16)*S18</f>
        <v>5.8437723736169071E-4</v>
      </c>
      <c r="W17" s="186" t="s">
        <v>60</v>
      </c>
      <c r="X17" s="15" t="s">
        <v>61</v>
      </c>
      <c r="Y17" s="69">
        <f t="shared" si="5"/>
        <v>6.2698091650776777E-2</v>
      </c>
      <c r="Z17" s="69">
        <f>Z3</f>
        <v>0.56999999999999995</v>
      </c>
      <c r="AA17" s="69">
        <f t="shared" si="6"/>
        <v>3.5737912240942762E-2</v>
      </c>
      <c r="AB17" s="157">
        <f t="shared" si="7"/>
        <v>3.5737912240942762E-2</v>
      </c>
      <c r="AC17" s="176">
        <f t="shared" si="8"/>
        <v>0.9642620877590572</v>
      </c>
      <c r="AD17" s="177">
        <f>AB17*PRODUCT(AC5:AC16)*PRODUCT(AC18:AC19)</f>
        <v>2.7263654343563305E-2</v>
      </c>
      <c r="AE17" s="177">
        <f>AB17*AB18*PRODUCT(AC5:AC16)*AC19+AB17*AB19*PRODUCT(AC5:AC16)*AC18</f>
        <v>4.8043911000521973E-3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0.12539618330155355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4.320669060983849E-4</v>
      </c>
      <c r="BP17">
        <f>BP13+1</f>
        <v>5</v>
      </c>
      <c r="BQ17">
        <v>3</v>
      </c>
      <c r="BR17" s="107">
        <f>$H$30*H42</f>
        <v>4.1380942188437089E-2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21</v>
      </c>
      <c r="G18" s="167"/>
      <c r="H18" s="10"/>
      <c r="I18" s="10"/>
      <c r="J18" s="166" t="s">
        <v>21</v>
      </c>
      <c r="K18" s="166"/>
      <c r="L18" s="10"/>
      <c r="M18" s="10"/>
      <c r="O18" s="67">
        <f t="shared" si="1"/>
        <v>2.3605342127473356E-2</v>
      </c>
      <c r="P18" s="210">
        <f>P17*1.2</f>
        <v>0.84</v>
      </c>
      <c r="Q18" s="214">
        <f t="shared" si="2"/>
        <v>1.9828487387077619E-2</v>
      </c>
      <c r="R18" s="157">
        <f t="shared" si="3"/>
        <v>1.9828487387077619E-2</v>
      </c>
      <c r="S18" s="176">
        <f t="shared" si="4"/>
        <v>0.98017151261292235</v>
      </c>
      <c r="T18" s="177">
        <f>R18*PRODUCT(S5:S17)*PRODUCT(S19:S19)</f>
        <v>1.2730615337728476E-2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0</v>
      </c>
      <c r="Z18" s="69">
        <f>Z17*1.2</f>
        <v>0.68399999999999994</v>
      </c>
      <c r="AA18" s="69">
        <f t="shared" si="6"/>
        <v>0</v>
      </c>
      <c r="AB18" s="157">
        <f t="shared" si="7"/>
        <v>0</v>
      </c>
      <c r="AC18" s="176">
        <f t="shared" si="8"/>
        <v>1</v>
      </c>
      <c r="AD18" s="177">
        <f>AB18*PRODUCT(AC5:AC17)*PRODUCT(AC19:AC19)</f>
        <v>0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1</v>
      </c>
      <c r="AH18">
        <f>COUNTIF(F11:F18,"CAB")</f>
        <v>1</v>
      </c>
      <c r="AI18" s="207">
        <f t="shared" si="9"/>
        <v>0.18884273701978685</v>
      </c>
      <c r="AK18" s="203">
        <f>IF(COUNTA(J14:J15)&gt;0,IF(COUNTIF(J11:J18,"CAB")+COUNTIF(F11:F18,"CAB")=0,0,COUNTIF(J11:J18,"CAB")/(COUNTIF(J11:J18,"CAB")+COUNTIF(F11:F18,"CAB"))),0)</f>
        <v>0</v>
      </c>
      <c r="AL18">
        <f>COUNTIF(J11:J18,"CAB")</f>
        <v>0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9.7096702921616265E-5</v>
      </c>
      <c r="BP18">
        <f>BL8+1</f>
        <v>5</v>
      </c>
      <c r="BQ18">
        <v>4</v>
      </c>
      <c r="BR18" s="107">
        <f>$H$30*H43</f>
        <v>1.7489786051216257E-2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0.7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0.26283972718889692</v>
      </c>
      <c r="Z19" s="69">
        <f>Z3</f>
        <v>0.56999999999999995</v>
      </c>
      <c r="AA19" s="69">
        <f t="shared" si="6"/>
        <v>0.14981864449767124</v>
      </c>
      <c r="AB19" s="157">
        <f t="shared" si="7"/>
        <v>0.14981864449767124</v>
      </c>
      <c r="AC19" s="178">
        <f t="shared" si="8"/>
        <v>0.85018135550232876</v>
      </c>
      <c r="AD19" s="179">
        <f>AB19*PRODUCT(AC5:AC18)</f>
        <v>0.12962962585262522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3</v>
      </c>
      <c r="AI19" s="207">
        <f t="shared" si="9"/>
        <v>0.70090593917039179</v>
      </c>
      <c r="AK19" s="203">
        <v>1</v>
      </c>
      <c r="AL19">
        <f>COUNTIF(J11:J18,"TEC")</f>
        <v>3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1.63761089199864E-5</v>
      </c>
      <c r="BP19">
        <f>BP15+1</f>
        <v>6</v>
      </c>
      <c r="BQ19">
        <v>1</v>
      </c>
      <c r="BR19" s="107">
        <f>$H$31*H40</f>
        <v>4.9325963994734774E-2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0.62930602059977214</v>
      </c>
      <c r="T20" s="181">
        <f>SUM(T5:T19)</f>
        <v>0.30653420743280912</v>
      </c>
      <c r="U20" s="181">
        <f>SUM(U5:U19)</f>
        <v>5.7932909433368582E-2</v>
      </c>
      <c r="V20" s="181">
        <f>1-S20-T20-U20</f>
        <v>6.226862534050151E-3</v>
      </c>
      <c r="W20" s="21"/>
      <c r="X20" s="22"/>
      <c r="Y20" s="22"/>
      <c r="Z20" s="22"/>
      <c r="AA20" s="22"/>
      <c r="AB20" s="23"/>
      <c r="AC20" s="184">
        <f>PRODUCT(AC5:AC19)</f>
        <v>0.73561399110347514</v>
      </c>
      <c r="AD20" s="181">
        <f>SUM(AD5:AD19)</f>
        <v>0.23777503186954449</v>
      </c>
      <c r="AE20" s="181">
        <f>SUM(AE5:AE19)</f>
        <v>2.5296212752068576E-2</v>
      </c>
      <c r="AF20" s="181">
        <f>1-AC20-AD20-AE20</f>
        <v>1.3147642749117942E-3</v>
      </c>
      <c r="BH20">
        <v>1</v>
      </c>
      <c r="BI20">
        <v>8</v>
      </c>
      <c r="BJ20" s="107">
        <f t="shared" si="11"/>
        <v>2.0778009835853071E-6</v>
      </c>
      <c r="BP20">
        <f>BP16+1</f>
        <v>6</v>
      </c>
      <c r="BQ20">
        <v>2</v>
      </c>
      <c r="BR20" s="107">
        <f>$H$31*H41</f>
        <v>5.033508142291121E-2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1.9652802665542503E-7</v>
      </c>
      <c r="BP21">
        <f>BP17+1</f>
        <v>6</v>
      </c>
      <c r="BQ21">
        <v>3</v>
      </c>
      <c r="BR21" s="107">
        <f>$H$31*H42</f>
        <v>3.1289258794709472E-2</v>
      </c>
    </row>
    <row r="22" spans="1:70" x14ac:dyDescent="0.25">
      <c r="A22" s="26" t="s">
        <v>77</v>
      </c>
      <c r="B22" s="62">
        <f>(B6)/((B6)+(C6))</f>
        <v>0.54255319148936165</v>
      </c>
      <c r="C22" s="63">
        <f>1-B22</f>
        <v>0.45744680851063835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1.3528291492796217E-8</v>
      </c>
      <c r="BP22">
        <f>BP18+1</f>
        <v>6</v>
      </c>
      <c r="BQ22">
        <v>4</v>
      </c>
      <c r="BR22" s="107">
        <f>$H$31*H43</f>
        <v>1.3224504157701829E-2</v>
      </c>
    </row>
    <row r="23" spans="1:70" ht="15.75" thickBot="1" x14ac:dyDescent="0.3">
      <c r="A23" s="40" t="s">
        <v>67</v>
      </c>
      <c r="B23" s="56">
        <f>((B22^2.8)/((B22^2.8)+(C22^2.8)))*B21</f>
        <v>3.0860838574572313</v>
      </c>
      <c r="C23" s="57">
        <f>B21-B23</f>
        <v>1.9139161425427687</v>
      </c>
      <c r="D23" s="151">
        <f>SUM(D25:D30)</f>
        <v>1</v>
      </c>
      <c r="E23" s="151">
        <f>SUM(E25:E30)</f>
        <v>1</v>
      </c>
      <c r="H23" s="59">
        <f>SUM(H25:H35)</f>
        <v>0.99962443147201985</v>
      </c>
      <c r="J23" s="59">
        <f>SUM(J25:J35)</f>
        <v>0.99999999999999978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1.0000000000000002</v>
      </c>
      <c r="T23" s="59">
        <f>SUM(T25:T35)</f>
        <v>1</v>
      </c>
      <c r="V23" s="59">
        <f>SUM(V25:V34)</f>
        <v>0.99147641220278715</v>
      </c>
      <c r="Y23" s="80">
        <f>SUM(Y25:Y35)</f>
        <v>6.6861354795099681E-5</v>
      </c>
      <c r="Z23" s="81"/>
      <c r="AA23" s="80">
        <f>SUM(AA25:AA35)</f>
        <v>1.0787743162206061E-3</v>
      </c>
      <c r="AB23" s="81"/>
      <c r="AC23" s="80">
        <f>SUM(AC25:AC35)</f>
        <v>7.8335485170544818E-3</v>
      </c>
      <c r="AD23" s="81"/>
      <c r="AE23" s="80">
        <f>SUM(AE25:AE35)</f>
        <v>3.3715152955280304E-2</v>
      </c>
      <c r="AF23" s="81"/>
      <c r="AG23" s="80">
        <f>SUM(AG25:AG35)</f>
        <v>9.5253009146406872E-2</v>
      </c>
      <c r="AH23" s="81"/>
      <c r="AI23" s="80">
        <f>SUM(AI25:AI35)</f>
        <v>0.1846085164560668</v>
      </c>
      <c r="AJ23" s="81"/>
      <c r="AK23" s="80">
        <f>SUM(AK25:AK35)</f>
        <v>0.2486244195652943</v>
      </c>
      <c r="AL23" s="81"/>
      <c r="AM23" s="80">
        <f>SUM(AM25:AM35)</f>
        <v>0.22986369020306516</v>
      </c>
      <c r="AN23" s="81"/>
      <c r="AO23" s="80">
        <f>SUM(AO25:AO35)</f>
        <v>0.13977989964724979</v>
      </c>
      <c r="AP23" s="81"/>
      <c r="AQ23" s="80">
        <f>SUM(AQ25:AQ35)</f>
        <v>5.0652540041353653E-2</v>
      </c>
      <c r="AR23" s="81"/>
      <c r="AS23" s="80">
        <f>SUM(AS25:AS35)</f>
        <v>8.5235877972128487E-3</v>
      </c>
      <c r="BH23">
        <f t="shared" ref="BH23:BH30" si="12">BH15+1</f>
        <v>2</v>
      </c>
      <c r="BI23">
        <v>3</v>
      </c>
      <c r="BJ23" s="107">
        <f t="shared" ref="BJ23:BJ30" si="13">$H$27*H42</f>
        <v>1.227697560562457E-2</v>
      </c>
      <c r="BP23">
        <f>BL9+1</f>
        <v>6</v>
      </c>
      <c r="BQ23">
        <v>5</v>
      </c>
      <c r="BR23" s="107">
        <f>$H$31*H44</f>
        <v>4.0159852319474739E-3</v>
      </c>
    </row>
    <row r="24" spans="1:70" ht="15.75" thickBot="1" x14ac:dyDescent="0.3">
      <c r="A24" s="26" t="s">
        <v>76</v>
      </c>
      <c r="B24" s="64">
        <f>B23/B21</f>
        <v>0.61721677149144627</v>
      </c>
      <c r="C24" s="65">
        <f>C23/B21</f>
        <v>0.38278322850855373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5.1889025561717081E-3</v>
      </c>
      <c r="BP24">
        <f>BH49+1</f>
        <v>7</v>
      </c>
      <c r="BQ24">
        <v>0</v>
      </c>
      <c r="BR24" s="107">
        <f t="shared" ref="BR24:BR30" si="14">$H$32*H39</f>
        <v>1.2336143560228637E-2</v>
      </c>
    </row>
    <row r="25" spans="1:70" x14ac:dyDescent="0.25">
      <c r="A25" s="26" t="s">
        <v>69</v>
      </c>
      <c r="B25" s="117">
        <f>1/(1+EXP(-3.1416*4*((B11/(B11+C8))-(3.1416/6))))</f>
        <v>0.59906392067981162</v>
      </c>
      <c r="C25" s="118">
        <f>1/(1+EXP(-3.1416*4*((C11/(C11+B8))-(3.1416/6))))</f>
        <v>0.31230459435858621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2.3048225062194836E-3</v>
      </c>
      <c r="I25" s="97">
        <v>0</v>
      </c>
      <c r="J25" s="98">
        <f t="shared" ref="J25:J35" si="15">Y25+AA25+AC25+AE25+AG25+AI25+AK25+AM25+AO25+AQ25+AS25</f>
        <v>3.6624828474115475E-3</v>
      </c>
      <c r="K25" s="97">
        <v>0</v>
      </c>
      <c r="L25" s="98">
        <f>S20</f>
        <v>0.62930602059977214</v>
      </c>
      <c r="M25" s="84">
        <v>0</v>
      </c>
      <c r="N25" s="71">
        <f>(1-$B$24)^$B$21</f>
        <v>8.2179691278040489E-3</v>
      </c>
      <c r="O25" s="70">
        <v>0</v>
      </c>
      <c r="P25" s="71">
        <f>N25</f>
        <v>8.2179691278040489E-3</v>
      </c>
      <c r="Q25" s="12">
        <v>0</v>
      </c>
      <c r="R25" s="73">
        <f>P25*N25</f>
        <v>6.7535016585540446E-5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6.6861354795099681E-5</v>
      </c>
      <c r="W25" s="136">
        <f>B31</f>
        <v>0.69496235623077796</v>
      </c>
      <c r="X25" s="12">
        <v>0</v>
      </c>
      <c r="Y25" s="79">
        <f>V25</f>
        <v>6.6861354795099681E-5</v>
      </c>
      <c r="Z25" s="12">
        <v>0</v>
      </c>
      <c r="AA25" s="78">
        <f>((1-W25)^Z26)*V26</f>
        <v>3.2906677557868736E-4</v>
      </c>
      <c r="AB25" s="12">
        <v>0</v>
      </c>
      <c r="AC25" s="79">
        <f>(((1-$W$25)^AB27))*V27</f>
        <v>7.2889574131801448E-4</v>
      </c>
      <c r="AD25" s="12">
        <v>0</v>
      </c>
      <c r="AE25" s="79">
        <f>(((1-$W$25)^AB28))*V28</f>
        <v>9.5694162767917296E-4</v>
      </c>
      <c r="AF25" s="12">
        <v>0</v>
      </c>
      <c r="AG25" s="79">
        <f>(((1-$W$25)^AB29))*V29</f>
        <v>8.2469327835382614E-4</v>
      </c>
      <c r="AH25" s="12">
        <v>0</v>
      </c>
      <c r="AI25" s="79">
        <f>(((1-$W$25)^AB30))*V30</f>
        <v>4.8754973007855012E-4</v>
      </c>
      <c r="AJ25" s="12">
        <v>0</v>
      </c>
      <c r="AK25" s="79">
        <f>(((1-$W$25)^AB31))*V31</f>
        <v>2.0029237114373865E-4</v>
      </c>
      <c r="AL25" s="12">
        <v>0</v>
      </c>
      <c r="AM25" s="79">
        <f>(((1-$W$25)^AB32))*V32</f>
        <v>5.6486470333463719E-5</v>
      </c>
      <c r="AN25" s="12">
        <v>0</v>
      </c>
      <c r="AO25" s="79">
        <f>(((1-$W$25)^AB33))*V33</f>
        <v>1.0477851168817774E-5</v>
      </c>
      <c r="AP25" s="12">
        <v>0</v>
      </c>
      <c r="AQ25" s="79">
        <f>(((1-$W$25)^AB34))*V34</f>
        <v>1.1581962837282162E-6</v>
      </c>
      <c r="AR25" s="12">
        <v>0</v>
      </c>
      <c r="AS25" s="79">
        <f>(((1-$W$25)^AB35))*V35</f>
        <v>5.9450678448729088E-8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1.5757532975982237E-3</v>
      </c>
      <c r="BP25">
        <f>BP19+1</f>
        <v>7</v>
      </c>
      <c r="BQ25">
        <v>1</v>
      </c>
      <c r="BR25" s="107">
        <f t="shared" si="14"/>
        <v>2.7368670140356974E-2</v>
      </c>
    </row>
    <row r="26" spans="1:70" x14ac:dyDescent="0.25">
      <c r="A26" s="40" t="s">
        <v>24</v>
      </c>
      <c r="B26" s="119">
        <f>1/(1+EXP(-3.1416*4*((B10/(B10+C9))-(3.1416/6))))</f>
        <v>0.71460035067696359</v>
      </c>
      <c r="C26" s="120">
        <f>1/(1+EXP(-3.1416*4*((C10/(C10+B9))-(3.1416/6))))</f>
        <v>0.41374759388050097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1.8451125755650073E-2</v>
      </c>
      <c r="I26" s="93">
        <v>1</v>
      </c>
      <c r="J26" s="86">
        <f t="shared" si="15"/>
        <v>2.7535807558725253E-2</v>
      </c>
      <c r="K26" s="93">
        <v>1</v>
      </c>
      <c r="L26" s="86">
        <f>T20</f>
        <v>0.30653420743280912</v>
      </c>
      <c r="M26" s="85">
        <v>1</v>
      </c>
      <c r="N26" s="71">
        <f>(($B$24)^M26)*((1-($B$24))^($B$21-M26))*HLOOKUP($B$21,$AV$24:$BF$34,M26+1)</f>
        <v>6.6255102046173436E-2</v>
      </c>
      <c r="O26" s="72">
        <v>1</v>
      </c>
      <c r="P26" s="71">
        <f t="shared" ref="P26:P30" si="16">N26</f>
        <v>6.6255102046173436E-2</v>
      </c>
      <c r="Q26" s="28">
        <v>1</v>
      </c>
      <c r="R26" s="37">
        <f>N26*P25+P26*N25</f>
        <v>1.0889647663499204E-3</v>
      </c>
      <c r="S26" s="72">
        <v>1</v>
      </c>
      <c r="T26" s="135">
        <f t="shared" ref="T26:T35" si="17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1.0787743162206061E-3</v>
      </c>
      <c r="W26" s="137"/>
      <c r="X26" s="28">
        <v>1</v>
      </c>
      <c r="Y26" s="73"/>
      <c r="Z26" s="28">
        <v>1</v>
      </c>
      <c r="AA26" s="79">
        <f>(1-((1-W25)^Z26))*V26</f>
        <v>7.4970754064191878E-4</v>
      </c>
      <c r="AB26" s="28">
        <v>1</v>
      </c>
      <c r="AC26" s="79">
        <f>((($W$25)^M26)*((1-($W$25))^($U$27-M26))*HLOOKUP($U$27,$AV$24:$BF$34,M26+1))*V27</f>
        <v>3.3212628813523363E-3</v>
      </c>
      <c r="AD26" s="28">
        <v>1</v>
      </c>
      <c r="AE26" s="79">
        <f>((($W$25)^M26)*((1-($W$25))^($U$28-M26))*HLOOKUP($U$28,$AV$24:$BF$34,M26+1))*V28</f>
        <v>6.5405541440358012E-3</v>
      </c>
      <c r="AF26" s="28">
        <v>1</v>
      </c>
      <c r="AG26" s="79">
        <f>((($W$25)^M26)*((1-($W$25))^($U$29-M26))*HLOOKUP($U$29,$AV$24:$BF$34,M26+1))*V29</f>
        <v>7.5155417123017815E-3</v>
      </c>
      <c r="AH26" s="28">
        <v>1</v>
      </c>
      <c r="AI26" s="79">
        <f>((($W$25)^M26)*((1-($W$25))^($U$30-M26))*HLOOKUP($U$30,$AV$24:$BF$34,M26+1))*V30</f>
        <v>5.5538835307063252E-3</v>
      </c>
      <c r="AJ26" s="28">
        <v>1</v>
      </c>
      <c r="AK26" s="79">
        <f>((($W$25)^M26)*((1-($W$25))^($U$31-M26))*HLOOKUP($U$31,$AV$24:$BF$34,M26+1))*V31</f>
        <v>2.7379373207539861E-3</v>
      </c>
      <c r="AL26" s="28">
        <v>1</v>
      </c>
      <c r="AM26" s="79">
        <f>((($W$25)^Q26)*((1-($W$25))^($U$32-Q26))*HLOOKUP($U$32,$AV$24:$BF$34,Q26+1))*V32</f>
        <v>9.0084551608529499E-4</v>
      </c>
      <c r="AN26" s="28">
        <v>1</v>
      </c>
      <c r="AO26" s="79">
        <f>((($W$25)^Q26)*((1-($W$25))^($U$33-Q26))*HLOOKUP($U$33,$AV$24:$BF$34,Q26+1))*V33</f>
        <v>1.9097215796817608E-4</v>
      </c>
      <c r="AP26" s="28">
        <v>1</v>
      </c>
      <c r="AQ26" s="79">
        <f>((($W$25)^Q26)*((1-($W$25))^($U$34-Q26))*HLOOKUP($U$34,$AV$24:$BF$34,Q26+1))*V34</f>
        <v>2.3748299637201529E-5</v>
      </c>
      <c r="AR26" s="28">
        <v>1</v>
      </c>
      <c r="AS26" s="79">
        <f>((($W$25)^Q26)*((1-($W$25))^($U$35-Q26))*HLOOKUP($U$35,$AV$24:$BF$34,Q26+1))*V35</f>
        <v>1.3544552424324698E-6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3.5411286459373619E-4</v>
      </c>
      <c r="BP26">
        <f>BP20+1</f>
        <v>7</v>
      </c>
      <c r="BQ26">
        <v>2</v>
      </c>
      <c r="BR26" s="107">
        <f t="shared" si="14"/>
        <v>2.7928582198590537E-2</v>
      </c>
    </row>
    <row r="27" spans="1:70" x14ac:dyDescent="0.25">
      <c r="A27" s="26" t="s">
        <v>25</v>
      </c>
      <c r="B27" s="119">
        <f>1/(1+EXP(-3.1416*4*((B12/(B12+C7))-(3.1416/6))))</f>
        <v>0.77462842181343583</v>
      </c>
      <c r="C27" s="120">
        <f>1/(1+EXP(-3.1416*4*((C12/(C12+B7))-(3.1416/6))))</f>
        <v>0.451759584058536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6.7291481581893367E-2</v>
      </c>
      <c r="I27" s="93">
        <v>2</v>
      </c>
      <c r="J27" s="86">
        <f t="shared" si="15"/>
        <v>9.3179843238858764E-2</v>
      </c>
      <c r="K27" s="93">
        <v>2</v>
      </c>
      <c r="L27" s="86">
        <f>U20</f>
        <v>5.7932909433368582E-2</v>
      </c>
      <c r="M27" s="85">
        <v>2</v>
      </c>
      <c r="N27" s="71">
        <f>(($B$24)^M27)*((1-($B$24))^($B$21-M27))*HLOOKUP($B$21,$AV$24:$BF$34,M27+1)</f>
        <v>0.21366537054985771</v>
      </c>
      <c r="O27" s="72">
        <v>2</v>
      </c>
      <c r="P27" s="71">
        <f t="shared" si="16"/>
        <v>0.21366537054985771</v>
      </c>
      <c r="Q27" s="28">
        <v>2</v>
      </c>
      <c r="R27" s="37">
        <f>P25*N27+P26*N26+P27*N25</f>
        <v>7.9015293848679422E-3</v>
      </c>
      <c r="S27" s="72">
        <v>2</v>
      </c>
      <c r="T27" s="135">
        <f t="shared" si="17"/>
        <v>2.5000000000000001E-5</v>
      </c>
      <c r="U27" s="93">
        <v>2</v>
      </c>
      <c r="V27" s="86">
        <f>R27*T25+T26*R26+R25*T27</f>
        <v>7.8335485170544818E-3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3.7833898943841308E-3</v>
      </c>
      <c r="AD27" s="28">
        <v>2</v>
      </c>
      <c r="AE27" s="79">
        <f>((($W$25)^M27)*((1-($W$25))^($U$28-M27))*HLOOKUP($U$28,$AV$24:$BF$34,M27+1))*V28</f>
        <v>1.4901239279283761E-2</v>
      </c>
      <c r="AF27" s="28">
        <v>2</v>
      </c>
      <c r="AG27" s="79">
        <f>((($W$25)^M27)*((1-($W$25))^($U$29-M27))*HLOOKUP($U$29,$AV$24:$BF$34,M27+1))*V29</f>
        <v>2.5683806655106368E-2</v>
      </c>
      <c r="AH27" s="28">
        <v>2</v>
      </c>
      <c r="AI27" s="79">
        <f>((($W$25)^M27)*((1-($W$25))^($U$30-M27))*HLOOKUP($U$30,$AV$24:$BF$34,M27+1))*V30</f>
        <v>2.5306646989779982E-2</v>
      </c>
      <c r="AJ27" s="28">
        <v>2</v>
      </c>
      <c r="AK27" s="79">
        <f>((($W$25)^M27)*((1-($W$25))^($U$31-M27))*HLOOKUP($U$31,$AV$24:$BF$34,M27+1))*V31</f>
        <v>1.5594496372084814E-2</v>
      </c>
      <c r="AL27" s="28">
        <v>2</v>
      </c>
      <c r="AM27" s="79">
        <f>((($W$25)^Q27)*((1-($W$25))^($U$32-Q27))*HLOOKUP($U$32,$AV$24:$BF$34,Q27+1))*V32</f>
        <v>6.1571455383934073E-3</v>
      </c>
      <c r="AN27" s="28">
        <v>2</v>
      </c>
      <c r="AO27" s="79">
        <f>((($W$25)^Q27)*((1-($W$25))^($U$33-Q27))*HLOOKUP($U$33,$AV$24:$BF$34,Q27+1))*V33</f>
        <v>1.5228107827162836E-3</v>
      </c>
      <c r="AP27" s="28">
        <v>2</v>
      </c>
      <c r="AQ27" s="79">
        <f>((($W$25)^Q27)*((1-($W$25))^($U$34-Q27))*HLOOKUP($U$34,$AV$24:$BF$34,Q27+1))*V34</f>
        <v>2.1642147596485418E-4</v>
      </c>
      <c r="AR27" s="28">
        <v>2</v>
      </c>
      <c r="AS27" s="79">
        <f>((($W$25)^Q27)*((1-($W$25))^($U$35-Q27))*HLOOKUP($U$35,$AV$24:$BF$34,Q27+1))*V35</f>
        <v>1.3886251145152547E-5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5.9723869771734674E-5</v>
      </c>
      <c r="BP27">
        <f>BP21+1</f>
        <v>7</v>
      </c>
      <c r="BQ27">
        <v>3</v>
      </c>
      <c r="BR27" s="107">
        <f t="shared" si="14"/>
        <v>1.7360946113087142E-2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0.14780249950073751</v>
      </c>
      <c r="I28" s="93">
        <v>3</v>
      </c>
      <c r="J28" s="86">
        <f t="shared" si="15"/>
        <v>0.18690692768202108</v>
      </c>
      <c r="K28" s="93">
        <v>3</v>
      </c>
      <c r="L28" s="86">
        <f>V20</f>
        <v>6.226862534050151E-3</v>
      </c>
      <c r="M28" s="85">
        <v>3</v>
      </c>
      <c r="N28" s="71">
        <f>(($B$24)^M28)*((1-($B$24))^($B$21-M28))*HLOOKUP($B$21,$AV$24:$BF$34,M28+1)</f>
        <v>0.34452358506966235</v>
      </c>
      <c r="O28" s="72">
        <v>3</v>
      </c>
      <c r="P28" s="71">
        <f t="shared" si="16"/>
        <v>0.34452358506966235</v>
      </c>
      <c r="Q28" s="28">
        <v>3</v>
      </c>
      <c r="R28" s="37">
        <f>P25*N28+P26*N27+P27*N26+P28*N25</f>
        <v>3.397541023083428E-2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3.3715152955280304E-2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1.1316417904281569E-2</v>
      </c>
      <c r="AF28" s="28">
        <v>3</v>
      </c>
      <c r="AG28" s="79">
        <f>((($W$25)^M28)*((1-($W$25))^($U$29-M28))*HLOOKUP($U$29,$AV$24:$BF$34,M28+1))*V29</f>
        <v>3.9010002327259055E-2</v>
      </c>
      <c r="AH28" s="28">
        <v>3</v>
      </c>
      <c r="AI28" s="79">
        <f>((($W$25)^M28)*((1-($W$25))^($U$30-M28))*HLOOKUP($U$30,$AV$24:$BF$34,M28+1))*V30</f>
        <v>5.7655726693272277E-2</v>
      </c>
      <c r="AJ28" s="28">
        <v>3</v>
      </c>
      <c r="AK28" s="79">
        <f>((($W$25)^M28)*((1-($W$25))^($U$31-M28))*HLOOKUP($U$31,$AV$24:$BF$34,M28+1))*V31</f>
        <v>4.7371586925298186E-2</v>
      </c>
      <c r="AL28" s="28">
        <v>3</v>
      </c>
      <c r="AM28" s="79">
        <f>((($W$25)^Q28)*((1-($W$25))^($U$32-Q28))*HLOOKUP($U$32,$AV$24:$BF$34,Q28+1))*V32</f>
        <v>2.3379542702468302E-2</v>
      </c>
      <c r="AN28" s="28">
        <v>3</v>
      </c>
      <c r="AO28" s="79">
        <f>((($W$25)^Q28)*((1-($W$25))^($U$33-Q28))*HLOOKUP($U$33,$AV$24:$BF$34,Q28+1))*V33</f>
        <v>6.9387906133369136E-3</v>
      </c>
      <c r="AP28" s="28">
        <v>3</v>
      </c>
      <c r="AQ28" s="79">
        <f>((($W$25)^Q28)*((1-($W$25))^($U$34-Q28))*HLOOKUP($U$34,$AV$24:$BF$34,Q28+1))*V34</f>
        <v>1.1504956559010477E-3</v>
      </c>
      <c r="AR28" s="28">
        <v>3</v>
      </c>
      <c r="AS28" s="79">
        <f>((($W$25)^Q28)*((1-($W$25))^($U$35-Q28))*HLOOKUP($U$35,$AV$24:$BF$34,Q28+1))*V35</f>
        <v>8.4364860203712101E-5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7.5777656317233484E-6</v>
      </c>
      <c r="BP28">
        <f>BP22+1</f>
        <v>7</v>
      </c>
      <c r="BQ28">
        <v>4</v>
      </c>
      <c r="BR28" s="107">
        <f t="shared" si="14"/>
        <v>7.3376587652814081E-3</v>
      </c>
    </row>
    <row r="29" spans="1:70" x14ac:dyDescent="0.25">
      <c r="A29" s="26" t="s">
        <v>27</v>
      </c>
      <c r="B29" s="123">
        <f>1/(1+EXP(-3.1416*4*((B14/(B14+C13))-(3.1416/6))))</f>
        <v>0.50065823961973088</v>
      </c>
      <c r="C29" s="118">
        <f>1/(1+EXP(-3.1416*4*((C14/(C14+B13))-(3.1416/6))))</f>
        <v>0.11098830467816566</v>
      </c>
      <c r="D29" s="153">
        <v>0.04</v>
      </c>
      <c r="E29" s="153">
        <v>0.04</v>
      </c>
      <c r="G29" s="87">
        <v>4</v>
      </c>
      <c r="H29" s="128">
        <f>J29*L25+J28*L26+J27*L27+J26*L28</f>
        <v>0.2177575390202077</v>
      </c>
      <c r="I29" s="93">
        <v>4</v>
      </c>
      <c r="J29" s="86">
        <f t="shared" si="15"/>
        <v>0.24613546653195573</v>
      </c>
      <c r="K29" s="93">
        <v>4</v>
      </c>
      <c r="L29" s="86"/>
      <c r="M29" s="85">
        <v>4</v>
      </c>
      <c r="N29" s="71">
        <f>(($B$24)^M29)*((1-($B$24))^($B$21-M29))*HLOOKUP($B$21,$AV$24:$BF$34,M29+1)</f>
        <v>0.27776260693015686</v>
      </c>
      <c r="O29" s="72">
        <v>4</v>
      </c>
      <c r="P29" s="71">
        <f t="shared" si="16"/>
        <v>0.27776260693015686</v>
      </c>
      <c r="Q29" s="28">
        <v>4</v>
      </c>
      <c r="R29" s="37">
        <f>P25*N29+P26*N28+P27*N27+P28*N26+P29*N25</f>
        <v>9.5871070201636793E-2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9.5253009146406886E-2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2.2218965173385844E-2</v>
      </c>
      <c r="AH29" s="28">
        <v>4</v>
      </c>
      <c r="AI29" s="79">
        <f>((($W$25)^M29)*((1-($W$25))^($U$30-M29))*HLOOKUP($U$30,$AV$24:$BF$34,M29+1))*V30</f>
        <v>6.5678057268348772E-2</v>
      </c>
      <c r="AJ29" s="28">
        <v>4</v>
      </c>
      <c r="AK29" s="79">
        <f>((($W$25)^M29)*((1-($W$25))^($U$31-M29))*HLOOKUP($U$31,$AV$24:$BF$34,M29+1))*V31</f>
        <v>8.094444326903287E-2</v>
      </c>
      <c r="AL29" s="28">
        <v>4</v>
      </c>
      <c r="AM29" s="79">
        <f>((($W$25)^Q29)*((1-($W$25))^($U$32-Q29))*HLOOKUP($U$32,$AV$24:$BF$34,Q29+1))*V32</f>
        <v>5.3265235999521113E-2</v>
      </c>
      <c r="AN29" s="28">
        <v>4</v>
      </c>
      <c r="AO29" s="79">
        <f>((($W$25)^Q29)*((1-($W$25))^($U$33-Q29))*HLOOKUP($U$33,$AV$24:$BF$34,Q29+1))*V33</f>
        <v>1.9760668775379447E-2</v>
      </c>
      <c r="AP29" s="28">
        <v>4</v>
      </c>
      <c r="AQ29" s="79">
        <f>((($W$25)^Q29)*((1-($W$25))^($U$34-Q29))*HLOOKUP($U$34,$AV$24:$BF$34,Q29+1))*V34</f>
        <v>3.931733614801842E-3</v>
      </c>
      <c r="AR29" s="28">
        <v>4</v>
      </c>
      <c r="AS29" s="79">
        <f>((($W$25)^Q29)*((1-($W$25))^($U$35-Q29))*HLOOKUP($U$35,$AV$24:$BF$34,Q29+1))*V35</f>
        <v>3.3636243148588548E-4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7.1674011987912174E-7</v>
      </c>
      <c r="BP29">
        <f>BP23+1</f>
        <v>7</v>
      </c>
      <c r="BQ29">
        <v>5</v>
      </c>
      <c r="BR29" s="107">
        <f t="shared" si="14"/>
        <v>2.2282823527472839E-3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0.22681358980943805</v>
      </c>
      <c r="I30" s="93">
        <v>5</v>
      </c>
      <c r="J30" s="86">
        <f t="shared" si="15"/>
        <v>0.22239795089344255</v>
      </c>
      <c r="K30" s="93">
        <v>5</v>
      </c>
      <c r="L30" s="86"/>
      <c r="M30" s="85">
        <v>5</v>
      </c>
      <c r="N30" s="71">
        <f>(($B$24)^M30)*((1-($B$24))^($B$21-M30))*HLOOKUP($B$21,$AV$24:$BF$34,M30+1)</f>
        <v>8.957536627634563E-2</v>
      </c>
      <c r="O30" s="72">
        <v>5</v>
      </c>
      <c r="P30" s="71">
        <f t="shared" si="16"/>
        <v>8.957536627634563E-2</v>
      </c>
      <c r="Q30" s="28">
        <v>5</v>
      </c>
      <c r="R30" s="37">
        <f>P25*N30+P26*N29+P27*N28+P28*N27+P29*N26+P30*N25</f>
        <v>0.18550415385702859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0.1846085164560668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2.9926652243880882E-2</v>
      </c>
      <c r="AJ30" s="28">
        <v>5</v>
      </c>
      <c r="AK30" s="79">
        <f>((($W$25)^M30)*((1-($W$25))^($U$31-M30))*HLOOKUP($U$31,$AV$24:$BF$34,M30+1))*V31</f>
        <v>7.376576913319513E-2</v>
      </c>
      <c r="AL30" s="28">
        <v>5</v>
      </c>
      <c r="AM30" s="79">
        <f>((($W$25)^Q30)*((1-($W$25))^($U$32-Q30))*HLOOKUP($U$32,$AV$24:$BF$34,Q30+1))*V32</f>
        <v>7.2811998135065559E-2</v>
      </c>
      <c r="AN30" s="28">
        <v>5</v>
      </c>
      <c r="AO30" s="79">
        <f>((($W$25)^Q30)*((1-($W$25))^($U$33-Q30))*HLOOKUP($U$33,$AV$24:$BF$34,Q30+1))*V33</f>
        <v>3.60163310026703E-2</v>
      </c>
      <c r="AP30" s="28">
        <v>5</v>
      </c>
      <c r="AQ30" s="79">
        <f>((($W$25)^Q30)*((1-($W$25))^($U$34-Q30))*HLOOKUP($U$34,$AV$24:$BF$34,Q30+1))*V34</f>
        <v>8.9576054392868972E-3</v>
      </c>
      <c r="AR30" s="28">
        <v>5</v>
      </c>
      <c r="AS30" s="79">
        <f>((($W$25)^Q30)*((1-($W$25))^($U$35-Q30))*HLOOKUP($U$35,$AV$24:$BF$34,Q30+1))*V35</f>
        <v>9.1959493934380037E-4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4.9337844740623425E-8</v>
      </c>
      <c r="BP30">
        <f>BL10+1</f>
        <v>7</v>
      </c>
      <c r="BQ30">
        <v>6</v>
      </c>
      <c r="BR30" s="107">
        <f t="shared" si="14"/>
        <v>5.0075316247645356E-4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0.69496235623077796</v>
      </c>
      <c r="C31" s="61">
        <f>(C25*E25)+(C26*E26)+(C27*E27)+(C28*E28)+(C29*E29)+(C30*E30)/(C25+C26+C27+C28+C29+C30)</f>
        <v>0.41586866633851832</v>
      </c>
      <c r="G31" s="87">
        <v>6</v>
      </c>
      <c r="H31" s="128">
        <f>J31*L25+J30*L26+J29*L27+J28*L28</f>
        <v>0.17149994017506021</v>
      </c>
      <c r="I31" s="93">
        <v>6</v>
      </c>
      <c r="J31" s="86">
        <f t="shared" si="15"/>
        <v>0.13968430342237304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0.24926265140543102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0.24862441956529432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2.8009894173785577E-2</v>
      </c>
      <c r="AL31" s="28">
        <v>6</v>
      </c>
      <c r="AM31" s="79">
        <f>((($W$25)^Q31)*((1-($W$25))^($U$32-Q31))*HLOOKUP($U$32,$AV$24:$BF$34,Q31+1))*V32</f>
        <v>5.5295467974109128E-2</v>
      </c>
      <c r="AN31" s="28">
        <v>6</v>
      </c>
      <c r="AO31" s="79">
        <f>((($W$25)^Q31)*((1-($W$25))^($U$33-Q31))*HLOOKUP($U$33,$AV$24:$BF$34,Q31+1))*V33</f>
        <v>4.1027713739062228E-2</v>
      </c>
      <c r="AP31" s="28">
        <v>6</v>
      </c>
      <c r="AQ31" s="79">
        <f>((($W$25)^Q31)*((1-($W$25))^($U$34-Q31))*HLOOKUP($U$34,$AV$24:$BF$34,Q31+1))*V34</f>
        <v>1.360531223917217E-2</v>
      </c>
      <c r="AR31" s="28">
        <v>6</v>
      </c>
      <c r="AS31" s="79">
        <f>((($W$25)^Q31)*((1-($W$25))^($U$35-Q31))*HLOOKUP($U$35,$AV$24:$BF$34,Q31+1))*V35</f>
        <v>1.7459152962439211E-3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1.1397174641408235E-2</v>
      </c>
      <c r="BP31">
        <f t="shared" ref="BP31:BP37" si="21">BP24+1</f>
        <v>8</v>
      </c>
      <c r="BQ31">
        <v>0</v>
      </c>
      <c r="BR31" s="107">
        <f t="shared" ref="BR31:BR38" si="22">$H$33*H39</f>
        <v>5.0195164817249862E-3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9.5157294690544778E-2</v>
      </c>
      <c r="I32" s="93">
        <v>7</v>
      </c>
      <c r="J32" s="86">
        <f t="shared" si="15"/>
        <v>6.0260770033465687E-2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0.2296698459308954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0.22986369020306519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1.79969678670889E-2</v>
      </c>
      <c r="AN32" s="28">
        <v>7</v>
      </c>
      <c r="AO32" s="79">
        <f>((($W$25)^Q32)*((1-($W$25))^($U$33-Q32))*HLOOKUP($U$33,$AV$24:$BF$34,Q32+1))*V33</f>
        <v>2.6706508611799878E-2</v>
      </c>
      <c r="AP32" s="28">
        <v>7</v>
      </c>
      <c r="AQ32" s="79">
        <f>((($W$25)^Q32)*((1-($W$25))^($U$34-Q32))*HLOOKUP($U$34,$AV$24:$BF$34,Q32+1))*V34</f>
        <v>1.3284327422895151E-2</v>
      </c>
      <c r="AR32" s="28">
        <v>7</v>
      </c>
      <c r="AS32" s="79">
        <f>((($W$25)^Q32)*((1-($W$25))^($U$35-Q32))*HLOOKUP($U$35,$AV$24:$BF$34,Q32+1))*V35</f>
        <v>2.2729661316817592E-3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3.4610662524662736E-3</v>
      </c>
      <c r="BP32">
        <f t="shared" si="21"/>
        <v>8</v>
      </c>
      <c r="BQ32">
        <v>1</v>
      </c>
      <c r="BR32" s="107">
        <f t="shared" si="22"/>
        <v>1.1136178026925474E-2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3.8719037819522462E-2</v>
      </c>
      <c r="I33" s="93">
        <v>8</v>
      </c>
      <c r="J33" s="86">
        <f t="shared" si="15"/>
        <v>1.7113916787669398E-2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0.1388737184555463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0.13977989964724979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7.6056261131477332E-3</v>
      </c>
      <c r="AP33" s="28">
        <v>8</v>
      </c>
      <c r="AQ33" s="79">
        <f>((($W$25)^Q33)*((1-($W$25))^($U$34-Q33))*HLOOKUP($U$34,$AV$24:$BF$34,Q33+1))*V34</f>
        <v>7.5663673609911554E-3</v>
      </c>
      <c r="AR33" s="28">
        <v>8</v>
      </c>
      <c r="AS33" s="79">
        <f>((($W$25)^Q33)*((1-($W$25))^($U$35-Q33))*HLOOKUP($U$35,$AV$24:$BF$34,Q33+1))*V35</f>
        <v>1.9419233135305103E-3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7.7779185807678238E-4</v>
      </c>
      <c r="BP33">
        <f t="shared" si="21"/>
        <v>8</v>
      </c>
      <c r="BQ33">
        <v>2</v>
      </c>
      <c r="BR33" s="107">
        <f t="shared" si="22"/>
        <v>1.1364003505033629E-2</v>
      </c>
    </row>
    <row r="34" spans="1:70" x14ac:dyDescent="0.25">
      <c r="A34" s="40" t="s">
        <v>86</v>
      </c>
      <c r="B34" s="56">
        <f>B23*2</f>
        <v>6.1721677149144627</v>
      </c>
      <c r="C34" s="57">
        <f>C23*2</f>
        <v>3.8278322850855373</v>
      </c>
      <c r="G34" s="87">
        <v>9</v>
      </c>
      <c r="H34" s="128">
        <f>J34*L25+J33*L26+J32*L27+J31*L28</f>
        <v>1.1430944763442568E-2</v>
      </c>
      <c r="I34" s="93">
        <v>9</v>
      </c>
      <c r="J34" s="86">
        <f t="shared" si="15"/>
        <v>2.8985375903687266E-3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4.9761374507282838E-2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5.0652540041353653E-2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1.9153703364195981E-3</v>
      </c>
      <c r="AR34" s="28">
        <v>9</v>
      </c>
      <c r="AS34" s="79">
        <f>((($W$25)^Q34)*((1-($W$25))^($U$35-Q34))*HLOOKUP($U$35,$AV$24:$BF$34,Q34+1))*V35</f>
        <v>9.8316725394912829E-4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1.3118060450751265E-4</v>
      </c>
      <c r="BP34">
        <f t="shared" si="21"/>
        <v>8</v>
      </c>
      <c r="BQ34">
        <v>3</v>
      </c>
      <c r="BR34" s="107">
        <f t="shared" si="22"/>
        <v>7.0640840654553104E-3</v>
      </c>
    </row>
    <row r="35" spans="1:70" ht="15.75" thickBot="1" x14ac:dyDescent="0.3">
      <c r="G35" s="88">
        <v>10</v>
      </c>
      <c r="H35" s="129">
        <f>J35*L25+J34*L26+J33*L27+J32*L28</f>
        <v>2.3961558493037411E-3</v>
      </c>
      <c r="I35" s="94">
        <v>10</v>
      </c>
      <c r="J35" s="89">
        <f t="shared" si="15"/>
        <v>2.239934137080987E-4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8.0237462435414787E-3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8.5235877972128504E-3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2.239934137080987E-4</v>
      </c>
      <c r="BH35">
        <f t="shared" si="19"/>
        <v>3</v>
      </c>
      <c r="BI35">
        <v>8</v>
      </c>
      <c r="BJ35" s="107">
        <f t="shared" si="20"/>
        <v>1.6644197373429007E-5</v>
      </c>
      <c r="BP35">
        <f t="shared" si="21"/>
        <v>8</v>
      </c>
      <c r="BQ35">
        <v>4</v>
      </c>
      <c r="BR35" s="107">
        <f t="shared" si="22"/>
        <v>2.9856574649753192E-3</v>
      </c>
    </row>
    <row r="36" spans="1:70" x14ac:dyDescent="0.25">
      <c r="A36" s="1"/>
      <c r="B36" s="108">
        <f>SUM(B37:B39)</f>
        <v>0.99722824144457722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9"/>
        <v>3</v>
      </c>
      <c r="BI36">
        <v>9</v>
      </c>
      <c r="BJ36" s="107">
        <f t="shared" si="20"/>
        <v>1.5742851653766743E-6</v>
      </c>
      <c r="BP36">
        <f t="shared" si="21"/>
        <v>8</v>
      </c>
      <c r="BQ36">
        <v>5</v>
      </c>
      <c r="BR36" s="107">
        <f t="shared" si="22"/>
        <v>9.0667719137216512E-4</v>
      </c>
    </row>
    <row r="37" spans="1:70" ht="15.75" thickBot="1" x14ac:dyDescent="0.3">
      <c r="A37" s="109" t="s">
        <v>104</v>
      </c>
      <c r="B37" s="107">
        <f>SUM(BN4:BN14)</f>
        <v>7.5415552174008346E-2</v>
      </c>
      <c r="G37" s="13"/>
      <c r="H37" s="59">
        <f>SUM(H39:H49)</f>
        <v>0.99999996396513069</v>
      </c>
      <c r="I37" s="13"/>
      <c r="J37" s="59">
        <f>SUM(J39:J49)</f>
        <v>1.0000000000000002</v>
      </c>
      <c r="K37" s="59"/>
      <c r="L37" s="59">
        <f>SUM(L39:L49)</f>
        <v>1</v>
      </c>
      <c r="M37" s="13"/>
      <c r="N37" s="74">
        <f>SUM(N39:N49)</f>
        <v>1.0000000000000002</v>
      </c>
      <c r="O37" s="13"/>
      <c r="P37" s="74">
        <f>SUM(P39:P49)</f>
        <v>1.0000000000000002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0.99992702015958279</v>
      </c>
      <c r="W37" s="13"/>
      <c r="X37" s="13"/>
      <c r="Y37" s="80">
        <f>SUM(Y39:Y49)</f>
        <v>7.983627512323772E-3</v>
      </c>
      <c r="Z37" s="81"/>
      <c r="AA37" s="80">
        <f>SUM(AA39:AA49)</f>
        <v>4.9552686365964133E-2</v>
      </c>
      <c r="AB37" s="81"/>
      <c r="AC37" s="80">
        <f>SUM(AC39:AC49)</f>
        <v>0.138428156735805</v>
      </c>
      <c r="AD37" s="81"/>
      <c r="AE37" s="80">
        <f>SUM(AE39:AE49)</f>
        <v>0.22921586529351867</v>
      </c>
      <c r="AF37" s="81"/>
      <c r="AG37" s="80">
        <f>SUM(AG39:AG49)</f>
        <v>0.24916468737805836</v>
      </c>
      <c r="AH37" s="81"/>
      <c r="AI37" s="80">
        <f>SUM(AI39:AI49)</f>
        <v>0.18582294634477062</v>
      </c>
      <c r="AJ37" s="81"/>
      <c r="AK37" s="80">
        <f>SUM(AK39:AK49)</f>
        <v>9.6319235619913776E-2</v>
      </c>
      <c r="AL37" s="81"/>
      <c r="AM37" s="80">
        <f>SUM(AM39:AM49)</f>
        <v>3.4284888530688305E-2</v>
      </c>
      <c r="AN37" s="81"/>
      <c r="AO37" s="80">
        <f>SUM(AO39:AO49)</f>
        <v>8.0318987890977776E-3</v>
      </c>
      <c r="AP37" s="81"/>
      <c r="AQ37" s="80">
        <f>SUM(AQ39:AQ49)</f>
        <v>1.1230275894425106E-3</v>
      </c>
      <c r="AR37" s="81"/>
      <c r="AS37" s="80">
        <f>SUM(AS39:AS49)</f>
        <v>7.2979840417208882E-5</v>
      </c>
      <c r="BH37">
        <f t="shared" si="19"/>
        <v>3</v>
      </c>
      <c r="BI37">
        <v>10</v>
      </c>
      <c r="BJ37" s="107">
        <f t="shared" si="20"/>
        <v>1.083682005688762E-7</v>
      </c>
      <c r="BP37">
        <f t="shared" si="21"/>
        <v>8</v>
      </c>
      <c r="BQ37">
        <v>6</v>
      </c>
      <c r="BR37" s="107">
        <f t="shared" si="22"/>
        <v>2.0375401275565921E-4</v>
      </c>
    </row>
    <row r="38" spans="1:70" ht="15.75" thickBot="1" x14ac:dyDescent="0.3">
      <c r="A38" s="110" t="s">
        <v>105</v>
      </c>
      <c r="B38" s="107">
        <f>SUM(BJ4:BJ59)</f>
        <v>7.8314969764075593E-2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5.0991916379545931E-3</v>
      </c>
      <c r="BP38">
        <f>BL11+1</f>
        <v>8</v>
      </c>
      <c r="BQ38">
        <v>7</v>
      </c>
      <c r="BR38" s="107">
        <f t="shared" si="22"/>
        <v>3.4364688041617711E-5</v>
      </c>
    </row>
    <row r="39" spans="1:70" x14ac:dyDescent="0.25">
      <c r="A39" s="111" t="s">
        <v>0</v>
      </c>
      <c r="B39" s="107">
        <f>SUM(BR4:BR47)</f>
        <v>0.84349771950649322</v>
      </c>
      <c r="G39" s="130">
        <v>0</v>
      </c>
      <c r="H39" s="131">
        <f>L39*J39</f>
        <v>0.12963949427467705</v>
      </c>
      <c r="I39" s="97">
        <v>0</v>
      </c>
      <c r="J39" s="98">
        <f t="shared" ref="J39:J49" si="37">Y39+AA39+AC39+AE39+AG39+AI39+AK39+AM39+AO39+AQ39+AS39</f>
        <v>0.17623304592155495</v>
      </c>
      <c r="K39" s="102">
        <v>0</v>
      </c>
      <c r="L39" s="98">
        <f>AC20</f>
        <v>0.73561399110347514</v>
      </c>
      <c r="M39" s="84">
        <v>0</v>
      </c>
      <c r="N39" s="71">
        <f>(1-$C$24)^$B$21</f>
        <v>8.957536627634563E-2</v>
      </c>
      <c r="O39" s="70">
        <v>0</v>
      </c>
      <c r="P39" s="71">
        <f>N39</f>
        <v>8.957536627634563E-2</v>
      </c>
      <c r="Q39" s="12">
        <v>0</v>
      </c>
      <c r="R39" s="73">
        <f>P39*N39</f>
        <v>8.0237462435414787E-3</v>
      </c>
      <c r="S39" s="70">
        <v>0</v>
      </c>
      <c r="T39" s="135">
        <f>(1-$C$33)^(INT(B23*2*(1-B31)))</f>
        <v>0.995</v>
      </c>
      <c r="U39" s="140">
        <v>0</v>
      </c>
      <c r="V39" s="86">
        <f>R39*T39</f>
        <v>7.983627512323772E-3</v>
      </c>
      <c r="W39" s="136">
        <f>C31</f>
        <v>0.41586866633851832</v>
      </c>
      <c r="X39" s="12">
        <v>0</v>
      </c>
      <c r="Y39" s="79">
        <f>V39</f>
        <v>7.983627512323772E-3</v>
      </c>
      <c r="Z39" s="12">
        <v>0</v>
      </c>
      <c r="AA39" s="78">
        <f>((1-W39)^Z40)*V40</f>
        <v>2.894527677345975E-2</v>
      </c>
      <c r="AB39" s="12">
        <v>0</v>
      </c>
      <c r="AC39" s="79">
        <f>(((1-$W$39)^AB41))*V41</f>
        <v>4.7232990374526905E-2</v>
      </c>
      <c r="AD39" s="12">
        <v>0</v>
      </c>
      <c r="AE39" s="79">
        <f>(((1-$W$39)^AB42))*V42</f>
        <v>4.5685268683706023E-2</v>
      </c>
      <c r="AF39" s="12">
        <v>0</v>
      </c>
      <c r="AG39" s="79">
        <f>(((1-$W$39)^AB43))*V43</f>
        <v>2.9008715891399996E-2</v>
      </c>
      <c r="AH39" s="12">
        <v>0</v>
      </c>
      <c r="AI39" s="79">
        <f>(((1-$W$39)^AB44))*V44</f>
        <v>1.2637229048541435E-2</v>
      </c>
      <c r="AJ39" s="12">
        <v>0</v>
      </c>
      <c r="AK39" s="79">
        <f>(((1-$W$39)^AB45))*V45</f>
        <v>3.8262738155312725E-3</v>
      </c>
      <c r="AL39" s="12">
        <v>0</v>
      </c>
      <c r="AM39" s="79">
        <f>(((1-$W$39)^AB46))*V46</f>
        <v>7.9556608927868248E-4</v>
      </c>
      <c r="AN39" s="12">
        <v>0</v>
      </c>
      <c r="AO39" s="79">
        <f>(((1-$W$39)^AB47))*V47</f>
        <v>1.0886850313017468E-4</v>
      </c>
      <c r="AP39" s="12">
        <v>0</v>
      </c>
      <c r="AQ39" s="79">
        <f>(((1-$W$39)^AB48))*V48</f>
        <v>8.8917031071729356E-6</v>
      </c>
      <c r="AR39" s="12">
        <v>0</v>
      </c>
      <c r="AS39" s="79">
        <f>(((1-$W$39)^AB49))*V49</f>
        <v>3.3752654970767888E-7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1.1459213576013284E-3</v>
      </c>
      <c r="BP39">
        <f t="shared" ref="BP39:BP46" si="38">BP31+1</f>
        <v>9</v>
      </c>
      <c r="BQ39">
        <v>0</v>
      </c>
      <c r="BR39" s="107">
        <f t="shared" ref="BR39:BR47" si="39">$H$34*H39</f>
        <v>1.4819018982144625E-3</v>
      </c>
    </row>
    <row r="40" spans="1:70" x14ac:dyDescent="0.25">
      <c r="G40" s="91">
        <v>1</v>
      </c>
      <c r="H40" s="132">
        <f>L39*J40+L40*J39</f>
        <v>0.28761505073637239</v>
      </c>
      <c r="I40" s="93">
        <v>1</v>
      </c>
      <c r="J40" s="86">
        <f t="shared" si="37"/>
        <v>0.33402196749591834</v>
      </c>
      <c r="K40" s="95">
        <v>1</v>
      </c>
      <c r="L40" s="86">
        <f>AD20</f>
        <v>0.23777503186954449</v>
      </c>
      <c r="M40" s="85">
        <v>1</v>
      </c>
      <c r="N40" s="71">
        <f>(($C$24)^M26)*((1-($C$24))^($B$21-M26))*HLOOKUP($B$21,$AV$24:$BF$34,M26+1)</f>
        <v>0.27776260693015686</v>
      </c>
      <c r="O40" s="72">
        <v>1</v>
      </c>
      <c r="P40" s="71">
        <f t="shared" ref="P40:P44" si="40">N40</f>
        <v>0.27776260693015686</v>
      </c>
      <c r="Q40" s="28">
        <v>1</v>
      </c>
      <c r="R40" s="37">
        <f>P40*N39+P39*N40</f>
        <v>4.9761374507282838E-2</v>
      </c>
      <c r="S40" s="72">
        <v>1</v>
      </c>
      <c r="T40" s="135">
        <f t="shared" ref="T40:T49" si="41">(($C$33)^S40)*((1-($C$33))^(INT($B$23*2*(1-$B$31))-S40))*HLOOKUP(INT($B$23*2*(1-$B$31)),$AV$24:$BF$34,S40+1)</f>
        <v>5.0000000000000001E-3</v>
      </c>
      <c r="U40" s="93">
        <v>1</v>
      </c>
      <c r="V40" s="86">
        <f>R40*T39+T40*R39</f>
        <v>4.9552686365964133E-2</v>
      </c>
      <c r="W40" s="137"/>
      <c r="X40" s="28">
        <v>1</v>
      </c>
      <c r="Y40" s="73"/>
      <c r="Z40" s="28">
        <v>1</v>
      </c>
      <c r="AA40" s="79">
        <f>(1-((1-W39)^Z40))*V40</f>
        <v>2.0607409592504383E-2</v>
      </c>
      <c r="AB40" s="28">
        <v>1</v>
      </c>
      <c r="AC40" s="79">
        <f>((($W$39)^M40)*((1-($W$39))^($U$27-M40))*HLOOKUP($U$27,$AV$24:$BF$34,M40+1))*V41</f>
        <v>6.7254466871718988E-2</v>
      </c>
      <c r="AD40" s="28">
        <v>1</v>
      </c>
      <c r="AE40" s="79">
        <f>((($W$39)^M40)*((1-($W$39))^($U$28-M40))*HLOOKUP($U$28,$AV$24:$BF$34,M40+1))*V42</f>
        <v>9.7576027841472318E-2</v>
      </c>
      <c r="AF40" s="28">
        <v>1</v>
      </c>
      <c r="AG40" s="79">
        <f>((($W$39)^M40)*((1-($W$39))^($U$29-M40))*HLOOKUP($U$29,$AV$24:$BF$34,M40+1))*V43</f>
        <v>8.2610298710260752E-2</v>
      </c>
      <c r="AH40" s="28">
        <v>1</v>
      </c>
      <c r="AI40" s="79">
        <f>((($W$39)^M40)*((1-($W$39))^($U$30-M40))*HLOOKUP($U$30,$AV$24:$BF$34,M40+1))*V44</f>
        <v>4.498498272373929E-2</v>
      </c>
      <c r="AJ40" s="28">
        <v>1</v>
      </c>
      <c r="AK40" s="79">
        <f>((($W$39)^M40)*((1-($W$39))^($U$31-M40))*HLOOKUP($U$31,$AV$24:$BF$34,M40+1))*V45</f>
        <v>1.6344550929019045E-2</v>
      </c>
      <c r="AL40" s="28">
        <v>1</v>
      </c>
      <c r="AM40" s="79">
        <f>((($W$39)^Q40)*((1-($W$39))^($U$32-Q40))*HLOOKUP($U$32,$AV$24:$BF$34,Q40+1))*V46</f>
        <v>3.9647882698062688E-3</v>
      </c>
      <c r="AN40" s="28">
        <v>1</v>
      </c>
      <c r="AO40" s="79">
        <f>((($W$39)^Q40)*((1-($W$39))^($U$33-Q40))*HLOOKUP($U$33,$AV$24:$BF$34,Q40+1))*V47</f>
        <v>6.2006602411442645E-4</v>
      </c>
      <c r="AP40" s="28">
        <v>1</v>
      </c>
      <c r="AQ40" s="79">
        <f>((($W$39)^Q40)*((1-($W$39))^($U$34-Q40))*HLOOKUP($U$34,$AV$24:$BF$34,Q40+1))*V48</f>
        <v>5.6973534025841517E-5</v>
      </c>
      <c r="AR40" s="28">
        <v>1</v>
      </c>
      <c r="AS40" s="79">
        <f>((($W$39)^Q40)*((1-($W$39))^($U$35-Q40))*HLOOKUP($U$35,$AV$24:$BF$34,Q40+1))*V49</f>
        <v>2.4029992570492709E-6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1.9326848802443011E-4</v>
      </c>
      <c r="BP40">
        <f t="shared" si="38"/>
        <v>9</v>
      </c>
      <c r="BQ40">
        <v>1</v>
      </c>
      <c r="BR40" s="107">
        <f t="shared" si="39"/>
        <v>3.2877117581022043E-3</v>
      </c>
    </row>
    <row r="41" spans="1:70" x14ac:dyDescent="0.25">
      <c r="G41" s="91">
        <v>2</v>
      </c>
      <c r="H41" s="132">
        <f>L39*J41+J40*L40+J39*L41</f>
        <v>0.29349911942552981</v>
      </c>
      <c r="I41" s="93">
        <v>2</v>
      </c>
      <c r="J41" s="86">
        <f t="shared" si="37"/>
        <v>0.28495788466589544</v>
      </c>
      <c r="K41" s="95">
        <v>2</v>
      </c>
      <c r="L41" s="86">
        <f>AE20</f>
        <v>2.5296212752068576E-2</v>
      </c>
      <c r="M41" s="85">
        <v>2</v>
      </c>
      <c r="N41" s="71">
        <f>(($C$24)^M27)*((1-($C$24))^($B$21-M27))*HLOOKUP($B$21,$AV$24:$BF$34,M27+1)</f>
        <v>0.34452358506966235</v>
      </c>
      <c r="O41" s="72">
        <v>2</v>
      </c>
      <c r="P41" s="71">
        <f t="shared" si="40"/>
        <v>0.34452358506966235</v>
      </c>
      <c r="Q41" s="28">
        <v>2</v>
      </c>
      <c r="R41" s="37">
        <f>P41*N39+P40*N40+P39*N41</f>
        <v>0.1388737184555463</v>
      </c>
      <c r="S41" s="72">
        <v>2</v>
      </c>
      <c r="T41" s="135">
        <f t="shared" si="41"/>
        <v>0</v>
      </c>
      <c r="U41" s="93">
        <v>2</v>
      </c>
      <c r="V41" s="86">
        <f>R41*T39+T40*R40+R39*T41</f>
        <v>0.138428156735805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2.3940699489559111E-2</v>
      </c>
      <c r="AD41" s="28">
        <v>2</v>
      </c>
      <c r="AE41" s="79">
        <f>((($W$39)^M41)*((1-($W$39))^($U$28-M41))*HLOOKUP($U$28,$AV$24:$BF$34,M41+1))*V42</f>
        <v>6.9468645536758064E-2</v>
      </c>
      <c r="AF41" s="28">
        <v>2</v>
      </c>
      <c r="AG41" s="79">
        <f>((($W$39)^M41)*((1-($W$39))^($U$29-M41))*HLOOKUP($U$29,$AV$24:$BF$34,M41+1))*V43</f>
        <v>8.8220831782255482E-2</v>
      </c>
      <c r="AH41" s="28">
        <v>2</v>
      </c>
      <c r="AI41" s="79">
        <f>((($W$39)^M41)*((1-($W$39))^($U$30-M41))*HLOOKUP($U$30,$AV$24:$BF$34,M41+1))*V44</f>
        <v>6.405355676887689E-2</v>
      </c>
      <c r="AJ41" s="28">
        <v>2</v>
      </c>
      <c r="AK41" s="79">
        <f>((($W$39)^M41)*((1-($W$39))^($U$31-M41))*HLOOKUP($U$31,$AV$24:$BF$34,M41+1))*V45</f>
        <v>2.9091003191639583E-2</v>
      </c>
      <c r="AL41" s="28">
        <v>2</v>
      </c>
      <c r="AM41" s="79">
        <f>((($W$39)^Q41)*((1-($W$39))^($U$32-Q41))*HLOOKUP($U$32,$AV$24:$BF$34,Q41+1))*V46</f>
        <v>8.468118974599325E-3</v>
      </c>
      <c r="AN41" s="28">
        <v>2</v>
      </c>
      <c r="AO41" s="79">
        <f>((($W$39)^Q41)*((1-($W$39))^($U$33-Q41))*HLOOKUP($U$33,$AV$24:$BF$34,Q41+1))*V47</f>
        <v>1.545082509200008E-3</v>
      </c>
      <c r="AP41" s="28">
        <v>2</v>
      </c>
      <c r="AQ41" s="79">
        <f>((($W$39)^Q41)*((1-($W$39))^($U$34-Q41))*HLOOKUP($U$34,$AV$24:$BF$34,Q41+1))*V48</f>
        <v>1.6224781138448474E-4</v>
      </c>
      <c r="AR41" s="28">
        <v>2</v>
      </c>
      <c r="AS41" s="79">
        <f>((($W$39)^Q41)*((1-($W$39))^($U$35-Q41))*HLOOKUP($U$35,$AV$24:$BF$34,Q41+1))*V49</f>
        <v>7.698601622512867E-6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2.4521909110112312E-5</v>
      </c>
      <c r="BP41">
        <f t="shared" si="38"/>
        <v>9</v>
      </c>
      <c r="BQ41">
        <v>2</v>
      </c>
      <c r="BR41" s="107">
        <f t="shared" si="39"/>
        <v>3.3549722222722647E-3</v>
      </c>
    </row>
    <row r="42" spans="1:70" ht="15" customHeight="1" x14ac:dyDescent="0.25">
      <c r="G42" s="91">
        <v>3</v>
      </c>
      <c r="H42" s="132">
        <f>J42*L39+J41*L40+L42*J39+L41*J40</f>
        <v>0.18244472133792386</v>
      </c>
      <c r="I42" s="93">
        <v>3</v>
      </c>
      <c r="J42" s="86">
        <f t="shared" si="37"/>
        <v>0.14410772068719827</v>
      </c>
      <c r="K42" s="95">
        <v>3</v>
      </c>
      <c r="L42" s="86">
        <f>AF20</f>
        <v>1.3147642749117942E-3</v>
      </c>
      <c r="M42" s="85">
        <v>3</v>
      </c>
      <c r="N42" s="71">
        <f>(($C$24)^M28)*((1-($C$24))^($B$21-M28))*HLOOKUP($B$21,$AV$24:$BF$34,M28+1)</f>
        <v>0.21366537054985771</v>
      </c>
      <c r="O42" s="72">
        <v>3</v>
      </c>
      <c r="P42" s="71">
        <f t="shared" si="40"/>
        <v>0.21366537054985771</v>
      </c>
      <c r="Q42" s="28">
        <v>3</v>
      </c>
      <c r="R42" s="37">
        <f>P42*N39+P41*N40+P40*N41+P39*N42</f>
        <v>0.2296698459308954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0.22921586529351864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1.6485923231582253E-2</v>
      </c>
      <c r="AF42" s="28">
        <v>3</v>
      </c>
      <c r="AG42" s="79">
        <f>((($W$39)^M42)*((1-($W$39))^($U$29-M42))*HLOOKUP($U$29,$AV$24:$BF$34,M42+1))*V43</f>
        <v>4.1872181297072382E-2</v>
      </c>
      <c r="AH42" s="28">
        <v>3</v>
      </c>
      <c r="AI42" s="79">
        <f>((($W$39)^M42)*((1-($W$39))^($U$30-M42))*HLOOKUP($U$30,$AV$24:$BF$34,M42+1))*V44</f>
        <v>4.5602530959499413E-2</v>
      </c>
      <c r="AJ42" s="28">
        <v>3</v>
      </c>
      <c r="AK42" s="79">
        <f>((($W$39)^M42)*((1-($W$39))^($U$31-M42))*HLOOKUP($U$31,$AV$24:$BF$34,M42+1))*V45</f>
        <v>2.7614878144892982E-2</v>
      </c>
      <c r="AL42" s="28">
        <v>3</v>
      </c>
      <c r="AM42" s="79">
        <f>((($W$39)^Q42)*((1-($W$39))^($U$32-Q42))*HLOOKUP($U$32,$AV$24:$BF$34,Q42+1))*V46</f>
        <v>1.0048040972475861E-2</v>
      </c>
      <c r="AN42" s="28">
        <v>3</v>
      </c>
      <c r="AO42" s="79">
        <f>((($W$39)^Q42)*((1-($W$39))^($U$33-Q42))*HLOOKUP($U$33,$AV$24:$BF$34,Q42+1))*V47</f>
        <v>2.2000237462226355E-3</v>
      </c>
      <c r="AP42" s="28">
        <v>3</v>
      </c>
      <c r="AQ42" s="79">
        <f>((($W$39)^Q42)*((1-($W$39))^($U$34-Q42))*HLOOKUP($U$34,$AV$24:$BF$34,Q42+1))*V48</f>
        <v>2.695264114647334E-4</v>
      </c>
      <c r="AR42" s="28">
        <v>3</v>
      </c>
      <c r="AS42" s="79">
        <f>((($W$39)^Q42)*((1-($W$39))^($U$35-Q42))*HLOOKUP($U$35,$AV$24:$BF$34,Q42+1))*V49</f>
        <v>1.4615923987995425E-5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2.3193955750845385E-6</v>
      </c>
      <c r="BP42">
        <f t="shared" si="38"/>
        <v>9</v>
      </c>
      <c r="BQ42">
        <v>3</v>
      </c>
      <c r="BR42" s="107">
        <f t="shared" si="39"/>
        <v>2.0855155319954794E-3</v>
      </c>
    </row>
    <row r="43" spans="1:70" ht="15" customHeight="1" x14ac:dyDescent="0.25">
      <c r="G43" s="91">
        <v>4</v>
      </c>
      <c r="H43" s="132">
        <f>J43*L39+J42*L40+J41*L41+J40*L42</f>
        <v>7.7110838314012178E-2</v>
      </c>
      <c r="I43" s="93">
        <v>4</v>
      </c>
      <c r="J43" s="86">
        <f t="shared" si="37"/>
        <v>4.7848607333282445E-2</v>
      </c>
      <c r="K43" s="95">
        <v>4</v>
      </c>
      <c r="L43" s="86"/>
      <c r="M43" s="85">
        <v>4</v>
      </c>
      <c r="N43" s="71">
        <f>(($C$24)^M29)*((1-($C$24))^($B$21-M29))*HLOOKUP($B$21,$AV$24:$BF$34,M29+1)</f>
        <v>6.6255102046173436E-2</v>
      </c>
      <c r="O43" s="72">
        <v>4</v>
      </c>
      <c r="P43" s="71">
        <f t="shared" si="40"/>
        <v>6.6255102046173436E-2</v>
      </c>
      <c r="Q43" s="28">
        <v>4</v>
      </c>
      <c r="R43" s="37">
        <f>P43*N39+P42*N40+P41*N41+P40*N42+P39*N43</f>
        <v>0.24926265140543102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0.24916468737805836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7.4526596970697643E-3</v>
      </c>
      <c r="AH43" s="28">
        <v>4</v>
      </c>
      <c r="AI43" s="79">
        <f>((($W$39)^M43)*((1-($W$39))^($U$30-M43))*HLOOKUP($U$30,$AV$24:$BF$34,M43+1))*V44</f>
        <v>1.6233219003090237E-2</v>
      </c>
      <c r="AJ43" s="28">
        <v>4</v>
      </c>
      <c r="AK43" s="79">
        <f>((($W$39)^M43)*((1-($W$39))^($U$31-M43))*HLOOKUP($U$31,$AV$24:$BF$34,M43+1))*V45</f>
        <v>1.4745180428729613E-2</v>
      </c>
      <c r="AL43" s="28">
        <v>4</v>
      </c>
      <c r="AM43" s="79">
        <f>((($W$39)^Q43)*((1-($W$39))^($U$32-Q43))*HLOOKUP($U$32,$AV$24:$BF$34,Q43+1))*V46</f>
        <v>7.1536402136577783E-3</v>
      </c>
      <c r="AN43" s="28">
        <v>4</v>
      </c>
      <c r="AO43" s="79">
        <f>((($W$39)^Q43)*((1-($W$39))^($U$33-Q43))*HLOOKUP($U$33,$AV$24:$BF$34,Q43+1))*V47</f>
        <v>1.9578665116278828E-3</v>
      </c>
      <c r="AP43" s="28">
        <v>4</v>
      </c>
      <c r="AQ43" s="79">
        <f>((($W$39)^Q43)*((1-($W$39))^($U$34-Q43))*HLOOKUP($U$34,$AV$24:$BF$34,Q43+1))*V48</f>
        <v>2.8783147595315325E-4</v>
      </c>
      <c r="AR43" s="28">
        <v>4</v>
      </c>
      <c r="AS43" s="79">
        <f>((($W$39)^Q43)*((1-($W$39))^($U$35-Q43))*HLOOKUP($U$35,$AV$24:$BF$34,Q43+1))*V49</f>
        <v>1.8210003154019892E-5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1.5965895531968999E-7</v>
      </c>
      <c r="BP43">
        <f t="shared" si="38"/>
        <v>9</v>
      </c>
      <c r="BQ43">
        <v>4</v>
      </c>
      <c r="BR43" s="107">
        <f t="shared" si="39"/>
        <v>8.8144973343022408E-4</v>
      </c>
    </row>
    <row r="44" spans="1:70" ht="15" customHeight="1" thickBot="1" x14ac:dyDescent="0.3">
      <c r="G44" s="91">
        <v>5</v>
      </c>
      <c r="H44" s="132">
        <f>J44*L39+J43*L40+J42*L41+J41*L42</f>
        <v>2.3416831678472416E-2</v>
      </c>
      <c r="I44" s="93">
        <v>5</v>
      </c>
      <c r="J44" s="86">
        <f t="shared" si="37"/>
        <v>1.0901907295870875E-2</v>
      </c>
      <c r="K44" s="95">
        <v>5</v>
      </c>
      <c r="L44" s="86"/>
      <c r="M44" s="85">
        <v>5</v>
      </c>
      <c r="N44" s="71">
        <f>(($C$24)^M30)*((1-($C$24))^($B$21-M30))*HLOOKUP($B$21,$AV$24:$BF$34,M30+1)</f>
        <v>8.2179691278040489E-3</v>
      </c>
      <c r="O44" s="72">
        <v>5</v>
      </c>
      <c r="P44" s="71">
        <f t="shared" si="40"/>
        <v>8.2179691278040489E-3</v>
      </c>
      <c r="Q44" s="28">
        <v>5</v>
      </c>
      <c r="R44" s="37">
        <f>P44*N39+P43*N40+P42*N41+P41*N42+P40*N43+P39*N44</f>
        <v>0.18550415385702859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0.18582294634477059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2.3114278410233447E-3</v>
      </c>
      <c r="AJ44" s="28">
        <v>5</v>
      </c>
      <c r="AK44" s="79">
        <f>((($W$39)^M44)*((1-($W$39))^($U$31-M44))*HLOOKUP($U$31,$AV$24:$BF$34,M44+1))*V45</f>
        <v>4.1990957625089717E-3</v>
      </c>
      <c r="AL44" s="28">
        <v>5</v>
      </c>
      <c r="AM44" s="79">
        <f>((($W$39)^Q44)*((1-($W$39))^($U$32-Q44))*HLOOKUP($U$32,$AV$24:$BF$34,Q44+1))*V46</f>
        <v>3.0557937679578655E-3</v>
      </c>
      <c r="AN44" s="28">
        <v>5</v>
      </c>
      <c r="AO44" s="79">
        <f>((($W$39)^Q44)*((1-($W$39))^($U$33-Q44))*HLOOKUP($U$33,$AV$24:$BF$34,Q44+1))*V47</f>
        <v>1.1151126989964106E-3</v>
      </c>
      <c r="AP44" s="28">
        <v>5</v>
      </c>
      <c r="AQ44" s="79">
        <f>((($W$39)^Q44)*((1-($W$39))^($U$34-Q44))*HLOOKUP($U$34,$AV$24:$BF$34,Q44+1))*V48</f>
        <v>2.049198273350189E-4</v>
      </c>
      <c r="AR44" s="28">
        <v>5</v>
      </c>
      <c r="AS44" s="79">
        <f>((($W$39)^Q44)*((1-($W$39))^($U$35-Q44))*HLOOKUP($U$35,$AV$24:$BF$34,Q44+1))*V49</f>
        <v>1.555739804926373E-5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1.1935776732521883E-3</v>
      </c>
      <c r="BP44">
        <f t="shared" si="38"/>
        <v>9</v>
      </c>
      <c r="BQ44">
        <v>5</v>
      </c>
      <c r="BR44" s="107">
        <f t="shared" si="39"/>
        <v>2.6767650945145032E-4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5.2623728333694476E-3</v>
      </c>
      <c r="I45" s="93">
        <v>6</v>
      </c>
      <c r="J45" s="86">
        <f t="shared" si="37"/>
        <v>1.7268774929878189E-3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9.5871070201636793E-2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9.6319235619913748E-2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4.9825334759230047E-4</v>
      </c>
      <c r="AL45" s="28">
        <v>6</v>
      </c>
      <c r="AM45" s="79">
        <f>((($W$39)^Q45)*((1-($W$39))^($U$32-Q45))*HLOOKUP($U$32,$AV$24:$BF$34,Q45+1))*V46</f>
        <v>7.2518444948583985E-4</v>
      </c>
      <c r="AN45" s="28">
        <v>6</v>
      </c>
      <c r="AO45" s="79">
        <f>((($W$39)^Q45)*((1-($W$39))^($U$33-Q45))*HLOOKUP($U$33,$AV$24:$BF$34,Q45+1))*V47</f>
        <v>3.9694877181295995E-4</v>
      </c>
      <c r="AP45" s="28">
        <v>6</v>
      </c>
      <c r="AQ45" s="79">
        <f>((($W$39)^Q45)*((1-($W$39))^($U$34-Q45))*HLOOKUP($U$34,$AV$24:$BF$34,Q45+1))*V48</f>
        <v>9.7260930192935753E-5</v>
      </c>
      <c r="AR45" s="28">
        <v>6</v>
      </c>
      <c r="AS45" s="79">
        <f>((($W$39)^Q45)*((1-($W$39))^($U$35-Q45))*HLOOKUP($U$35,$AV$24:$BF$34,Q45+1))*V49</f>
        <v>9.2299939037827746E-6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2.013060937550155E-4</v>
      </c>
      <c r="BP45">
        <f t="shared" si="38"/>
        <v>9</v>
      </c>
      <c r="BQ45">
        <v>6</v>
      </c>
      <c r="BR45" s="107">
        <f t="shared" si="39"/>
        <v>6.0153893182886917E-5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8.875398247704065E-4</v>
      </c>
      <c r="I46" s="93">
        <v>7</v>
      </c>
      <c r="J46" s="86">
        <f t="shared" si="37"/>
        <v>1.8793126507462248E-4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3.397541023083428E-2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3.4284888530688291E-2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7.375579342667938E-5</v>
      </c>
      <c r="AN46" s="28">
        <v>7</v>
      </c>
      <c r="AO46" s="79">
        <f>((($W$39)^Q46)*((1-($W$39))^($U$33-Q46))*HLOOKUP($U$33,$AV$24:$BF$34,Q46+1))*V47</f>
        <v>8.0744344795502789E-5</v>
      </c>
      <c r="AP46" s="28">
        <v>7</v>
      </c>
      <c r="AQ46" s="79">
        <f>((($W$39)^Q46)*((1-($W$39))^($U$34-Q46))*HLOOKUP($U$34,$AV$24:$BF$34,Q46+1))*V48</f>
        <v>2.9676134454687833E-5</v>
      </c>
      <c r="AR46" s="28">
        <v>7</v>
      </c>
      <c r="AS46" s="79">
        <f>((($W$39)^Q46)*((1-($W$39))^($U$35-Q46))*HLOOKUP($U$35,$AV$24:$BF$34,Q46+1))*V49</f>
        <v>3.7549923977524841E-6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2.554172066451025E-5</v>
      </c>
      <c r="BP46">
        <f t="shared" si="38"/>
        <v>9</v>
      </c>
      <c r="BQ46">
        <v>7</v>
      </c>
      <c r="BR46" s="107">
        <f t="shared" si="39"/>
        <v>1.0145418712306013E-5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1.1261106834898929E-4</v>
      </c>
      <c r="I47" s="93">
        <v>8</v>
      </c>
      <c r="J47" s="86">
        <f t="shared" si="37"/>
        <v>1.3470117787364589E-5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7.9015293848679422E-3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8.0318987890977741E-3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7.1856791977759011E-6</v>
      </c>
      <c r="AP47" s="28">
        <v>8</v>
      </c>
      <c r="AQ47" s="79">
        <f>((($W$39)^Q47)*((1-($W$39))^($U$34-Q47))*HLOOKUP($U$34,$AV$24:$BF$34,Q47+1))*V48</f>
        <v>5.2819347921274617E-6</v>
      </c>
      <c r="AR47" s="28">
        <v>8</v>
      </c>
      <c r="AS47" s="79">
        <f>((($W$39)^Q47)*((1-($W$39))^($U$35-Q47))*HLOOKUP($U$35,$AV$24:$BF$34,Q47+1))*V49</f>
        <v>1.0025037974612252E-6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2.4158540684289755E-6</v>
      </c>
      <c r="BP47">
        <f>BL12+1</f>
        <v>9</v>
      </c>
      <c r="BQ47">
        <v>8</v>
      </c>
      <c r="BR47" s="107">
        <f t="shared" si="39"/>
        <v>1.2872509020495522E-6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1.0651275659711146E-5</v>
      </c>
      <c r="I48" s="93">
        <v>9</v>
      </c>
      <c r="J48" s="86">
        <f t="shared" si="37"/>
        <v>5.7643258507802617E-7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1.0889647663499204E-3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1.1230275894425104E-3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4.1782673235491642E-7</v>
      </c>
      <c r="AR48" s="28">
        <v>9</v>
      </c>
      <c r="AS48" s="79">
        <f>((($W$39)^Q48)*((1-($W$39))^($U$35-Q48))*HLOOKUP($U$35,$AV$24:$BF$34,Q48+1))*V49</f>
        <v>1.586058527231097E-7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1.6629881548175948E-7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7.3319599421480322E-7</v>
      </c>
      <c r="I49" s="94">
        <v>10</v>
      </c>
      <c r="J49" s="89">
        <f t="shared" si="37"/>
        <v>1.1291844940416779E-8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6.7535016585540446E-5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7.2979840417208841E-5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1.1291844940416779E-8</v>
      </c>
      <c r="BH49">
        <f>BP14+1</f>
        <v>6</v>
      </c>
      <c r="BI49">
        <v>0</v>
      </c>
      <c r="BJ49" s="107">
        <f>$H$31*H39</f>
        <v>2.2233165512432176E-2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1.5221302685110814E-4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1.9312791484901281E-5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1.8266931384285365E-6</v>
      </c>
    </row>
    <row r="53" spans="1:62" x14ac:dyDescent="0.25">
      <c r="BH53">
        <f>BH48+1</f>
        <v>6</v>
      </c>
      <c r="BI53">
        <v>10</v>
      </c>
      <c r="BJ53" s="107">
        <f>$H$31*H49</f>
        <v>1.2574306914443254E-7</v>
      </c>
    </row>
    <row r="54" spans="1:62" x14ac:dyDescent="0.25">
      <c r="BH54">
        <f>BH51+1</f>
        <v>7</v>
      </c>
      <c r="BI54">
        <v>8</v>
      </c>
      <c r="BJ54" s="107">
        <f>$H$32*H47</f>
        <v>1.0715764616301853E-5</v>
      </c>
    </row>
    <row r="55" spans="1:62" x14ac:dyDescent="0.25">
      <c r="BH55">
        <f>BH52+1</f>
        <v>7</v>
      </c>
      <c r="BI55">
        <v>9</v>
      </c>
      <c r="BJ55" s="107">
        <f>$H$32*H48</f>
        <v>1.0135465767813602E-6</v>
      </c>
    </row>
    <row r="56" spans="1:62" x14ac:dyDescent="0.25">
      <c r="BH56">
        <f>BH53+1</f>
        <v>7</v>
      </c>
      <c r="BI56">
        <v>10</v>
      </c>
      <c r="BJ56" s="107">
        <f>$H$32*H49</f>
        <v>6.9768947287424988E-8</v>
      </c>
    </row>
    <row r="57" spans="1:62" x14ac:dyDescent="0.25">
      <c r="BH57">
        <f>BH55+1</f>
        <v>8</v>
      </c>
      <c r="BI57">
        <v>9</v>
      </c>
      <c r="BJ57" s="107">
        <f>$H$33*H48</f>
        <v>4.1240714509451489E-7</v>
      </c>
    </row>
    <row r="58" spans="1:62" x14ac:dyDescent="0.25">
      <c r="BH58">
        <f>BH56+1</f>
        <v>8</v>
      </c>
      <c r="BI58">
        <v>10</v>
      </c>
      <c r="BJ58" s="107">
        <f>$H$33*H49</f>
        <v>2.8388643429125336E-8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8.3811229106467726E-9</v>
      </c>
    </row>
  </sheetData>
  <mergeCells count="2">
    <mergeCell ref="P1:Q1"/>
    <mergeCell ref="B3:C3"/>
  </mergeCells>
  <conditionalFormatting sqref="V25:V35 V39:V49">
    <cfRule type="cellIs" dxfId="13" priority="14" operator="greaterThan">
      <formula>0.15</formula>
    </cfRule>
  </conditionalFormatting>
  <conditionalFormatting sqref="V35">
    <cfRule type="cellIs" dxfId="12" priority="13" operator="greaterThan">
      <formula>0.15</formula>
    </cfRule>
  </conditionalFormatting>
  <conditionalFormatting sqref="V49">
    <cfRule type="cellIs" dxfId="11" priority="12" operator="greaterThan">
      <formula>0.15</formula>
    </cfRule>
  </conditionalFormatting>
  <conditionalFormatting sqref="V25:V35 V39:V49">
    <cfRule type="cellIs" dxfId="10" priority="11" operator="greaterThan">
      <formula>0.15</formula>
    </cfRule>
  </conditionalFormatting>
  <conditionalFormatting sqref="V35">
    <cfRule type="cellIs" dxfId="9" priority="10" operator="greaterThan">
      <formula>0.15</formula>
    </cfRule>
  </conditionalFormatting>
  <conditionalFormatting sqref="V49">
    <cfRule type="cellIs" dxfId="8" priority="9" operator="greaterThan">
      <formula>0.15</formula>
    </cfRule>
  </conditionalFormatting>
  <conditionalFormatting sqref="H25:H35">
    <cfRule type="cellIs" dxfId="7" priority="8" operator="greaterThan">
      <formula>0.15</formula>
    </cfRule>
  </conditionalFormatting>
  <conditionalFormatting sqref="H35">
    <cfRule type="cellIs" dxfId="6" priority="7" operator="greaterThan">
      <formula>0.15</formula>
    </cfRule>
  </conditionalFormatting>
  <conditionalFormatting sqref="H25:H35">
    <cfRule type="cellIs" dxfId="5" priority="6" operator="greaterThan">
      <formula>0.15</formula>
    </cfRule>
  </conditionalFormatting>
  <conditionalFormatting sqref="H35">
    <cfRule type="cellIs" dxfId="4" priority="5" operator="greaterThan">
      <formula>0.15</formula>
    </cfRule>
  </conditionalFormatting>
  <conditionalFormatting sqref="H39:H49">
    <cfRule type="cellIs" dxfId="3" priority="4" operator="greaterThan">
      <formula>0.15</formula>
    </cfRule>
  </conditionalFormatting>
  <conditionalFormatting sqref="H49">
    <cfRule type="cellIs" dxfId="2" priority="3" operator="greaterThan">
      <formula>0.15</formula>
    </cfRule>
  </conditionalFormatting>
  <conditionalFormatting sqref="H39:H49">
    <cfRule type="cellIs" dxfId="1" priority="2" operator="greaterThan">
      <formula>0.15</formula>
    </cfRule>
  </conditionalFormatting>
  <conditionalFormatting sqref="H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F5" sqref="F5:I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142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6"/>
      <c r="Q1" s="216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2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3.6836999999999995</v>
      </c>
      <c r="AM3" s="208">
        <f>SUM(AM5:AM19)</f>
        <v>3.6837000000000009</v>
      </c>
      <c r="AN3" s="208">
        <f>SUM(AN5:AN19)</f>
        <v>3.0750000000000006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0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5.531666219575221E-3</v>
      </c>
      <c r="BL4">
        <v>0</v>
      </c>
      <c r="BM4">
        <v>0</v>
      </c>
      <c r="BN4" s="107">
        <f>H25*H39</f>
        <v>1.0038906950242926E-3</v>
      </c>
      <c r="BP4">
        <v>1</v>
      </c>
      <c r="BQ4">
        <v>0</v>
      </c>
      <c r="BR4" s="107">
        <f>$H$26*H39</f>
        <v>2.6362188010995765E-3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/>
      <c r="L5" s="10"/>
      <c r="M5" s="10"/>
      <c r="O5" s="67">
        <f>AG5*AI5*AO5*AH5</f>
        <v>9.4458453658536584E-2</v>
      </c>
      <c r="P5" s="210">
        <f>P3</f>
        <v>0.56999999999999995</v>
      </c>
      <c r="Q5" s="214">
        <f>P5*O5</f>
        <v>5.3841318585365845E-2</v>
      </c>
      <c r="R5" s="157">
        <f>IF($B$17="JC",IF($C$17="JC",$W$1,$V$1*1.1),IF($C$17="JC",$V$1/0.9,$U$1))*Q5/1.5</f>
        <v>5.3841318585365845E-2</v>
      </c>
      <c r="S5" s="176">
        <f>(1-R5)</f>
        <v>0.94615868141463411</v>
      </c>
      <c r="T5" s="177">
        <f>R5*PRODUCT(S6:S19)</f>
        <v>4.5716966134316896E-2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7.5999691276662038E-3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H5">
        <f>COUNTIF(F5:F10,"IMP")</f>
        <v>1</v>
      </c>
      <c r="AI5" s="207">
        <f>AN5*$AM$3/$AN$3</f>
        <v>0.56675072195121956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1.3945759632985603E-2</v>
      </c>
      <c r="BL5">
        <v>1</v>
      </c>
      <c r="BM5">
        <v>1</v>
      </c>
      <c r="BN5" s="107">
        <f>$H$26*H40</f>
        <v>1.4526165609193877E-2</v>
      </c>
      <c r="BP5">
        <f>BP4+1</f>
        <v>2</v>
      </c>
      <c r="BQ5">
        <v>0</v>
      </c>
      <c r="BR5" s="107">
        <f>$H$27*H39</f>
        <v>3.1676723012723034E-3</v>
      </c>
    </row>
    <row r="6" spans="1:70" x14ac:dyDescent="0.25">
      <c r="A6" s="2" t="s">
        <v>1</v>
      </c>
      <c r="B6" s="168">
        <v>10.25</v>
      </c>
      <c r="C6" s="169">
        <v>10.75</v>
      </c>
      <c r="E6" s="192" t="s">
        <v>17</v>
      </c>
      <c r="F6" s="167" t="s">
        <v>146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6.2188642682926835E-2</v>
      </c>
      <c r="Z6" s="69">
        <f>Z3</f>
        <v>0.56999999999999995</v>
      </c>
      <c r="AA6" s="69">
        <f t="shared" ref="AA6:AA19" si="6">Z6*Y6</f>
        <v>3.5447526329268293E-2</v>
      </c>
      <c r="AB6" s="157">
        <f t="shared" ref="AB6:AB19" si="7">IF($B$17="JC",IF($C$17="JC",$W$1,$V$1/0.9),IF($C$17="JC",$V$1*1.1,$U$1))*AA6/1.5</f>
        <v>3.5447526329268293E-2</v>
      </c>
      <c r="AC6" s="176">
        <f t="shared" ref="AC6:AC19" si="8">(1-AB6)</f>
        <v>0.96455247367073171</v>
      </c>
      <c r="AD6" s="177">
        <f>AB6*AC5*PRODUCT(AC7:AC19)</f>
        <v>2.3084022230361885E-2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1.0604208096359693E-2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0.49750914146341468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2.128515681611811E-2</v>
      </c>
      <c r="BL6">
        <f>BH14+1</f>
        <v>2</v>
      </c>
      <c r="BM6">
        <v>2</v>
      </c>
      <c r="BN6" s="107">
        <f>$H$27*H41</f>
        <v>4.4004388852853064E-2</v>
      </c>
      <c r="BP6">
        <f>BL5+1</f>
        <v>2</v>
      </c>
      <c r="BQ6">
        <v>1</v>
      </c>
      <c r="BR6" s="107">
        <f>$H$27*H40</f>
        <v>1.7454595356328196E-2</v>
      </c>
    </row>
    <row r="7" spans="1:70" x14ac:dyDescent="0.25">
      <c r="A7" s="5" t="s">
        <v>2</v>
      </c>
      <c r="B7" s="168">
        <v>11.75</v>
      </c>
      <c r="C7" s="169">
        <v>14.5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4.6720097560975608E-3</v>
      </c>
      <c r="P7" s="210">
        <f>P2</f>
        <v>0.45</v>
      </c>
      <c r="Q7" s="214">
        <f t="shared" si="2"/>
        <v>2.1024043902439023E-3</v>
      </c>
      <c r="R7" s="157">
        <f t="shared" si="3"/>
        <v>2.1024043902439023E-3</v>
      </c>
      <c r="S7" s="176">
        <f t="shared" si="4"/>
        <v>0.99789759560975611</v>
      </c>
      <c r="T7" s="177">
        <f>R7*PRODUCT(S5:S6)*PRODUCT(S8:S19)</f>
        <v>1.69260637350246E-3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2.7781212781311377E-4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1</v>
      </c>
      <c r="AH7">
        <f>COUNTIF(J14:J18,"IMP")</f>
        <v>1</v>
      </c>
      <c r="AI7" s="207">
        <f t="shared" si="9"/>
        <v>4.6720097560975608E-3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2.1930830866349605E-2</v>
      </c>
      <c r="BL7">
        <f>BH23+1</f>
        <v>3</v>
      </c>
      <c r="BM7">
        <v>3</v>
      </c>
      <c r="BN7" s="107">
        <f>$H$28*H42</f>
        <v>4.8874163311368499E-2</v>
      </c>
      <c r="BP7">
        <f>BP5+1</f>
        <v>3</v>
      </c>
      <c r="BQ7">
        <v>0</v>
      </c>
      <c r="BR7" s="107">
        <f>$H$28*H39</f>
        <v>2.3050954333691696E-3</v>
      </c>
    </row>
    <row r="8" spans="1:70" x14ac:dyDescent="0.25">
      <c r="A8" s="5" t="s">
        <v>3</v>
      </c>
      <c r="B8" s="168">
        <v>10.5</v>
      </c>
      <c r="C8" s="169">
        <v>14.25</v>
      </c>
      <c r="E8" s="192" t="s">
        <v>18</v>
      </c>
      <c r="F8" s="167" t="s">
        <v>21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2.1194521575984993E-2</v>
      </c>
      <c r="P8" s="210">
        <f>P2</f>
        <v>0.45</v>
      </c>
      <c r="Q8" s="214">
        <f t="shared" si="2"/>
        <v>9.5375347091932478E-3</v>
      </c>
      <c r="R8" s="157">
        <f t="shared" si="3"/>
        <v>9.5375347091932478E-3</v>
      </c>
      <c r="S8" s="176">
        <f t="shared" si="4"/>
        <v>0.99046246529080673</v>
      </c>
      <c r="T8" s="177">
        <f>R8*PRODUCT(S5:S7)*PRODUCT(S9:S19)</f>
        <v>7.7361307755365663E-3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1.1952582626514573E-3</v>
      </c>
      <c r="W8" s="186" t="s">
        <v>42</v>
      </c>
      <c r="X8" s="15" t="s">
        <v>43</v>
      </c>
      <c r="Y8" s="69">
        <f t="shared" si="5"/>
        <v>2.1194521575984993E-2</v>
      </c>
      <c r="Z8" s="69">
        <f>Z2</f>
        <v>0.45</v>
      </c>
      <c r="AA8" s="69">
        <f t="shared" si="6"/>
        <v>9.5375347091932478E-3</v>
      </c>
      <c r="AB8" s="157">
        <f t="shared" si="7"/>
        <v>9.5375347091932478E-3</v>
      </c>
      <c r="AC8" s="176">
        <f t="shared" si="8"/>
        <v>0.99046246529080673</v>
      </c>
      <c r="AD8" s="177">
        <f>AB8*PRODUCT(AC5:AC7)*PRODUCT(AC9:AC19)</f>
        <v>6.048525537399374E-3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2.7202940672383419E-3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0.55105756097560976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1.6101346060694906E-2</v>
      </c>
      <c r="BL8">
        <f>BH31+1</f>
        <v>4</v>
      </c>
      <c r="BM8">
        <v>4</v>
      </c>
      <c r="BN8" s="107">
        <f>$H$29*H43</f>
        <v>2.4753364028197528E-2</v>
      </c>
      <c r="BP8">
        <f>BP6+1</f>
        <v>3</v>
      </c>
      <c r="BQ8">
        <v>1</v>
      </c>
      <c r="BR8" s="107">
        <f>$H$28*H40</f>
        <v>1.2701600487846723E-2</v>
      </c>
    </row>
    <row r="9" spans="1:70" x14ac:dyDescent="0.25">
      <c r="A9" s="5" t="s">
        <v>4</v>
      </c>
      <c r="B9" s="168">
        <v>11.25</v>
      </c>
      <c r="C9" s="169">
        <v>16.5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1.3776439024390243E-2</v>
      </c>
      <c r="Z9" s="69">
        <f>Z2</f>
        <v>0.45</v>
      </c>
      <c r="AA9" s="69">
        <f t="shared" si="6"/>
        <v>6.1993975609756094E-3</v>
      </c>
      <c r="AB9" s="157">
        <f t="shared" si="7"/>
        <v>6.1993975609756094E-3</v>
      </c>
      <c r="AC9" s="176">
        <f t="shared" si="8"/>
        <v>0.99380060243902435</v>
      </c>
      <c r="AD9" s="177">
        <f>AB9*PRODUCT(AC5:AC8)*PRODUCT(AC10:AC19)</f>
        <v>3.9183357056623049E-3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1.7378090074045259E-3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1.3776439024390243E-2</v>
      </c>
      <c r="AK9" s="203">
        <f>IF(COUNTIF(J6:J13,"IMP")+COUNTIF(F6:F13,"IMP")=0,0,COUNTIF(F6:F13,"IMP")/(COUNTIF(J6:J13,"IMP")+COUNTIF(F6:F13,"IMP")))</f>
        <v>1</v>
      </c>
      <c r="AL9">
        <f>COUNTIF(F6:F13,"IMP")</f>
        <v>1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8.6658899859473545E-3</v>
      </c>
      <c r="BL9">
        <f>BH38+1</f>
        <v>5</v>
      </c>
      <c r="BM9">
        <v>5</v>
      </c>
      <c r="BN9" s="107">
        <f>$H$30*H44</f>
        <v>6.3730039898282059E-3</v>
      </c>
      <c r="BP9">
        <f>BL6+1</f>
        <v>3</v>
      </c>
      <c r="BQ9">
        <v>2</v>
      </c>
      <c r="BR9" s="107">
        <f>$H$28*H41</f>
        <v>3.2021720097805399E-2</v>
      </c>
    </row>
    <row r="10" spans="1:70" x14ac:dyDescent="0.25">
      <c r="A10" s="6" t="s">
        <v>5</v>
      </c>
      <c r="B10" s="168">
        <v>11.5</v>
      </c>
      <c r="C10" s="169">
        <v>16.25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 t="shared" si="1"/>
        <v>3.7435975609756096E-2</v>
      </c>
      <c r="P10" s="210">
        <f>P3</f>
        <v>0.56999999999999995</v>
      </c>
      <c r="Q10" s="214">
        <f t="shared" si="2"/>
        <v>2.1338506097560973E-2</v>
      </c>
      <c r="R10" s="157">
        <f t="shared" si="3"/>
        <v>2.1338506097560977E-2</v>
      </c>
      <c r="S10" s="176">
        <f t="shared" si="4"/>
        <v>0.97866149390243906</v>
      </c>
      <c r="T10" s="177">
        <f>R10*PRODUCT(S5:S9)*PRODUCT(S11:S19)</f>
        <v>1.7516898100499018E-2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2.3244854139135617E-3</v>
      </c>
      <c r="W10" s="186" t="s">
        <v>46</v>
      </c>
      <c r="X10" s="15" t="s">
        <v>47</v>
      </c>
      <c r="Y10" s="69">
        <f t="shared" si="5"/>
        <v>3.7435975609756096E-2</v>
      </c>
      <c r="Z10" s="69">
        <f>Z3</f>
        <v>0.56999999999999995</v>
      </c>
      <c r="AA10" s="69">
        <f t="shared" si="6"/>
        <v>2.1338506097560973E-2</v>
      </c>
      <c r="AB10" s="157">
        <f t="shared" si="7"/>
        <v>2.1338506097560977E-2</v>
      </c>
      <c r="AC10" s="176">
        <f t="shared" si="8"/>
        <v>0.97866149390243906</v>
      </c>
      <c r="AD10" s="177">
        <f>AB10*PRODUCT(AC5:AC9)*PRODUCT(AC11:AC19)</f>
        <v>1.3695658536685255E-2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5.7755024272257219E-3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0.59897560975609754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3.4641121528331659E-3</v>
      </c>
      <c r="BL10">
        <f>BH44+1</f>
        <v>6</v>
      </c>
      <c r="BM10">
        <v>6</v>
      </c>
      <c r="BN10" s="107">
        <f>$H$31*H45</f>
        <v>8.8338087055978443E-4</v>
      </c>
      <c r="BP10">
        <f>BP7+1</f>
        <v>4</v>
      </c>
      <c r="BQ10">
        <v>0</v>
      </c>
      <c r="BR10" s="107">
        <f>$H$29*H39</f>
        <v>1.1330930401084608E-3</v>
      </c>
    </row>
    <row r="11" spans="1:70" x14ac:dyDescent="0.25">
      <c r="A11" s="6" t="s">
        <v>6</v>
      </c>
      <c r="B11" s="168">
        <v>17.5</v>
      </c>
      <c r="C11" s="169">
        <v>10.5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3.7435975609756096E-2</v>
      </c>
      <c r="P11" s="210">
        <f>P3</f>
        <v>0.56999999999999995</v>
      </c>
      <c r="Q11" s="214">
        <f t="shared" si="2"/>
        <v>2.1338506097560973E-2</v>
      </c>
      <c r="R11" s="157">
        <f t="shared" si="3"/>
        <v>2.1338506097560977E-2</v>
      </c>
      <c r="S11" s="176">
        <f t="shared" si="4"/>
        <v>0.97866149390243906</v>
      </c>
      <c r="T11" s="177">
        <f>R11*PRODUCT(S5:S10)*PRODUCT(S12:S19)</f>
        <v>1.7516898100499015E-2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1.9425510686300082E-3</v>
      </c>
      <c r="W11" s="186" t="s">
        <v>48</v>
      </c>
      <c r="X11" s="15" t="s">
        <v>49</v>
      </c>
      <c r="Y11" s="69">
        <f t="shared" si="5"/>
        <v>3.7435975609756096E-2</v>
      </c>
      <c r="Z11" s="69">
        <f>Z3</f>
        <v>0.56999999999999995</v>
      </c>
      <c r="AA11" s="69">
        <f t="shared" si="6"/>
        <v>2.1338506097560973E-2</v>
      </c>
      <c r="AB11" s="157">
        <f t="shared" si="7"/>
        <v>2.1338506097560977E-2</v>
      </c>
      <c r="AC11" s="176">
        <f t="shared" si="8"/>
        <v>0.97866149390243906</v>
      </c>
      <c r="AD11" s="177">
        <f>AB11*PRODUCT(AC5:AC10)*PRODUCT(AC12:AC19)</f>
        <v>1.3695658536685251E-2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5.4768854947970878E-3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0.59897560975609754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1.0304786422478747E-3</v>
      </c>
      <c r="BL11">
        <f>BH50+1</f>
        <v>7</v>
      </c>
      <c r="BM11">
        <v>7</v>
      </c>
      <c r="BN11" s="107">
        <f>$H$32*H46</f>
        <v>6.7739630499014566E-5</v>
      </c>
      <c r="BP11">
        <f>BP8+1</f>
        <v>4</v>
      </c>
      <c r="BQ11">
        <v>1</v>
      </c>
      <c r="BR11" s="107">
        <f>$H$29*H40</f>
        <v>6.2436005480179194E-3</v>
      </c>
    </row>
    <row r="12" spans="1:70" x14ac:dyDescent="0.25">
      <c r="A12" s="6" t="s">
        <v>7</v>
      </c>
      <c r="B12" s="168">
        <v>12</v>
      </c>
      <c r="C12" s="169">
        <v>17.5</v>
      </c>
      <c r="E12" s="192" t="s">
        <v>19</v>
      </c>
      <c r="F12" s="167"/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3.4441097560975603E-3</v>
      </c>
      <c r="P12" s="210">
        <f>P2</f>
        <v>0.45</v>
      </c>
      <c r="Q12" s="214">
        <f t="shared" si="2"/>
        <v>1.5498493902439021E-3</v>
      </c>
      <c r="R12" s="157">
        <f t="shared" si="3"/>
        <v>1.5498493902439021E-3</v>
      </c>
      <c r="S12" s="176">
        <f t="shared" si="4"/>
        <v>0.99845015060975606</v>
      </c>
      <c r="T12" s="177">
        <f>R12*PRODUCT(S5:S11)*PRODUCT(S13:S19)</f>
        <v>1.2470641751107696E-3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1.3635846314082441E-4</v>
      </c>
      <c r="W12" s="187" t="s">
        <v>50</v>
      </c>
      <c r="X12" s="15" t="s">
        <v>51</v>
      </c>
      <c r="Y12" s="69">
        <f t="shared" si="5"/>
        <v>3.4441097560975607E-3</v>
      </c>
      <c r="Z12" s="69">
        <f>Z2</f>
        <v>0.45</v>
      </c>
      <c r="AA12" s="69">
        <f t="shared" si="6"/>
        <v>1.5498493902439024E-3</v>
      </c>
      <c r="AB12" s="157">
        <f t="shared" si="7"/>
        <v>1.5498493902439024E-3</v>
      </c>
      <c r="AC12" s="176">
        <f t="shared" si="8"/>
        <v>0.99845015060975606</v>
      </c>
      <c r="AD12" s="177">
        <f>AB12*PRODUCT(AC5:AC11)*PRODUCT(AC13:AC19)</f>
        <v>9.7502223382595413E-4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3.8839731328109639E-4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1.3776439024390243E-2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2.2621542433281025E-4</v>
      </c>
      <c r="BL12">
        <f>BH54+1</f>
        <v>8</v>
      </c>
      <c r="BM12">
        <v>8</v>
      </c>
      <c r="BN12" s="107">
        <f>$H$33*H47</f>
        <v>2.8884477779208944E-6</v>
      </c>
      <c r="BP12">
        <f>BP9+1</f>
        <v>4</v>
      </c>
      <c r="BQ12">
        <v>2</v>
      </c>
      <c r="BR12" s="107">
        <f>$H$29*H41</f>
        <v>1.5740601300004209E-2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8.6128414285714272E-2</v>
      </c>
      <c r="P13" s="210">
        <f>P3</f>
        <v>0.56999999999999995</v>
      </c>
      <c r="Q13" s="214">
        <f t="shared" si="2"/>
        <v>4.9093196142857128E-2</v>
      </c>
      <c r="R13" s="157">
        <f t="shared" si="3"/>
        <v>4.9093196142857128E-2</v>
      </c>
      <c r="S13" s="176">
        <f t="shared" si="4"/>
        <v>0.95090680385714288</v>
      </c>
      <c r="T13" s="177">
        <f>R13*PRODUCT(S5:S12)*PRODUCT(S14:S19)</f>
        <v>4.147716321323084E-2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2.39388819995428E-3</v>
      </c>
      <c r="W13" s="186" t="s">
        <v>52</v>
      </c>
      <c r="X13" s="15" t="s">
        <v>53</v>
      </c>
      <c r="Y13" s="69">
        <f t="shared" si="5"/>
        <v>9.0329800348432035E-2</v>
      </c>
      <c r="Z13" s="69">
        <f>Z3</f>
        <v>0.56999999999999995</v>
      </c>
      <c r="AA13" s="69">
        <f t="shared" si="6"/>
        <v>5.1487986198606256E-2</v>
      </c>
      <c r="AB13" s="157">
        <f t="shared" si="7"/>
        <v>5.1487986198606256E-2</v>
      </c>
      <c r="AC13" s="176">
        <f t="shared" si="8"/>
        <v>0.94851201380139372</v>
      </c>
      <c r="AD13" s="177">
        <f>AB13*PRODUCT(AC5:AC12)*PRODUCT(AC14:AC19)</f>
        <v>3.4096867290166782E-2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1.1731512433335773E-2</v>
      </c>
      <c r="AG13" s="203">
        <f>B22</f>
        <v>0.48809523809523808</v>
      </c>
      <c r="AH13">
        <v>1</v>
      </c>
      <c r="AI13" s="207">
        <f t="shared" si="9"/>
        <v>0.17645821463414632</v>
      </c>
      <c r="AK13" s="203">
        <f>C22</f>
        <v>0.51190476190476186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3.5882268141711241E-5</v>
      </c>
      <c r="BL13">
        <f>BH57+1</f>
        <v>9</v>
      </c>
      <c r="BM13">
        <v>9</v>
      </c>
      <c r="BN13" s="107">
        <f>$H$34*H48</f>
        <v>6.7448318228094827E-8</v>
      </c>
      <c r="BP13">
        <f>BL7+1</f>
        <v>4</v>
      </c>
      <c r="BQ13">
        <v>3</v>
      </c>
      <c r="BR13" s="107">
        <f>$H$29*H42</f>
        <v>2.4024590690500398E-2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0.25073119024390245</v>
      </c>
      <c r="Z14" s="211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0.20058495219512196</v>
      </c>
      <c r="AB14" s="157">
        <f t="shared" si="7"/>
        <v>0.20058495219512196</v>
      </c>
      <c r="AC14" s="176">
        <f t="shared" si="8"/>
        <v>0.79941504780487804</v>
      </c>
      <c r="AD14" s="177">
        <f>AB14*PRODUCT(AC5:AC13)*PRODUCT(AC15:AC19)</f>
        <v>0.15760770300188509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1.4681090502451848E-2</v>
      </c>
      <c r="AG14" s="203">
        <f>IF(AL14=0,1,B22)</f>
        <v>0.48809523809523808</v>
      </c>
      <c r="AH14">
        <f>IF(COUNTIF(F6:F18,"CAB")&gt;0,1,0)</f>
        <v>0</v>
      </c>
      <c r="AI14" s="207">
        <f t="shared" si="9"/>
        <v>0.25073119024390245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3.6621590300926682E-2</v>
      </c>
      <c r="BL14">
        <f>BP39+1</f>
        <v>10</v>
      </c>
      <c r="BM14">
        <v>10</v>
      </c>
      <c r="BN14" s="107">
        <f>$H$35*H49</f>
        <v>8.2781667358591977E-10</v>
      </c>
      <c r="BP14">
        <f>BP10+1</f>
        <v>5</v>
      </c>
      <c r="BQ14">
        <v>0</v>
      </c>
      <c r="BR14" s="107">
        <f>$H$30*H39</f>
        <v>3.9734562443564486E-4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2.2803857142857143E-2</v>
      </c>
      <c r="P15" s="210">
        <f>R3</f>
        <v>0.7</v>
      </c>
      <c r="Q15" s="214">
        <f t="shared" si="2"/>
        <v>1.59627E-2</v>
      </c>
      <c r="R15" s="157">
        <f t="shared" si="3"/>
        <v>1.59627E-2</v>
      </c>
      <c r="S15" s="176">
        <f t="shared" si="4"/>
        <v>0.9840373</v>
      </c>
      <c r="T15" s="177">
        <f>R15*PRODUCT(S5:S14)*PRODUCT(S16:S19)</f>
        <v>1.3032282461113497E-2</v>
      </c>
      <c r="U15" s="177">
        <f>R15*R16*PRODUCT(S5:S14)*PRODUCT(S17:S19)+R15*R17*PRODUCT(S5:S14)*S16*PRODUCT(S18:S19)+R15*R18*PRODUCT(S5:S14)*S16*S17*S19+R15*R19*PRODUCT(S5:S14)*S16*S17*S18</f>
        <v>5.4076376880364801E-4</v>
      </c>
      <c r="W15" s="186" t="s">
        <v>56</v>
      </c>
      <c r="X15" s="15" t="s">
        <v>57</v>
      </c>
      <c r="Y15" s="69">
        <f t="shared" si="5"/>
        <v>2.3916240418118465E-2</v>
      </c>
      <c r="Z15" s="69">
        <f>AB3</f>
        <v>0.7</v>
      </c>
      <c r="AA15" s="69">
        <f t="shared" si="6"/>
        <v>1.6741368292682926E-2</v>
      </c>
      <c r="AB15" s="157">
        <f t="shared" si="7"/>
        <v>1.6741368292682926E-2</v>
      </c>
      <c r="AC15" s="176">
        <f t="shared" si="8"/>
        <v>0.98325863170731709</v>
      </c>
      <c r="AD15" s="177">
        <f>AB15*PRODUCT(AC5:AC14)*PRODUCT(AC16:AC19)</f>
        <v>1.0694847399087361E-2</v>
      </c>
      <c r="AE15" s="177">
        <f>AB15*AB16*PRODUCT(AC5:AC14)*PRODUCT(AC17:AC19)+AB15*AB17*PRODUCT(AC5:AC14)*AC16*PRODUCT(AC18:AC19)+AB15*AB18*PRODUCT(AC5:AC14)*AC16*AC17*AC19+AB15*AB19*PRODUCT(AC5:AC14)*AC16*AC17*AC18</f>
        <v>8.1412558972165309E-4</v>
      </c>
      <c r="AG15" s="203">
        <f>IF(AL15=0,1,B22)</f>
        <v>0.48809523809523808</v>
      </c>
      <c r="AH15">
        <v>1</v>
      </c>
      <c r="AI15" s="207">
        <f t="shared" si="9"/>
        <v>4.6720097560975608E-2</v>
      </c>
      <c r="AK15" s="203">
        <f>IF(AH15=0,1,C22)</f>
        <v>0.51190476190476186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5.5894860726491274E-2</v>
      </c>
      <c r="BP15">
        <f>BP11+1</f>
        <v>5</v>
      </c>
      <c r="BQ15">
        <v>1</v>
      </c>
      <c r="BR15" s="107">
        <f>$H$30*H40</f>
        <v>2.1894648282734519E-3</v>
      </c>
    </row>
    <row r="16" spans="1:70" x14ac:dyDescent="0.25">
      <c r="A16" s="189" t="s">
        <v>82</v>
      </c>
      <c r="B16" s="52">
        <f>AVERAGE(G5:G18)</f>
        <v>12</v>
      </c>
      <c r="C16" s="54" t="e">
        <f>AVERAGE(K5:K18)</f>
        <v>#DIV/0!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1.913299233449477E-2</v>
      </c>
      <c r="P16" s="210">
        <v>0.15</v>
      </c>
      <c r="Q16" s="214">
        <f t="shared" si="2"/>
        <v>2.8699488501742155E-3</v>
      </c>
      <c r="R16" s="157">
        <f t="shared" si="3"/>
        <v>2.8699488501742151E-3</v>
      </c>
      <c r="S16" s="176">
        <f t="shared" si="4"/>
        <v>0.99713005114982578</v>
      </c>
      <c r="T16" s="177">
        <f>R16*PRODUCT(S5:S15)*PRODUCT(S17:S19)</f>
        <v>2.3123205817494191E-3</v>
      </c>
      <c r="U16" s="177">
        <f>R16*R17*PRODUCT(S5:S15)*PRODUCT(S18:S19)+R16*R18*PRODUCT(S5:S15)*S17*S19+R16*R19*PRODUCT(S5:S15)*S17*S18</f>
        <v>8.9292485440271949E-5</v>
      </c>
      <c r="W16" s="187" t="s">
        <v>58</v>
      </c>
      <c r="X16" s="15" t="s">
        <v>59</v>
      </c>
      <c r="Y16" s="69">
        <f t="shared" si="5"/>
        <v>1.8243085714285713E-2</v>
      </c>
      <c r="Z16" s="69">
        <v>0.15</v>
      </c>
      <c r="AA16" s="69">
        <f t="shared" si="6"/>
        <v>2.736462857142857E-3</v>
      </c>
      <c r="AB16" s="157">
        <f t="shared" si="7"/>
        <v>2.736462857142857E-3</v>
      </c>
      <c r="AC16" s="176">
        <f t="shared" si="8"/>
        <v>0.99726353714285709</v>
      </c>
      <c r="AD16" s="177">
        <f>AB16*PRODUCT(AC5:AC15)*PRODUCT(AC17:AC19)</f>
        <v>1.7235783359425458E-3</v>
      </c>
      <c r="AE16" s="177">
        <f>AB16*AB17*PRODUCT(AC5:AC15)*PRODUCT(AC18:AC19)+AB16*AB18*PRODUCT(AC5:AC15)*AC17*AC19+AB16*AB19*PRODUCT(AC5:AC15)*AC17*AC18</f>
        <v>1.264747809866103E-4</v>
      </c>
      <c r="AG16" s="203">
        <f>C22</f>
        <v>0.51190476190476186</v>
      </c>
      <c r="AH16">
        <v>1</v>
      </c>
      <c r="AI16" s="207">
        <f t="shared" si="9"/>
        <v>3.7376078048780487E-2</v>
      </c>
      <c r="AK16" s="203">
        <f>B22</f>
        <v>0.48809523809523808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5.7590401963240348E-2</v>
      </c>
      <c r="BP16">
        <f>BP12+1</f>
        <v>5</v>
      </c>
      <c r="BQ16">
        <v>2</v>
      </c>
      <c r="BR16" s="107">
        <f>$H$30*H41</f>
        <v>5.5198106696904715E-3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 t="shared" si="1"/>
        <v>6.5228443902439023E-2</v>
      </c>
      <c r="P17" s="210">
        <f>P3</f>
        <v>0.56999999999999995</v>
      </c>
      <c r="Q17" s="214">
        <f t="shared" si="2"/>
        <v>3.7180213024390243E-2</v>
      </c>
      <c r="R17" s="157">
        <f t="shared" si="3"/>
        <v>3.7180213024390243E-2</v>
      </c>
      <c r="S17" s="176">
        <f t="shared" si="4"/>
        <v>0.96281978697560977</v>
      </c>
      <c r="T17" s="177">
        <f>R17*PRODUCT(S5:S16)*PRODUCT(S18:S19)</f>
        <v>3.1023626281335526E-2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6.5228443902439023E-2</v>
      </c>
      <c r="Z17" s="69">
        <f>Z3</f>
        <v>0.56999999999999995</v>
      </c>
      <c r="AA17" s="69">
        <f t="shared" si="6"/>
        <v>3.7180213024390243E-2</v>
      </c>
      <c r="AB17" s="157">
        <f t="shared" si="7"/>
        <v>3.7180213024390243E-2</v>
      </c>
      <c r="AC17" s="176">
        <f t="shared" si="8"/>
        <v>0.96281978697560977</v>
      </c>
      <c r="AD17" s="177">
        <f>AB17*PRODUCT(AC5:AC16)*PRODUCT(AC18:AC19)</f>
        <v>2.4255949294287531E-2</v>
      </c>
      <c r="AE17" s="177">
        <f>AB17*AB18*PRODUCT(AC5:AC16)*AC19+AB17*AB19*PRODUCT(AC5:AC16)*AC18</f>
        <v>8.4321506061550548E-4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0.13045688780487805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4.2282164202336159E-2</v>
      </c>
      <c r="BP17">
        <f>BP13+1</f>
        <v>5</v>
      </c>
      <c r="BQ17">
        <v>3</v>
      </c>
      <c r="BR17" s="107">
        <f>$H$30*H42</f>
        <v>8.4247856546836621E-3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4.9116000000000007E-2</v>
      </c>
      <c r="Z18" s="69">
        <f>Z17*1.2</f>
        <v>0.68399999999999994</v>
      </c>
      <c r="AA18" s="69">
        <f t="shared" si="6"/>
        <v>3.3595343999999999E-2</v>
      </c>
      <c r="AB18" s="157">
        <f t="shared" si="7"/>
        <v>3.3595343999999999E-2</v>
      </c>
      <c r="AC18" s="176">
        <f t="shared" si="8"/>
        <v>0.96640465600000003</v>
      </c>
      <c r="AD18" s="177">
        <f>AB18*PRODUCT(AC5:AC17)*PRODUCT(AC19:AC19)</f>
        <v>2.1835919673291369E-2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0.19646400000000003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2.2756642951713126E-2</v>
      </c>
      <c r="BP18">
        <f>BL8+1</f>
        <v>5</v>
      </c>
      <c r="BQ18">
        <v>4</v>
      </c>
      <c r="BR18" s="107">
        <f>$H$30*H43</f>
        <v>8.6803471017044623E-3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2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9.096764848682392E-3</v>
      </c>
      <c r="BP19">
        <f>BP15+1</f>
        <v>6</v>
      </c>
      <c r="BQ19">
        <v>1</v>
      </c>
      <c r="BR19" s="107">
        <f>$H$31*H40</f>
        <v>5.6388531687092628E-4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0.80338865266348947</v>
      </c>
      <c r="T20" s="181">
        <f>SUM(T5:T19)</f>
        <v>0.17927195619689401</v>
      </c>
      <c r="U20" s="181">
        <f>SUM(U5:U19)</f>
        <v>1.650037891801337E-2</v>
      </c>
      <c r="V20" s="181">
        <f>1-S20-T20-U20</f>
        <v>8.3901222160315259E-4</v>
      </c>
      <c r="W20" s="21"/>
      <c r="X20" s="22"/>
      <c r="Y20" s="22"/>
      <c r="Z20" s="22"/>
      <c r="AA20" s="22"/>
      <c r="AB20" s="23"/>
      <c r="AC20" s="184">
        <f>PRODUCT(AC5:AC19)</f>
        <v>0.6281327091132265</v>
      </c>
      <c r="AD20" s="181">
        <f>SUM(AD5:AD19)</f>
        <v>0.31163208777528073</v>
      </c>
      <c r="AE20" s="181">
        <f>SUM(AE5:AE19)</f>
        <v>5.4899514773417861E-2</v>
      </c>
      <c r="AF20" s="181">
        <f>1-AC20-AD20-AE20</f>
        <v>5.3356883380749134E-3</v>
      </c>
      <c r="BH20">
        <v>1</v>
      </c>
      <c r="BI20">
        <v>8</v>
      </c>
      <c r="BJ20" s="107">
        <f t="shared" si="11"/>
        <v>2.7060387991340779E-3</v>
      </c>
      <c r="BP20">
        <f>BP16+1</f>
        <v>6</v>
      </c>
      <c r="BQ20">
        <v>2</v>
      </c>
      <c r="BR20" s="107">
        <f>$H$31*H41</f>
        <v>1.4215986246284623E-3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5.9404211801210305E-4</v>
      </c>
      <c r="BP21">
        <f>BP17+1</f>
        <v>6</v>
      </c>
      <c r="BQ21">
        <v>3</v>
      </c>
      <c r="BR21" s="107">
        <f>$H$31*H42</f>
        <v>2.1697598733326656E-3</v>
      </c>
    </row>
    <row r="22" spans="1:70" x14ac:dyDescent="0.25">
      <c r="A22" s="26" t="s">
        <v>77</v>
      </c>
      <c r="B22" s="62">
        <f>(B6)/((B6)+(C6))</f>
        <v>0.48809523809523808</v>
      </c>
      <c r="C22" s="63">
        <f>1-B22</f>
        <v>0.51190476190476186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9.4226901763430043E-5</v>
      </c>
      <c r="BP22">
        <f>BP18+1</f>
        <v>6</v>
      </c>
      <c r="BQ22">
        <v>4</v>
      </c>
      <c r="BR22" s="107">
        <f>$H$31*H43</f>
        <v>2.2355783992447512E-3</v>
      </c>
    </row>
    <row r="23" spans="1:70" ht="15.75" thickBot="1" x14ac:dyDescent="0.3">
      <c r="A23" s="40" t="s">
        <v>67</v>
      </c>
      <c r="B23" s="56">
        <f>((B22^2.8)/((B22^2.8)+(C22^2.8)))*B21</f>
        <v>2.3335484435824116</v>
      </c>
      <c r="C23" s="57">
        <f>B21-B23</f>
        <v>2.6664515564175884</v>
      </c>
      <c r="D23" s="151">
        <f>SUM(D25:D30)</f>
        <v>1</v>
      </c>
      <c r="E23" s="151">
        <f>SUM(E25:E30)</f>
        <v>1</v>
      </c>
      <c r="H23" s="59">
        <f>SUM(H25:H35)</f>
        <v>0.99999988000463658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0.99948168021131423</v>
      </c>
      <c r="Y23" s="80">
        <f>SUM(Y25:Y35)</f>
        <v>1.8512284522490582E-3</v>
      </c>
      <c r="Z23" s="81"/>
      <c r="AA23" s="80">
        <f>SUM(AA25:AA35)</f>
        <v>1.6210351810413328E-2</v>
      </c>
      <c r="AB23" s="81"/>
      <c r="AC23" s="80">
        <f>SUM(AC25:AC35)</f>
        <v>6.3884071039084084E-2</v>
      </c>
      <c r="AD23" s="81"/>
      <c r="AE23" s="80">
        <f>SUM(AE25:AE35)</f>
        <v>0.14921922246157651</v>
      </c>
      <c r="AF23" s="81"/>
      <c r="AG23" s="80">
        <f>SUM(AG25:AG35)</f>
        <v>0.22878863939198046</v>
      </c>
      <c r="AH23" s="81"/>
      <c r="AI23" s="80">
        <f>SUM(AI25:AI35)</f>
        <v>0.24062974964110617</v>
      </c>
      <c r="AJ23" s="81"/>
      <c r="AK23" s="80">
        <f>SUM(AK25:AK35)</f>
        <v>0.1758572407849438</v>
      </c>
      <c r="AL23" s="81"/>
      <c r="AM23" s="80">
        <f>SUM(AM25:AM35)</f>
        <v>8.8219655802101921E-2</v>
      </c>
      <c r="AN23" s="81"/>
      <c r="AO23" s="80">
        <f>SUM(AO25:AO35)</f>
        <v>2.9102952079322307E-2</v>
      </c>
      <c r="AP23" s="81"/>
      <c r="AQ23" s="80">
        <f>SUM(AQ25:AQ35)</f>
        <v>5.7185687485366106E-3</v>
      </c>
      <c r="AR23" s="81"/>
      <c r="AS23" s="80">
        <f>SUM(AS25:AS35)</f>
        <v>5.1831978868577288E-4</v>
      </c>
      <c r="BH23">
        <f t="shared" ref="BH23:BH30" si="12">BH15+1</f>
        <v>2</v>
      </c>
      <c r="BI23">
        <v>3</v>
      </c>
      <c r="BJ23" s="107">
        <f t="shared" ref="BJ23:BJ30" si="13">$H$27*H42</f>
        <v>6.716309057234876E-2</v>
      </c>
      <c r="BP23">
        <f>BL9+1</f>
        <v>6</v>
      </c>
      <c r="BQ23">
        <v>5</v>
      </c>
      <c r="BR23" s="107">
        <f>$H$31*H44</f>
        <v>1.6413341414841531E-3</v>
      </c>
    </row>
    <row r="24" spans="1:70" ht="15.75" thickBot="1" x14ac:dyDescent="0.3">
      <c r="A24" s="26" t="s">
        <v>76</v>
      </c>
      <c r="B24" s="64">
        <f>B23/B21</f>
        <v>0.46670968871648233</v>
      </c>
      <c r="C24" s="65">
        <f>C23/B21</f>
        <v>0.53329031128351767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6.9200447641904125E-2</v>
      </c>
      <c r="BP24">
        <f>BH49+1</f>
        <v>7</v>
      </c>
      <c r="BQ24">
        <v>0</v>
      </c>
      <c r="BR24" s="107">
        <f t="shared" ref="BR24:BR30" si="14">$H$32*H39</f>
        <v>1.9630768792149899E-5</v>
      </c>
    </row>
    <row r="25" spans="1:70" x14ac:dyDescent="0.25">
      <c r="A25" s="26" t="s">
        <v>69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9.3225451797071437E-2</v>
      </c>
      <c r="I25" s="97">
        <v>0</v>
      </c>
      <c r="J25" s="98">
        <f t="shared" ref="J25:J35" si="15">Y25+AA25+AC25+AE25+AG25+AI25+AK25+AM25+AO25+AQ25+AS25</f>
        <v>0.11604028945143717</v>
      </c>
      <c r="K25" s="97">
        <v>0</v>
      </c>
      <c r="L25" s="98">
        <f>S20</f>
        <v>0.80338865266348947</v>
      </c>
      <c r="M25" s="84">
        <v>0</v>
      </c>
      <c r="N25" s="71">
        <f>(1-$B$24)^$B$21</f>
        <v>4.3133874249689168E-2</v>
      </c>
      <c r="O25" s="70">
        <v>0</v>
      </c>
      <c r="P25" s="71">
        <f>N25</f>
        <v>4.3133874249689168E-2</v>
      </c>
      <c r="Q25" s="12">
        <v>0</v>
      </c>
      <c r="R25" s="73">
        <f>P25*N25</f>
        <v>1.8605311077879983E-3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1.8512284522490582E-3</v>
      </c>
      <c r="W25" s="136">
        <f>B31</f>
        <v>0.41481679477751243</v>
      </c>
      <c r="X25" s="12">
        <v>0</v>
      </c>
      <c r="Y25" s="79">
        <f>V25</f>
        <v>1.8512284522490582E-3</v>
      </c>
      <c r="Z25" s="12">
        <v>0</v>
      </c>
      <c r="AA25" s="78">
        <f>((1-W25)^Z26)*V26</f>
        <v>9.4860256302018251E-3</v>
      </c>
      <c r="AB25" s="12">
        <v>0</v>
      </c>
      <c r="AC25" s="79">
        <f>(((1-$W$25)^AB27))*V27</f>
        <v>2.187642191323963E-2</v>
      </c>
      <c r="AD25" s="12">
        <v>0</v>
      </c>
      <c r="AE25" s="79">
        <f>(((1-$W$25)^AB28))*V28</f>
        <v>2.9902006583821021E-2</v>
      </c>
      <c r="AF25" s="12">
        <v>0</v>
      </c>
      <c r="AG25" s="79">
        <f>(((1-$W$25)^AB29))*V29</f>
        <v>2.6828838366571153E-2</v>
      </c>
      <c r="AH25" s="12">
        <v>0</v>
      </c>
      <c r="AI25" s="79">
        <f>(((1-$W$25)^AB30))*V30</f>
        <v>1.6512338615516133E-2</v>
      </c>
      <c r="AJ25" s="12">
        <v>0</v>
      </c>
      <c r="AK25" s="79">
        <f>(((1-$W$25)^AB31))*V31</f>
        <v>7.0617343306971772E-3</v>
      </c>
      <c r="AL25" s="12">
        <v>0</v>
      </c>
      <c r="AM25" s="79">
        <f>(((1-$W$25)^AB32))*V32</f>
        <v>2.0730431052200741E-3</v>
      </c>
      <c r="AN25" s="12">
        <v>0</v>
      </c>
      <c r="AO25" s="79">
        <f>(((1-$W$25)^AB33))*V33</f>
        <v>4.0019519611925533E-4</v>
      </c>
      <c r="AP25" s="12">
        <v>0</v>
      </c>
      <c r="AQ25" s="79">
        <f>(((1-$W$25)^AB34))*V34</f>
        <v>4.6016546998148478E-5</v>
      </c>
      <c r="AR25" s="12">
        <v>0</v>
      </c>
      <c r="AS25" s="79">
        <f>(((1-$W$25)^AB35))*V35</f>
        <v>2.4407108037012595E-6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5.0806116823733434E-2</v>
      </c>
      <c r="BP25">
        <f>BP19+1</f>
        <v>7</v>
      </c>
      <c r="BQ25">
        <v>1</v>
      </c>
      <c r="BR25" s="107">
        <f t="shared" si="14"/>
        <v>1.0817000409511647E-4</v>
      </c>
    </row>
    <row r="26" spans="1:70" x14ac:dyDescent="0.25">
      <c r="A26" s="40" t="s">
        <v>24</v>
      </c>
      <c r="B26" s="119">
        <f>1/(1+EXP(-3.1416*4*((B10/(B10+C9))-(3.1416/6))))</f>
        <v>0.1948863248060955</v>
      </c>
      <c r="C26" s="120">
        <f>1/(1+EXP(-3.1416*4*((C10/(C10+B9))-(3.1416/6))))</f>
        <v>0.69969228081812651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0.24481020691450373</v>
      </c>
      <c r="I26" s="93">
        <v>1</v>
      </c>
      <c r="J26" s="86">
        <f t="shared" si="15"/>
        <v>0.27882823149696567</v>
      </c>
      <c r="K26" s="93">
        <v>1</v>
      </c>
      <c r="L26" s="86">
        <f>T20</f>
        <v>0.17927195619689401</v>
      </c>
      <c r="M26" s="85">
        <v>1</v>
      </c>
      <c r="N26" s="71">
        <f>(($B$24)^M26)*((1-($B$24))^($B$21-M26))*HLOOKUP($B$21,$AV$24:$BF$34,M26+1)</f>
        <v>0.18874332233560787</v>
      </c>
      <c r="O26" s="72">
        <v>1</v>
      </c>
      <c r="P26" s="71">
        <f t="shared" ref="P26:P30" si="16">N26</f>
        <v>0.18874332233560787</v>
      </c>
      <c r="Q26" s="28">
        <v>1</v>
      </c>
      <c r="R26" s="37">
        <f>N26*P25+P26*N25</f>
        <v>1.6282461462185316E-2</v>
      </c>
      <c r="S26" s="72">
        <v>1</v>
      </c>
      <c r="T26" s="135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1.6210351810413328E-2</v>
      </c>
      <c r="W26" s="137"/>
      <c r="X26" s="28">
        <v>1</v>
      </c>
      <c r="Y26" s="73"/>
      <c r="Z26" s="28">
        <v>1</v>
      </c>
      <c r="AA26" s="79">
        <f>(1-((1-W25)^Z26))*V26</f>
        <v>6.7243261802115029E-3</v>
      </c>
      <c r="AB26" s="28">
        <v>1</v>
      </c>
      <c r="AC26" s="79">
        <f>((($W$25)^M26)*((1-($W$25))^($U$27-M26))*HLOOKUP($U$27,$AV$24:$BF$34,M26+1))*V27</f>
        <v>3.1014927080145374E-2</v>
      </c>
      <c r="AD26" s="28">
        <v>1</v>
      </c>
      <c r="AE26" s="79">
        <f>((($W$25)^M26)*((1-($W$25))^($U$28-M26))*HLOOKUP($U$28,$AV$24:$BF$34,M26+1))*V28</f>
        <v>6.3589595964911941E-2</v>
      </c>
      <c r="AF26" s="28">
        <v>1</v>
      </c>
      <c r="AG26" s="79">
        <f>((($W$25)^M26)*((1-($W$25))^($U$29-M26))*HLOOKUP($U$29,$AV$24:$BF$34,M26+1))*V29</f>
        <v>7.6072263451878896E-2</v>
      </c>
      <c r="AH26" s="28">
        <v>1</v>
      </c>
      <c r="AI26" s="79">
        <f>((($W$25)^M26)*((1-($W$25))^($U$30-M26))*HLOOKUP($U$30,$AV$24:$BF$34,M26+1))*V30</f>
        <v>5.8525221824890908E-2</v>
      </c>
      <c r="AJ26" s="28">
        <v>1</v>
      </c>
      <c r="AK26" s="79">
        <f>((($W$25)^M26)*((1-($W$25))^($U$31-M26))*HLOOKUP($U$31,$AV$24:$BF$34,M26+1))*V31</f>
        <v>3.0034963148162026E-2</v>
      </c>
      <c r="AL26" s="28">
        <v>1</v>
      </c>
      <c r="AM26" s="79">
        <f>((($W$25)^Q26)*((1-($W$25))^($U$32-Q26))*HLOOKUP($U$32,$AV$24:$BF$34,Q26+1))*V32</f>
        <v>1.0286576273344091E-2</v>
      </c>
      <c r="AN26" s="28">
        <v>1</v>
      </c>
      <c r="AO26" s="79">
        <f>((($W$25)^Q26)*((1-($W$25))^($U$33-Q26))*HLOOKUP($U$33,$AV$24:$BF$34,Q26+1))*V33</f>
        <v>2.2694798764968807E-3</v>
      </c>
      <c r="AP26" s="28">
        <v>1</v>
      </c>
      <c r="AQ26" s="79">
        <f>((($W$25)^Q26)*((1-($W$25))^($U$34-Q26))*HLOOKUP($U$34,$AV$24:$BF$34,Q26+1))*V34</f>
        <v>2.935763146640364E-4</v>
      </c>
      <c r="AR26" s="28">
        <v>1</v>
      </c>
      <c r="AS26" s="79">
        <f>((($W$25)^Q26)*((1-($W$25))^($U$35-Q26))*HLOOKUP($U$35,$AV$24:$BF$34,Q26+1))*V35</f>
        <v>1.7301382260026901E-5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2.7344311298446888E-2</v>
      </c>
      <c r="BP26">
        <f>BP20+1</f>
        <v>7</v>
      </c>
      <c r="BQ26">
        <v>2</v>
      </c>
      <c r="BR26" s="107">
        <f t="shared" si="14"/>
        <v>2.7270497111183295E-4</v>
      </c>
    </row>
    <row r="27" spans="1:70" x14ac:dyDescent="0.25">
      <c r="A27" s="26" t="s">
        <v>25</v>
      </c>
      <c r="B27" s="119">
        <f>1/(1+EXP(-3.1416*4*((B12/(B12+C7))-(3.1416/6))))</f>
        <v>0.29124981281132378</v>
      </c>
      <c r="C27" s="120">
        <f>1/(1+EXP(-3.1416*4*((C12/(C12+B7))-(3.1416/6))))</f>
        <v>0.71881514699194859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0.29416318220185661</v>
      </c>
      <c r="I27" s="93">
        <v>2</v>
      </c>
      <c r="J27" s="86">
        <f t="shared" si="15"/>
        <v>0.30155067556604576</v>
      </c>
      <c r="K27" s="93">
        <v>2</v>
      </c>
      <c r="L27" s="86">
        <f>U20</f>
        <v>1.650037891801337E-2</v>
      </c>
      <c r="M27" s="85">
        <v>2</v>
      </c>
      <c r="N27" s="71">
        <f>(($B$24)^M27)*((1-($B$24))^($B$21-M27))*HLOOKUP($B$21,$AV$24:$BF$34,M27+1)</f>
        <v>0.33035791331950554</v>
      </c>
      <c r="O27" s="72">
        <v>2</v>
      </c>
      <c r="P27" s="71">
        <f t="shared" si="16"/>
        <v>0.33035791331950554</v>
      </c>
      <c r="Q27" s="28">
        <v>2</v>
      </c>
      <c r="R27" s="37">
        <f>P25*N27+P26*N26+P27*N25</f>
        <v>6.4123275107309696E-2</v>
      </c>
      <c r="S27" s="72">
        <v>2</v>
      </c>
      <c r="T27" s="135">
        <f t="shared" si="17"/>
        <v>0</v>
      </c>
      <c r="U27" s="93">
        <v>2</v>
      </c>
      <c r="V27" s="86">
        <f>R27*T25+T26*R26+R25*T27</f>
        <v>6.3884071039084084E-2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1.099272204569908E-2</v>
      </c>
      <c r="AD27" s="28">
        <v>2</v>
      </c>
      <c r="AE27" s="79">
        <f>((($W$25)^M27)*((1-($W$25))^($U$28-M27))*HLOOKUP($U$28,$AV$24:$BF$34,M27+1))*V28</f>
        <v>4.5076536961331341E-2</v>
      </c>
      <c r="AF27" s="28">
        <v>2</v>
      </c>
      <c r="AG27" s="79">
        <f>((($W$25)^M27)*((1-($W$25))^($U$29-M27))*HLOOKUP($U$29,$AV$24:$BF$34,M27+1))*V29</f>
        <v>8.0887623435590347E-2</v>
      </c>
      <c r="AH27" s="28">
        <v>2</v>
      </c>
      <c r="AI27" s="79">
        <f>((($W$25)^M27)*((1-($W$25))^($U$30-M27))*HLOOKUP($U$30,$AV$24:$BF$34,M27+1))*V30</f>
        <v>8.2973143160572804E-2</v>
      </c>
      <c r="AJ27" s="28">
        <v>2</v>
      </c>
      <c r="AK27" s="79">
        <f>((($W$25)^M27)*((1-($W$25))^($U$31-M27))*HLOOKUP($U$31,$AV$24:$BF$34,M27+1))*V31</f>
        <v>5.3226951120565483E-2</v>
      </c>
      <c r="AL27" s="28">
        <v>2</v>
      </c>
      <c r="AM27" s="79">
        <f>((($W$25)^Q27)*((1-($W$25))^($U$32-Q27))*HLOOKUP($U$32,$AV$24:$BF$34,Q27+1))*V32</f>
        <v>2.1875429237518881E-2</v>
      </c>
      <c r="AN27" s="28">
        <v>2</v>
      </c>
      <c r="AO27" s="79">
        <f>((($W$25)^Q27)*((1-($W$25))^($U$33-Q27))*HLOOKUP($U$33,$AV$24:$BF$34,Q27+1))*V33</f>
        <v>5.6306542279848963E-3</v>
      </c>
      <c r="AP27" s="28">
        <v>2</v>
      </c>
      <c r="AQ27" s="79">
        <f>((($W$25)^Q27)*((1-($W$25))^($U$34-Q27))*HLOOKUP($U$34,$AV$24:$BF$34,Q27+1))*V34</f>
        <v>8.3242570726361771E-4</v>
      </c>
      <c r="AR27" s="28">
        <v>2</v>
      </c>
      <c r="AS27" s="79">
        <f>((($W$25)^Q27)*((1-($W$25))^($U$35-Q27))*HLOOKUP($U$35,$AV$24:$BF$34,Q27+1))*V35</f>
        <v>5.5189669519279708E-5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1.0930644311594951E-2</v>
      </c>
      <c r="BP27">
        <f>BP21+1</f>
        <v>7</v>
      </c>
      <c r="BQ27">
        <v>3</v>
      </c>
      <c r="BR27" s="107">
        <f t="shared" si="14"/>
        <v>4.162245892235876E-4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0.2140607182398547</v>
      </c>
      <c r="I28" s="93">
        <v>3</v>
      </c>
      <c r="J28" s="86">
        <f t="shared" si="15"/>
        <v>0.19330993477436875</v>
      </c>
      <c r="K28" s="93">
        <v>3</v>
      </c>
      <c r="L28" s="86">
        <f>V20</f>
        <v>8.3901222160315259E-4</v>
      </c>
      <c r="M28" s="85">
        <v>3</v>
      </c>
      <c r="N28" s="71">
        <f>(($B$24)^M28)*((1-($B$24))^($B$21-M28))*HLOOKUP($B$21,$AV$24:$BF$34,M28+1)</f>
        <v>0.28911314461965615</v>
      </c>
      <c r="O28" s="72">
        <v>3</v>
      </c>
      <c r="P28" s="71">
        <f t="shared" si="16"/>
        <v>0.28911314461965615</v>
      </c>
      <c r="Q28" s="28">
        <v>3</v>
      </c>
      <c r="R28" s="37">
        <f>P25*N28+P26*N27+P27*N26+P28*N25</f>
        <v>0.14964684028747735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0.14921922246157651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1.0651082951512217E-2</v>
      </c>
      <c r="AF28" s="28">
        <v>3</v>
      </c>
      <c r="AG28" s="79">
        <f>((($W$25)^M28)*((1-($W$25))^($U$29-M28))*HLOOKUP($U$29,$AV$24:$BF$34,M28+1))*V29</f>
        <v>3.8225686578462065E-2</v>
      </c>
      <c r="AH28" s="28">
        <v>3</v>
      </c>
      <c r="AI28" s="79">
        <f>((($W$25)^M28)*((1-($W$25))^($U$30-M28))*HLOOKUP($U$30,$AV$24:$BF$34,M28+1))*V30</f>
        <v>5.8816885022184573E-2</v>
      </c>
      <c r="AJ28" s="28">
        <v>3</v>
      </c>
      <c r="AK28" s="79">
        <f>((($W$25)^M28)*((1-($W$25))^($U$31-M28))*HLOOKUP($U$31,$AV$24:$BF$34,M28+1))*V31</f>
        <v>5.0307739667540326E-2</v>
      </c>
      <c r="AL28" s="28">
        <v>3</v>
      </c>
      <c r="AM28" s="79">
        <f>((($W$25)^Q28)*((1-($W$25))^($U$32-Q28))*HLOOKUP($U$32,$AV$24:$BF$34,Q28+1))*V32</f>
        <v>2.5844599775779624E-2</v>
      </c>
      <c r="AN28" s="28">
        <v>3</v>
      </c>
      <c r="AO28" s="79">
        <f>((($W$25)^Q28)*((1-($W$25))^($U$33-Q28))*HLOOKUP($U$33,$AV$24:$BF$34,Q28+1))*V33</f>
        <v>7.9827647769389089E-3</v>
      </c>
      <c r="AP28" s="28">
        <v>3</v>
      </c>
      <c r="AQ28" s="79">
        <f>((($W$25)^Q28)*((1-($W$25))^($U$34-Q28))*HLOOKUP($U$34,$AV$24:$BF$34,Q28+1))*V34</f>
        <v>1.3768503748744739E-3</v>
      </c>
      <c r="AR28" s="28">
        <v>3</v>
      </c>
      <c r="AS28" s="79">
        <f>((($W$25)^Q28)*((1-($W$25))^($U$35-Q28))*HLOOKUP($U$35,$AV$24:$BF$34,Q28+1))*V35</f>
        <v>1.0432562707657159E-4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3.2515677934660948E-3</v>
      </c>
      <c r="BP28">
        <f>BP22+1</f>
        <v>7</v>
      </c>
      <c r="BQ28">
        <v>4</v>
      </c>
      <c r="BR28" s="107">
        <f t="shared" si="14"/>
        <v>4.2885054348136537E-4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0.10522371719928361</v>
      </c>
      <c r="I29" s="93">
        <v>4</v>
      </c>
      <c r="J29" s="86">
        <f t="shared" si="15"/>
        <v>8.1354181590100771E-2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0.12650886662888206</v>
      </c>
      <c r="O29" s="72">
        <v>4</v>
      </c>
      <c r="P29" s="71">
        <f t="shared" si="16"/>
        <v>0.12650886662888206</v>
      </c>
      <c r="Q29" s="28">
        <v>4</v>
      </c>
      <c r="R29" s="37">
        <f>P25*N29+P26*N28+P27*N27+P28*N26+P29*N25</f>
        <v>0.22918633687491768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0.22878863939198046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6.7742275594780115E-3</v>
      </c>
      <c r="AH29" s="28">
        <v>4</v>
      </c>
      <c r="AI29" s="79">
        <f>((($W$25)^M29)*((1-($W$25))^($U$30-M29))*HLOOKUP($U$30,$AV$24:$BF$34,M29+1))*V30</f>
        <v>2.0846660931104335E-2</v>
      </c>
      <c r="AJ29" s="28">
        <v>4</v>
      </c>
      <c r="AK29" s="79">
        <f>((($W$25)^M29)*((1-($W$25))^($U$31-M29))*HLOOKUP($U$31,$AV$24:$BF$34,M29+1))*V31</f>
        <v>2.6746105068227773E-2</v>
      </c>
      <c r="AL29" s="28">
        <v>4</v>
      </c>
      <c r="AM29" s="79">
        <f>((($W$25)^Q29)*((1-($W$25))^($U$32-Q29))*HLOOKUP($U$32,$AV$24:$BF$34,Q29+1))*V32</f>
        <v>1.8320372057192696E-2</v>
      </c>
      <c r="AN29" s="28">
        <v>4</v>
      </c>
      <c r="AO29" s="79">
        <f>((($W$25)^Q29)*((1-($W$25))^($U$33-Q29))*HLOOKUP($U$33,$AV$24:$BF$34,Q29+1))*V33</f>
        <v>7.0733935729017285E-3</v>
      </c>
      <c r="AP29" s="28">
        <v>4</v>
      </c>
      <c r="AQ29" s="79">
        <f>((($W$25)^Q29)*((1-($W$25))^($U$34-Q29))*HLOOKUP($U$34,$AV$24:$BF$34,Q29+1))*V34</f>
        <v>1.4640047449153051E-3</v>
      </c>
      <c r="AR29" s="28">
        <v>4</v>
      </c>
      <c r="AS29" s="79">
        <f>((($W$25)^Q29)*((1-($W$25))^($U$35-Q29))*HLOOKUP($U$35,$AV$24:$BF$34,Q29+1))*V35</f>
        <v>1.2941765628091936E-4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7.1379915894355763E-4</v>
      </c>
      <c r="BP29">
        <f>BP23+1</f>
        <v>7</v>
      </c>
      <c r="BQ29">
        <v>5</v>
      </c>
      <c r="BR29" s="107">
        <f t="shared" si="14"/>
        <v>3.1485679001362447E-4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3.6899161971718525E-2</v>
      </c>
      <c r="I30" s="93">
        <v>5</v>
      </c>
      <c r="J30" s="86">
        <f t="shared" si="15"/>
        <v>2.3490432377991852E-2</v>
      </c>
      <c r="K30" s="93">
        <v>5</v>
      </c>
      <c r="L30" s="86"/>
      <c r="M30" s="85">
        <v>5</v>
      </c>
      <c r="N30" s="71">
        <f>(($B$24)^M30)*((1-($B$24))^($B$21-M30))*HLOOKUP($B$21,$AV$24:$BF$34,M30+1)</f>
        <v>2.2142878846659206E-2</v>
      </c>
      <c r="O30" s="72">
        <v>5</v>
      </c>
      <c r="P30" s="71">
        <f t="shared" si="16"/>
        <v>2.2142878846659206E-2</v>
      </c>
      <c r="Q30" s="28">
        <v>5</v>
      </c>
      <c r="R30" s="37">
        <f>P25*N30+P26*N29+P27*N28+P28*N27+P29*N26+P30*N25</f>
        <v>0.24068725422787091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0.24062974964110614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2.9555000868374142E-3</v>
      </c>
      <c r="AJ30" s="28">
        <v>5</v>
      </c>
      <c r="AK30" s="79">
        <f>((($W$25)^M30)*((1-($W$25))^($U$31-M30))*HLOOKUP($U$31,$AV$24:$BF$34,M30+1))*V31</f>
        <v>7.5837675983654292E-3</v>
      </c>
      <c r="AL30" s="28">
        <v>5</v>
      </c>
      <c r="AM30" s="79">
        <f>((($W$25)^Q30)*((1-($W$25))^($U$32-Q30))*HLOOKUP($U$32,$AV$24:$BF$34,Q30+1))*V32</f>
        <v>7.7920192665202649E-3</v>
      </c>
      <c r="AN30" s="28">
        <v>5</v>
      </c>
      <c r="AO30" s="79">
        <f>((($W$25)^Q30)*((1-($W$25))^($U$33-Q30))*HLOOKUP($U$33,$AV$24:$BF$34,Q30+1))*V33</f>
        <v>4.0112736304458744E-3</v>
      </c>
      <c r="AP30" s="28">
        <v>5</v>
      </c>
      <c r="AQ30" s="79">
        <f>((($W$25)^Q30)*((1-($W$25))^($U$34-Q30))*HLOOKUP($U$34,$AV$24:$BF$34,Q30+1))*V34</f>
        <v>1.0377839801365154E-3</v>
      </c>
      <c r="AR30" s="28">
        <v>5</v>
      </c>
      <c r="AS30" s="79">
        <f>((($W$25)^Q30)*((1-($W$25))^($U$35-Q30))*HLOOKUP($U$35,$AV$24:$BF$34,Q30+1))*V35</f>
        <v>1.1008781568635305E-4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1.1322275170263812E-4</v>
      </c>
      <c r="BP30">
        <f>BL10+1</f>
        <v>7</v>
      </c>
      <c r="BQ30">
        <v>6</v>
      </c>
      <c r="BR30" s="107">
        <f t="shared" si="14"/>
        <v>1.6945877029791878E-4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8">
        <f>J31*L25+J30*L26+J29*L27+J28*L28</f>
        <v>9.5031878895729255E-3</v>
      </c>
      <c r="I31" s="93">
        <v>6</v>
      </c>
      <c r="J31" s="86">
        <f t="shared" si="15"/>
        <v>4.7143408013896361E-3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0.17553146182291901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0.17585724078494377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8.95979851385583E-4</v>
      </c>
      <c r="AL31" s="28">
        <v>6</v>
      </c>
      <c r="AM31" s="79">
        <f>((($W$25)^Q31)*((1-($W$25))^($U$32-Q31))*HLOOKUP($U$32,$AV$24:$BF$34,Q31+1))*V32</f>
        <v>1.8411672493537866E-3</v>
      </c>
      <c r="AN31" s="28">
        <v>6</v>
      </c>
      <c r="AO31" s="79">
        <f>((($W$25)^Q31)*((1-($W$25))^($U$33-Q31))*HLOOKUP($U$33,$AV$24:$BF$34,Q31+1))*V33</f>
        <v>1.4217288325324372E-3</v>
      </c>
      <c r="AP31" s="28">
        <v>6</v>
      </c>
      <c r="AQ31" s="79">
        <f>((($W$25)^Q31)*((1-($W$25))^($U$34-Q31))*HLOOKUP($U$34,$AV$24:$BF$34,Q31+1))*V34</f>
        <v>4.9043356048698839E-4</v>
      </c>
      <c r="AR31" s="28">
        <v>6</v>
      </c>
      <c r="AS31" s="79">
        <f>((($W$25)^Q31)*((1-($W$25))^($U$35-Q31))*HLOOKUP($U$35,$AV$24:$BF$34,Q31+1))*V35</f>
        <v>6.503130763084149E-5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5.0356735380230618E-2</v>
      </c>
      <c r="BP31">
        <f t="shared" ref="BP31:BP37" si="21">BP24+1</f>
        <v>8</v>
      </c>
      <c r="BQ31">
        <v>0</v>
      </c>
      <c r="BR31" s="107">
        <f t="shared" ref="BR31:BR38" si="22">$H$33*H39</f>
        <v>2.8139213453206931E-6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1.8229945738542175E-3</v>
      </c>
      <c r="I32" s="93">
        <v>7</v>
      </c>
      <c r="J32" s="86">
        <f t="shared" si="15"/>
        <v>6.4973196554651098E-4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8.7780903008027447E-2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8.8219655802101907E-2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1.8644883717250051E-4</v>
      </c>
      <c r="AN32" s="28">
        <v>7</v>
      </c>
      <c r="AO32" s="79">
        <f>((($W$25)^Q32)*((1-($W$25))^($U$33-Q32))*HLOOKUP($U$33,$AV$24:$BF$34,Q32+1))*V33</f>
        <v>2.8794742866877234E-4</v>
      </c>
      <c r="AP32" s="28">
        <v>7</v>
      </c>
      <c r="AQ32" s="79">
        <f>((($W$25)^Q32)*((1-($W$25))^($U$34-Q32))*HLOOKUP($U$34,$AV$24:$BF$34,Q32+1))*V34</f>
        <v>1.4899368934885533E-4</v>
      </c>
      <c r="AR32" s="28">
        <v>7</v>
      </c>
      <c r="AS32" s="79">
        <f>((($W$25)^Q32)*((1-($W$25))^($U$35-Q32))*HLOOKUP($U$35,$AV$24:$BF$34,Q32+1))*V35</f>
        <v>2.634201035638277E-5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3.6971295241168024E-2</v>
      </c>
      <c r="BP32">
        <f t="shared" si="21"/>
        <v>8</v>
      </c>
      <c r="BQ32">
        <v>1</v>
      </c>
      <c r="BR32" s="107">
        <f t="shared" si="22"/>
        <v>1.5505347073742398E-5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2.6131240187717518E-4</v>
      </c>
      <c r="I33" s="93">
        <v>8</v>
      </c>
      <c r="J33" s="86">
        <f t="shared" si="15"/>
        <v>5.8921061214402559E-5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2.8808088004303685E-2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2.9102952079322304E-2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2.5514537233556029E-5</v>
      </c>
      <c r="AP33" s="28">
        <v>8</v>
      </c>
      <c r="AQ33" s="79">
        <f>((($W$25)^Q33)*((1-($W$25))^($U$34-Q33))*HLOOKUP($U$34,$AV$24:$BF$34,Q33+1))*V34</f>
        <v>2.6404160315174361E-5</v>
      </c>
      <c r="AR33" s="28">
        <v>8</v>
      </c>
      <c r="AS33" s="79">
        <f>((($W$25)^Q33)*((1-($W$25))^($U$35-Q33))*HLOOKUP($U$35,$AV$24:$BF$34,Q33+1))*V35</f>
        <v>7.0023636656721688E-6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1.9898285273182537E-2</v>
      </c>
      <c r="BP33">
        <f t="shared" si="21"/>
        <v>8</v>
      </c>
      <c r="BQ33">
        <v>2</v>
      </c>
      <c r="BR33" s="107">
        <f t="shared" si="22"/>
        <v>3.9090182728529282E-5</v>
      </c>
    </row>
    <row r="34" spans="1:70" x14ac:dyDescent="0.25">
      <c r="A34" s="40" t="s">
        <v>86</v>
      </c>
      <c r="B34" s="56">
        <f>B23*2</f>
        <v>4.6670968871648233</v>
      </c>
      <c r="C34" s="57">
        <f>C23*2</f>
        <v>5.3329031128351767</v>
      </c>
      <c r="G34" s="87">
        <v>9</v>
      </c>
      <c r="H34" s="128">
        <f>J34*L25+J33*L26+J32*L27+J31*L28</f>
        <v>2.7796070751196754E-5</v>
      </c>
      <c r="I34" s="93">
        <v>9</v>
      </c>
      <c r="J34" s="86">
        <f t="shared" si="15"/>
        <v>3.1827231586920915E-6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5.6025410135830062E-3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5.7185687485366097E-3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2.0796695334959087E-6</v>
      </c>
      <c r="AR34" s="28">
        <v>9</v>
      </c>
      <c r="AS34" s="79">
        <f>((($W$25)^Q34)*((1-($W$25))^($U$35-Q34))*HLOOKUP($U$35,$AV$24:$BF$34,Q34+1))*V35</f>
        <v>1.1030536251961831E-6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7.9541618861016985E-3</v>
      </c>
      <c r="BP34">
        <f t="shared" si="21"/>
        <v>8</v>
      </c>
      <c r="BQ34">
        <v>3</v>
      </c>
      <c r="BR34" s="107">
        <f t="shared" si="22"/>
        <v>5.9662628013424934E-5</v>
      </c>
    </row>
    <row r="35" spans="1:70" ht="15.75" thickBot="1" x14ac:dyDescent="0.3">
      <c r="G35" s="88">
        <v>10</v>
      </c>
      <c r="H35" s="129">
        <f>J35*L25+J34*L26+J33*L27+J32*L28</f>
        <v>2.1507442922897612E-6</v>
      </c>
      <c r="I35" s="94">
        <v>10</v>
      </c>
      <c r="J35" s="89">
        <f t="shared" si="15"/>
        <v>7.8191780828301316E-8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4.9030708361782777E-4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5.1831978868577266E-4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7.8191780828301316E-8</v>
      </c>
      <c r="BH35">
        <f t="shared" si="19"/>
        <v>3</v>
      </c>
      <c r="BI35">
        <v>8</v>
      </c>
      <c r="BJ35" s="107">
        <f t="shared" si="20"/>
        <v>2.3661456612789483E-3</v>
      </c>
      <c r="BP35">
        <f t="shared" si="21"/>
        <v>8</v>
      </c>
      <c r="BQ35">
        <v>4</v>
      </c>
      <c r="BR35" s="107">
        <f t="shared" si="22"/>
        <v>6.1472462491492393E-5</v>
      </c>
    </row>
    <row r="36" spans="1:70" x14ac:dyDescent="0.25">
      <c r="A36" s="1"/>
      <c r="B36" s="108">
        <f>SUM(B37:B39)</f>
        <v>0.99995243105071974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5.194272087307389E-4</v>
      </c>
      <c r="BP36">
        <f t="shared" si="21"/>
        <v>8</v>
      </c>
      <c r="BQ36">
        <v>5</v>
      </c>
      <c r="BR36" s="107">
        <f t="shared" si="22"/>
        <v>4.5132325255279172E-5</v>
      </c>
    </row>
    <row r="37" spans="1:70" ht="15.75" thickBot="1" x14ac:dyDescent="0.3">
      <c r="A37" s="109" t="s">
        <v>104</v>
      </c>
      <c r="B37" s="107">
        <f>SUM(BN4:BN14)</f>
        <v>0.14048905371143711</v>
      </c>
      <c r="G37" s="13"/>
      <c r="H37" s="59">
        <f>SUM(H39:H49)</f>
        <v>0.99995470085969684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0.99797544825724893</v>
      </c>
      <c r="W37" s="13"/>
      <c r="X37" s="13"/>
      <c r="Y37" s="80">
        <f>SUM(Y39:Y49)</f>
        <v>4.8541627045873995E-4</v>
      </c>
      <c r="Z37" s="81"/>
      <c r="AA37" s="80">
        <f>SUM(AA39:AA49)</f>
        <v>5.5515342224545126E-3</v>
      </c>
      <c r="AB37" s="81"/>
      <c r="AC37" s="80">
        <f>SUM(AC39:AC49)</f>
        <v>2.8576484867223001E-2</v>
      </c>
      <c r="AD37" s="81"/>
      <c r="AE37" s="80">
        <f>SUM(AE39:AE49)</f>
        <v>8.7192069039690526E-2</v>
      </c>
      <c r="AF37" s="81"/>
      <c r="AG37" s="80">
        <f>SUM(AG39:AG49)</f>
        <v>0.17465467567836535</v>
      </c>
      <c r="AH37" s="81"/>
      <c r="AI37" s="80">
        <f>SUM(AI39:AI49)</f>
        <v>0.24003513143466115</v>
      </c>
      <c r="AJ37" s="81"/>
      <c r="AK37" s="80">
        <f>SUM(AK39:AK49)</f>
        <v>0.22929942963070324</v>
      </c>
      <c r="AL37" s="81"/>
      <c r="AM37" s="80">
        <f>SUM(AM39:AM49)</f>
        <v>0.15044053428887086</v>
      </c>
      <c r="AN37" s="81"/>
      <c r="AO37" s="80">
        <f>SUM(AO39:AO49)</f>
        <v>6.4978361157396539E-2</v>
      </c>
      <c r="AP37" s="81"/>
      <c r="AQ37" s="80">
        <f>SUM(AQ39:AQ49)</f>
        <v>1.6761811667424933E-2</v>
      </c>
      <c r="AR37" s="81"/>
      <c r="AS37" s="80">
        <f>SUM(AS39:AS49)</f>
        <v>2.024551742751068E-3</v>
      </c>
      <c r="BH37">
        <f t="shared" si="19"/>
        <v>3</v>
      </c>
      <c r="BI37">
        <v>10</v>
      </c>
      <c r="BJ37" s="107">
        <f t="shared" si="20"/>
        <v>8.2391492263393383E-5</v>
      </c>
      <c r="BP37">
        <f t="shared" si="21"/>
        <v>8</v>
      </c>
      <c r="BQ37">
        <v>6</v>
      </c>
      <c r="BR37" s="107">
        <f t="shared" si="22"/>
        <v>2.4290625392307293E-5</v>
      </c>
    </row>
    <row r="38" spans="1:70" ht="15.75" thickBot="1" x14ac:dyDescent="0.3">
      <c r="A38" s="110" t="s">
        <v>105</v>
      </c>
      <c r="B38" s="107">
        <f>SUM(BJ4:BJ59)</f>
        <v>0.7067753884939828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1.8173615163660516E-2</v>
      </c>
      <c r="BP38">
        <f>BL11+1</f>
        <v>8</v>
      </c>
      <c r="BQ38">
        <v>7</v>
      </c>
      <c r="BR38" s="107">
        <f t="shared" si="22"/>
        <v>9.7099606339176035E-6</v>
      </c>
    </row>
    <row r="39" spans="1:70" x14ac:dyDescent="0.25">
      <c r="A39" s="111" t="s">
        <v>0</v>
      </c>
      <c r="B39" s="107">
        <f>SUM(BR4:BR47)</f>
        <v>0.15268798884529994</v>
      </c>
      <c r="G39" s="130">
        <v>0</v>
      </c>
      <c r="H39" s="131">
        <f>L39*J39</f>
        <v>1.0768418663279985E-2</v>
      </c>
      <c r="I39" s="97">
        <v>0</v>
      </c>
      <c r="J39" s="98">
        <f t="shared" ref="J39:J49" si="37">Y39+AA39+AC39+AE39+AG39+AI39+AK39+AM39+AO39+AQ39+AS39</f>
        <v>1.7143540699357022E-2</v>
      </c>
      <c r="K39" s="102">
        <v>0</v>
      </c>
      <c r="L39" s="98">
        <f>AC20</f>
        <v>0.6281327091132265</v>
      </c>
      <c r="M39" s="84">
        <v>0</v>
      </c>
      <c r="N39" s="71">
        <f>(1-$C$24)^$B$21</f>
        <v>2.2142878846659206E-2</v>
      </c>
      <c r="O39" s="70">
        <v>0</v>
      </c>
      <c r="P39" s="71">
        <f>N39</f>
        <v>2.2142878846659206E-2</v>
      </c>
      <c r="Q39" s="12">
        <v>0</v>
      </c>
      <c r="R39" s="73">
        <f>P39*N39</f>
        <v>4.9030708361782777E-4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4.8541627045873995E-4</v>
      </c>
      <c r="W39" s="136">
        <f>C31</f>
        <v>0.62570229526274812</v>
      </c>
      <c r="X39" s="12">
        <v>0</v>
      </c>
      <c r="Y39" s="79">
        <f>V39</f>
        <v>4.8541627045873995E-4</v>
      </c>
      <c r="Z39" s="12">
        <v>0</v>
      </c>
      <c r="AA39" s="78">
        <f>((1-W39)^Z40)*V40</f>
        <v>2.0779265172350282E-3</v>
      </c>
      <c r="AB39" s="12">
        <v>0</v>
      </c>
      <c r="AC39" s="79">
        <f>(((1-$W$39)^AB41))*V41</f>
        <v>4.0035304314469415E-3</v>
      </c>
      <c r="AD39" s="12">
        <v>0</v>
      </c>
      <c r="AE39" s="79">
        <f>(((1-$W$39)^AB42))*V42</f>
        <v>4.572234278723465E-3</v>
      </c>
      <c r="AF39" s="12">
        <v>0</v>
      </c>
      <c r="AG39" s="79">
        <f>(((1-$W$39)^AB43))*V43</f>
        <v>3.428063613687595E-3</v>
      </c>
      <c r="AH39" s="12">
        <v>0</v>
      </c>
      <c r="AI39" s="79">
        <f>(((1-$W$39)^AB44))*V44</f>
        <v>1.763439762908488E-3</v>
      </c>
      <c r="AJ39" s="12">
        <v>0</v>
      </c>
      <c r="AK39" s="79">
        <f>(((1-$W$39)^AB45))*V45</f>
        <v>6.305302953534777E-4</v>
      </c>
      <c r="AL39" s="12">
        <v>0</v>
      </c>
      <c r="AM39" s="79">
        <f>(((1-$W$39)^AB46))*V46</f>
        <v>1.5484066034930931E-4</v>
      </c>
      <c r="AN39" s="12">
        <v>0</v>
      </c>
      <c r="AO39" s="79">
        <f>(((1-$W$39)^AB47))*V47</f>
        <v>2.5032606079917648E-5</v>
      </c>
      <c r="AP39" s="12">
        <v>0</v>
      </c>
      <c r="AQ39" s="79">
        <f>(((1-$W$39)^AB48))*V48</f>
        <v>2.4169932204380531E-6</v>
      </c>
      <c r="AR39" s="12">
        <v>0</v>
      </c>
      <c r="AS39" s="79">
        <f>(((1-$W$39)^AB49))*V49</f>
        <v>1.0926989362053767E-7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9.7812039478909034E-3</v>
      </c>
      <c r="BP39">
        <f t="shared" ref="BP39:BP46" si="38">BP31+1</f>
        <v>9</v>
      </c>
      <c r="BQ39">
        <v>0</v>
      </c>
      <c r="BR39" s="107">
        <f t="shared" ref="BR39:BR47" si="39">$H$34*H39</f>
        <v>2.9931972704303803E-7</v>
      </c>
    </row>
    <row r="40" spans="1:70" x14ac:dyDescent="0.25">
      <c r="G40" s="91">
        <v>1</v>
      </c>
      <c r="H40" s="132">
        <f>L39*J40+L40*J39</f>
        <v>5.9336437774699977E-2</v>
      </c>
      <c r="I40" s="93">
        <v>1</v>
      </c>
      <c r="J40" s="86">
        <f t="shared" si="37"/>
        <v>8.5959478962535543E-2</v>
      </c>
      <c r="K40" s="95">
        <v>1</v>
      </c>
      <c r="L40" s="86">
        <f>AD20</f>
        <v>0.31163208777528073</v>
      </c>
      <c r="M40" s="85">
        <v>1</v>
      </c>
      <c r="N40" s="71">
        <f>(($C$24)^M26)*((1-($C$24))^($B$21-M26))*HLOOKUP($B$21,$AV$24:$BF$34,M26+1)</f>
        <v>0.12650886662888206</v>
      </c>
      <c r="O40" s="72">
        <v>1</v>
      </c>
      <c r="P40" s="71">
        <f t="shared" ref="P40:P44" si="40">N40</f>
        <v>0.12650886662888206</v>
      </c>
      <c r="Q40" s="28">
        <v>1</v>
      </c>
      <c r="R40" s="37">
        <f>P40*N39+P39*N40</f>
        <v>5.6025410135830062E-3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5.5515342224545126E-3</v>
      </c>
      <c r="W40" s="137"/>
      <c r="X40" s="28">
        <v>1</v>
      </c>
      <c r="Y40" s="73"/>
      <c r="Z40" s="28">
        <v>1</v>
      </c>
      <c r="AA40" s="79">
        <f>(1-((1-W39)^Z40))*V40</f>
        <v>3.4736077052194845E-3</v>
      </c>
      <c r="AB40" s="28">
        <v>1</v>
      </c>
      <c r="AC40" s="79">
        <f>((($W$39)^M40)*((1-($W$39))^($U$27-M40))*HLOOKUP($U$27,$AV$24:$BF$34,M40+1))*V41</f>
        <v>1.3385164527626879E-2</v>
      </c>
      <c r="AD40" s="28">
        <v>1</v>
      </c>
      <c r="AE40" s="79">
        <f>((($W$39)^M40)*((1-($W$39))^($U$28-M40))*HLOOKUP($U$28,$AV$24:$BF$34,M40+1))*V42</f>
        <v>2.2929802505878644E-2</v>
      </c>
      <c r="AF40" s="28">
        <v>1</v>
      </c>
      <c r="AG40" s="79">
        <f>((($W$39)^M40)*((1-($W$39))^($U$29-M40))*HLOOKUP($U$29,$AV$24:$BF$34,M40+1))*V43</f>
        <v>2.2922366279501939E-2</v>
      </c>
      <c r="AH40" s="28">
        <v>1</v>
      </c>
      <c r="AI40" s="79">
        <f>((($W$39)^M40)*((1-($W$39))^($U$30-M40))*HLOOKUP($U$30,$AV$24:$BF$34,M40+1))*V44</f>
        <v>1.4739447948044321E-2</v>
      </c>
      <c r="AJ40" s="28">
        <v>1</v>
      </c>
      <c r="AK40" s="79">
        <f>((($W$39)^M40)*((1-($W$39))^($U$31-M40))*HLOOKUP($U$31,$AV$24:$BF$34,M40+1))*V45</f>
        <v>6.324231990345484E-3</v>
      </c>
      <c r="AL40" s="28">
        <v>1</v>
      </c>
      <c r="AM40" s="79">
        <f>((($W$39)^Q40)*((1-($W$39))^($U$32-Q40))*HLOOKUP($U$32,$AV$24:$BF$34,Q40+1))*V46</f>
        <v>1.8118975550224375E-3</v>
      </c>
      <c r="AN40" s="28">
        <v>1</v>
      </c>
      <c r="AO40" s="79">
        <f>((($W$39)^Q40)*((1-($W$39))^($U$33-Q40))*HLOOKUP($U$33,$AV$24:$BF$34,Q40+1))*V47</f>
        <v>3.3477008023028565E-4</v>
      </c>
      <c r="AP40" s="28">
        <v>1</v>
      </c>
      <c r="AQ40" s="79">
        <f>((($W$39)^Q40)*((1-($W$39))^($U$34-Q40))*HLOOKUP($U$34,$AV$24:$BF$34,Q40+1))*V48</f>
        <v>3.6363738485967538E-5</v>
      </c>
      <c r="AR40" s="28">
        <v>1</v>
      </c>
      <c r="AS40" s="79">
        <f>((($W$39)^Q40)*((1-($W$39))^($U$35-Q40))*HLOOKUP($U$35,$AV$24:$BF$34,Q40+1))*V49</f>
        <v>1.8266321801113142E-6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3.9099489515991718E-3</v>
      </c>
      <c r="BP40">
        <f t="shared" si="38"/>
        <v>9</v>
      </c>
      <c r="BQ40">
        <v>1</v>
      </c>
      <c r="BR40" s="107">
        <f t="shared" si="39"/>
        <v>1.6493198225095443E-6</v>
      </c>
    </row>
    <row r="41" spans="1:70" x14ac:dyDescent="0.25">
      <c r="G41" s="91">
        <v>2</v>
      </c>
      <c r="H41" s="132">
        <f>L39*J41+J40*L40+J39*L41</f>
        <v>0.14959176237989219</v>
      </c>
      <c r="I41" s="93">
        <v>2</v>
      </c>
      <c r="J41" s="86">
        <f t="shared" si="37"/>
        <v>0.19400813976535333</v>
      </c>
      <c r="K41" s="95">
        <v>2</v>
      </c>
      <c r="L41" s="86">
        <f>AE20</f>
        <v>5.4899514773417861E-2</v>
      </c>
      <c r="M41" s="85">
        <v>2</v>
      </c>
      <c r="N41" s="71">
        <f>(($C$24)^M27)*((1-($C$24))^($B$21-M27))*HLOOKUP($B$21,$AV$24:$BF$34,M27+1)</f>
        <v>0.28911314461965615</v>
      </c>
      <c r="O41" s="72">
        <v>2</v>
      </c>
      <c r="P41" s="71">
        <f t="shared" si="40"/>
        <v>0.28911314461965615</v>
      </c>
      <c r="Q41" s="28">
        <v>2</v>
      </c>
      <c r="R41" s="37">
        <f>P41*N39+P40*N40+P39*N41</f>
        <v>2.8808088004303685E-2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2.8576484867223001E-2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1.1187789908149179E-2</v>
      </c>
      <c r="AD41" s="28">
        <v>2</v>
      </c>
      <c r="AE41" s="79">
        <f>((($W$39)^M41)*((1-($W$39))^($U$28-M41))*HLOOKUP($U$28,$AV$24:$BF$34,M41+1))*V42</f>
        <v>3.8331066090616817E-2</v>
      </c>
      <c r="AF41" s="28">
        <v>2</v>
      </c>
      <c r="AG41" s="79">
        <f>((($W$39)^M41)*((1-($W$39))^($U$29-M41))*HLOOKUP($U$29,$AV$24:$BF$34,M41+1))*V43</f>
        <v>5.7477952759579162E-2</v>
      </c>
      <c r="AH41" s="28">
        <v>2</v>
      </c>
      <c r="AI41" s="79">
        <f>((($W$39)^M41)*((1-($W$39))^($U$30-M41))*HLOOKUP($U$30,$AV$24:$BF$34,M41+1))*V44</f>
        <v>4.9278989933807457E-2</v>
      </c>
      <c r="AJ41" s="28">
        <v>2</v>
      </c>
      <c r="AK41" s="79">
        <f>((($W$39)^M41)*((1-($W$39))^($U$31-M41))*HLOOKUP($U$31,$AV$24:$BF$34,M41+1))*V45</f>
        <v>2.6430074390324198E-2</v>
      </c>
      <c r="AL41" s="28">
        <v>2</v>
      </c>
      <c r="AM41" s="79">
        <f>((($W$39)^Q41)*((1-($W$39))^($U$32-Q41))*HLOOKUP($U$32,$AV$24:$BF$34,Q41+1))*V46</f>
        <v>9.0866851007355524E-3</v>
      </c>
      <c r="AN41" s="28">
        <v>2</v>
      </c>
      <c r="AO41" s="79">
        <f>((($W$39)^Q41)*((1-($W$39))^($U$33-Q41))*HLOOKUP($U$33,$AV$24:$BF$34,Q41+1))*V47</f>
        <v>1.958688010292464E-3</v>
      </c>
      <c r="AP41" s="28">
        <v>2</v>
      </c>
      <c r="AQ41" s="79">
        <f>((($W$39)^Q41)*((1-($W$39))^($U$34-Q41))*HLOOKUP($U$34,$AV$24:$BF$34,Q41+1))*V48</f>
        <v>2.4315270275008711E-4</v>
      </c>
      <c r="AR41" s="28">
        <v>2</v>
      </c>
      <c r="AS41" s="79">
        <f>((($W$39)^Q41)*((1-($W$39))^($U$35-Q41))*HLOOKUP($U$35,$AV$24:$BF$34,Q41+1))*V49</f>
        <v>1.3740869098420998E-5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1.1631028988501864E-3</v>
      </c>
      <c r="BP41">
        <f t="shared" si="38"/>
        <v>9</v>
      </c>
      <c r="BQ41">
        <v>2</v>
      </c>
      <c r="BR41" s="107">
        <f t="shared" si="39"/>
        <v>4.158063210907696E-6</v>
      </c>
    </row>
    <row r="42" spans="1:70" ht="15" customHeight="1" x14ac:dyDescent="0.25">
      <c r="G42" s="91">
        <v>3</v>
      </c>
      <c r="H42" s="132">
        <f>J42*L39+J41*L40+L42*J39+L41*J40</f>
        <v>0.22831915969096711</v>
      </c>
      <c r="I42" s="93">
        <v>3</v>
      </c>
      <c r="J42" s="86">
        <f t="shared" si="37"/>
        <v>0.25957793537814089</v>
      </c>
      <c r="K42" s="95">
        <v>3</v>
      </c>
      <c r="L42" s="86">
        <f>AF20</f>
        <v>5.3356883380749134E-3</v>
      </c>
      <c r="M42" s="85">
        <v>3</v>
      </c>
      <c r="N42" s="71">
        <f>(($C$24)^M28)*((1-($C$24))^($B$21-M28))*HLOOKUP($B$21,$AV$24:$BF$34,M28+1)</f>
        <v>0.33035791331950554</v>
      </c>
      <c r="O42" s="72">
        <v>3</v>
      </c>
      <c r="P42" s="71">
        <f t="shared" si="40"/>
        <v>0.33035791331950554</v>
      </c>
      <c r="Q42" s="28">
        <v>3</v>
      </c>
      <c r="R42" s="37">
        <f>P42*N39+P41*N40+P40*N41+P39*N42</f>
        <v>8.7780903008027447E-2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8.7192069039690526E-2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2.13589661644716E-2</v>
      </c>
      <c r="AF42" s="28">
        <v>3</v>
      </c>
      <c r="AG42" s="79">
        <f>((($W$39)^M42)*((1-($W$39))^($U$29-M42))*HLOOKUP($U$29,$AV$24:$BF$34,M42+1))*V43</f>
        <v>6.405611809975062E-2</v>
      </c>
      <c r="AH42" s="28">
        <v>3</v>
      </c>
      <c r="AI42" s="79">
        <f>((($W$39)^M42)*((1-($W$39))^($U$30-M42))*HLOOKUP($U$30,$AV$24:$BF$34,M42+1))*V44</f>
        <v>8.2378215841472785E-2</v>
      </c>
      <c r="AJ42" s="28">
        <v>3</v>
      </c>
      <c r="AK42" s="79">
        <f>((($W$39)^M42)*((1-($W$39))^($U$31-M42))*HLOOKUP($U$31,$AV$24:$BF$34,M42+1))*V45</f>
        <v>5.8909821427126162E-2</v>
      </c>
      <c r="AL42" s="28">
        <v>3</v>
      </c>
      <c r="AM42" s="79">
        <f>((($W$39)^Q42)*((1-($W$39))^($U$32-Q42))*HLOOKUP($U$32,$AV$24:$BF$34,Q42+1))*V46</f>
        <v>2.5316566874894315E-2</v>
      </c>
      <c r="AN42" s="28">
        <v>3</v>
      </c>
      <c r="AO42" s="79">
        <f>((($W$39)^Q42)*((1-($W$39))^($U$33-Q42))*HLOOKUP($U$33,$AV$24:$BF$34,Q42+1))*V47</f>
        <v>6.5485605080262575E-3</v>
      </c>
      <c r="AP42" s="28">
        <v>3</v>
      </c>
      <c r="AQ42" s="79">
        <f>((($W$39)^Q42)*((1-($W$39))^($U$34-Q42))*HLOOKUP($U$34,$AV$24:$BF$34,Q42+1))*V48</f>
        <v>9.4843259433297718E-4</v>
      </c>
      <c r="AR42" s="28">
        <v>3</v>
      </c>
      <c r="AS42" s="79">
        <f>((($W$39)^Q42)*((1-($W$39))^($U$35-Q42))*HLOOKUP($U$35,$AV$24:$BF$34,Q42+1))*V49</f>
        <v>6.1253868066132828E-5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2.5532971283341441E-4</v>
      </c>
      <c r="BP42">
        <f t="shared" si="38"/>
        <v>9</v>
      </c>
      <c r="BQ42">
        <v>3</v>
      </c>
      <c r="BR42" s="107">
        <f t="shared" si="39"/>
        <v>6.3463755166239114E-6</v>
      </c>
    </row>
    <row r="43" spans="1:70" ht="15" customHeight="1" x14ac:dyDescent="0.25">
      <c r="G43" s="91">
        <v>4</v>
      </c>
      <c r="H43" s="132">
        <f>J43*L39+J42*L40+J41*L41+J40*L42</f>
        <v>0.23524510145670899</v>
      </c>
      <c r="I43" s="93">
        <v>4</v>
      </c>
      <c r="J43" s="86">
        <f t="shared" si="37"/>
        <v>0.22804525176214402</v>
      </c>
      <c r="K43" s="95">
        <v>4</v>
      </c>
      <c r="L43" s="86"/>
      <c r="M43" s="85">
        <v>4</v>
      </c>
      <c r="N43" s="71">
        <f>(($C$24)^M29)*((1-($C$24))^($B$21-M29))*HLOOKUP($B$21,$AV$24:$BF$34,M29+1)</f>
        <v>0.18874332233560787</v>
      </c>
      <c r="O43" s="72">
        <v>4</v>
      </c>
      <c r="P43" s="71">
        <f t="shared" si="40"/>
        <v>0.18874332233560787</v>
      </c>
      <c r="Q43" s="28">
        <v>4</v>
      </c>
      <c r="R43" s="37">
        <f>P43*N39+P42*N40+P41*N41+P40*N42+P39*N43</f>
        <v>0.17553146182291901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0.17465467567836537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2.6770174925846043E-2</v>
      </c>
      <c r="AH43" s="28">
        <v>4</v>
      </c>
      <c r="AI43" s="79">
        <f>((($W$39)^M43)*((1-($W$39))^($U$30-M43))*HLOOKUP($U$30,$AV$24:$BF$34,M43+1))*V44</f>
        <v>6.8854601670403554E-2</v>
      </c>
      <c r="AJ43" s="28">
        <v>4</v>
      </c>
      <c r="AK43" s="79">
        <f>((($W$39)^M43)*((1-($W$39))^($U$31-M43))*HLOOKUP($U$31,$AV$24:$BF$34,M43+1))*V45</f>
        <v>7.3858341930682511E-2</v>
      </c>
      <c r="AL43" s="28">
        <v>4</v>
      </c>
      <c r="AM43" s="79">
        <f>((($W$39)^Q43)*((1-($W$39))^($U$32-Q43))*HLOOKUP($U$32,$AV$24:$BF$34,Q43+1))*V46</f>
        <v>4.2320948809755551E-2</v>
      </c>
      <c r="AN43" s="28">
        <v>4</v>
      </c>
      <c r="AO43" s="79">
        <f>((($W$39)^Q43)*((1-($W$39))^($U$33-Q43))*HLOOKUP($U$33,$AV$24:$BF$34,Q43+1))*V47</f>
        <v>1.3683791299947087E-2</v>
      </c>
      <c r="AP43" s="28">
        <v>4</v>
      </c>
      <c r="AQ43" s="79">
        <f>((($W$39)^Q43)*((1-($W$39))^($U$34-Q43))*HLOOKUP($U$34,$AV$24:$BF$34,Q43+1))*V48</f>
        <v>2.3781996669979249E-3</v>
      </c>
      <c r="AR43" s="28">
        <v>4</v>
      </c>
      <c r="AS43" s="79">
        <f>((($W$39)^Q43)*((1-($W$39))^($U$35-Q43))*HLOOKUP($U$35,$AV$24:$BF$34,Q43+1))*V49</f>
        <v>1.7919345851134523E-4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4.0500373692272041E-5</v>
      </c>
      <c r="BP43">
        <f t="shared" si="38"/>
        <v>9</v>
      </c>
      <c r="BQ43">
        <v>4</v>
      </c>
      <c r="BR43" s="107">
        <f t="shared" si="39"/>
        <v>6.5388894839631419E-6</v>
      </c>
    </row>
    <row r="44" spans="1:70" ht="15" customHeight="1" thickBot="1" x14ac:dyDescent="0.3">
      <c r="G44" s="91">
        <v>5</v>
      </c>
      <c r="H44" s="132">
        <f>J44*L39+J43*L40+J42*L41+J41*L42</f>
        <v>0.17271405769900178</v>
      </c>
      <c r="I44" s="93">
        <v>5</v>
      </c>
      <c r="J44" s="86">
        <f t="shared" si="37"/>
        <v>0.13749000627600602</v>
      </c>
      <c r="K44" s="95">
        <v>5</v>
      </c>
      <c r="L44" s="86"/>
      <c r="M44" s="85">
        <v>5</v>
      </c>
      <c r="N44" s="71">
        <f>(($C$24)^M30)*((1-($C$24))^($B$21-M30))*HLOOKUP($B$21,$AV$24:$BF$34,M30+1)</f>
        <v>4.3133874249689168E-2</v>
      </c>
      <c r="O44" s="72">
        <v>5</v>
      </c>
      <c r="P44" s="71">
        <f t="shared" si="40"/>
        <v>4.3133874249689168E-2</v>
      </c>
      <c r="Q44" s="28">
        <v>5</v>
      </c>
      <c r="R44" s="37">
        <f>P44*N39+P43*N40+P42*N41+P41*N42+P40*N43+P39*N44</f>
        <v>0.24068725422787091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0.24003513143466115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2.3020436278024539E-2</v>
      </c>
      <c r="AJ44" s="28">
        <v>5</v>
      </c>
      <c r="AK44" s="79">
        <f>((($W$39)^M44)*((1-($W$39))^($U$31-M44))*HLOOKUP($U$31,$AV$24:$BF$34,M44+1))*V45</f>
        <v>4.938671382211076E-2</v>
      </c>
      <c r="AL44" s="28">
        <v>5</v>
      </c>
      <c r="AM44" s="79">
        <f>((($W$39)^Q44)*((1-($W$39))^($U$32-Q44))*HLOOKUP($U$32,$AV$24:$BF$34,Q44+1))*V46</f>
        <v>4.2447999770476606E-2</v>
      </c>
      <c r="AN44" s="28">
        <v>5</v>
      </c>
      <c r="AO44" s="79">
        <f>((($W$39)^Q44)*((1-($W$39))^($U$33-Q44))*HLOOKUP($U$33,$AV$24:$BF$34,Q44+1))*V47</f>
        <v>1.8299828218895697E-2</v>
      </c>
      <c r="AP44" s="28">
        <v>5</v>
      </c>
      <c r="AQ44" s="79">
        <f>((($W$39)^Q44)*((1-($W$39))^($U$34-Q44))*HLOOKUP($U$34,$AV$24:$BF$34,Q44+1))*V48</f>
        <v>3.9755653625455096E-3</v>
      </c>
      <c r="AR44" s="28">
        <v>5</v>
      </c>
      <c r="AS44" s="79">
        <f>((($W$39)^Q44)*((1-($W$39))^($U$35-Q44))*HLOOKUP($U$35,$AV$24:$BF$34,Q44+1))*V49</f>
        <v>3.594628239529032E-4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3.4300083513310472E-3</v>
      </c>
      <c r="BP44">
        <f t="shared" si="38"/>
        <v>9</v>
      </c>
      <c r="BQ44">
        <v>5</v>
      </c>
      <c r="BR44" s="107">
        <f t="shared" si="39"/>
        <v>4.8007721675277322E-6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9.29562669732171E-2</v>
      </c>
      <c r="I45" s="93">
        <v>6</v>
      </c>
      <c r="J45" s="86">
        <f t="shared" si="37"/>
        <v>5.7639680457908189E-2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0.22918633687491768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0.22929942963070327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1.375971577476064E-2</v>
      </c>
      <c r="AL45" s="28">
        <v>6</v>
      </c>
      <c r="AM45" s="79">
        <f>((($W$39)^Q45)*((1-($W$39))^($U$32-Q45))*HLOOKUP($U$32,$AV$24:$BF$34,Q45+1))*V46</f>
        <v>2.3653017860336755E-2</v>
      </c>
      <c r="AN45" s="28">
        <v>6</v>
      </c>
      <c r="AO45" s="79">
        <f>((($W$39)^Q45)*((1-($W$39))^($U$33-Q45))*HLOOKUP($U$33,$AV$24:$BF$34,Q45+1))*V47</f>
        <v>1.5295638170577146E-2</v>
      </c>
      <c r="AP45" s="28">
        <v>6</v>
      </c>
      <c r="AQ45" s="79">
        <f>((($W$39)^Q45)*((1-($W$39))^($U$34-Q45))*HLOOKUP($U$34,$AV$24:$BF$34,Q45+1))*V48</f>
        <v>4.4305559288392018E-3</v>
      </c>
      <c r="AR45" s="28">
        <v>6</v>
      </c>
      <c r="AS45" s="79">
        <f>((($W$39)^Q45)*((1-($W$39))^($U$35-Q45))*HLOOKUP($U$35,$AV$24:$BF$34,Q45+1))*V49</f>
        <v>5.0075272339444084E-4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1.3711152153365583E-3</v>
      </c>
      <c r="BP45">
        <f t="shared" si="38"/>
        <v>9</v>
      </c>
      <c r="BQ45">
        <v>6</v>
      </c>
      <c r="BR45" s="107">
        <f t="shared" si="39"/>
        <v>2.5838189735546768E-6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3.7158437809169047E-2</v>
      </c>
      <c r="I46" s="93">
        <v>7</v>
      </c>
      <c r="J46" s="86">
        <f t="shared" si="37"/>
        <v>1.6606603472329638E-2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0.14964684028747735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0.15044053428887089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5.6485776573003401E-3</v>
      </c>
      <c r="AN46" s="28">
        <v>7</v>
      </c>
      <c r="AO46" s="79">
        <f>((($W$39)^Q46)*((1-($W$39))^($U$33-Q46))*HLOOKUP($U$33,$AV$24:$BF$34,Q46+1))*V47</f>
        <v>7.3055033006466626E-3</v>
      </c>
      <c r="AP46" s="28">
        <v>7</v>
      </c>
      <c r="AQ46" s="79">
        <f>((($W$39)^Q46)*((1-($W$39))^($U$34-Q46))*HLOOKUP($U$34,$AV$24:$BF$34,Q46+1))*V48</f>
        <v>3.1741834437575269E-3</v>
      </c>
      <c r="AR46" s="28">
        <v>7</v>
      </c>
      <c r="AS46" s="79">
        <f>((($W$39)^Q46)*((1-($W$39))^($U$35-Q46))*HLOOKUP($U$35,$AV$24:$BF$34,Q46+1))*V49</f>
        <v>4.7833907062510715E-4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4.0786928457551744E-4</v>
      </c>
      <c r="BP46">
        <f t="shared" si="38"/>
        <v>9</v>
      </c>
      <c r="BQ46">
        <v>7</v>
      </c>
      <c r="BR46" s="107">
        <f t="shared" si="39"/>
        <v>1.0328585663476074E-6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1.1053619182141049E-2</v>
      </c>
      <c r="I47" s="93">
        <v>8</v>
      </c>
      <c r="J47" s="86">
        <f t="shared" si="37"/>
        <v>3.1529553079252112E-3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6.4123275107309696E-2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6.4978361157396552E-2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1.5265489627010209E-3</v>
      </c>
      <c r="AP47" s="28">
        <v>8</v>
      </c>
      <c r="AQ47" s="79">
        <f>((($W$39)^Q47)*((1-($W$39))^($U$34-Q47))*HLOOKUP($U$34,$AV$24:$BF$34,Q47+1))*V48</f>
        <v>1.3265469178726926E-3</v>
      </c>
      <c r="AR47" s="28">
        <v>8</v>
      </c>
      <c r="AS47" s="79">
        <f>((($W$39)^Q47)*((1-($W$39))^($U$35-Q47))*HLOOKUP($U$35,$AV$24:$BF$34,Q47+1))*V49</f>
        <v>2.9985942735149748E-4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8.9537346529862754E-5</v>
      </c>
      <c r="BP47">
        <f>BL12+1</f>
        <v>9</v>
      </c>
      <c r="BQ47">
        <v>8</v>
      </c>
      <c r="BR47" s="107">
        <f t="shared" si="39"/>
        <v>3.0724718084357821E-7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2.4265414645050455E-3</v>
      </c>
      <c r="I48" s="93">
        <v>9</v>
      </c>
      <c r="J48" s="86">
        <f t="shared" si="37"/>
        <v>3.5778677416171495E-4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1.6282461462185316E-2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1.6761811667424936E-2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2.4639431862260696E-4</v>
      </c>
      <c r="AR48" s="28">
        <v>9</v>
      </c>
      <c r="AS48" s="79">
        <f>((($W$39)^Q48)*((1-($W$39))^($U$35-Q48))*HLOOKUP($U$35,$AV$24:$BF$34,Q48+1))*V49</f>
        <v>1.1139245553910799E-4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1.4202405014412931E-5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3.8489776611453692E-4</v>
      </c>
      <c r="I49" s="94">
        <v>10</v>
      </c>
      <c r="J49" s="89">
        <f t="shared" si="37"/>
        <v>1.8621144138380488E-5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1.8605311077879983E-3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2.0245517427510684E-3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1.8621144138380488E-5</v>
      </c>
      <c r="BH49">
        <f>BP14+1</f>
        <v>6</v>
      </c>
      <c r="BI49">
        <v>0</v>
      </c>
      <c r="BJ49" s="107">
        <f>$H$31*H39</f>
        <v>1.0233430583073342E-4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3.5312361618354397E-4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1.0504461994767381E-4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2.30598794590309E-5</v>
      </c>
    </row>
    <row r="53" spans="1:62" x14ac:dyDescent="0.25">
      <c r="BH53">
        <f>BH48+1</f>
        <v>6</v>
      </c>
      <c r="BI53">
        <v>10</v>
      </c>
      <c r="BJ53" s="107">
        <f>$H$31*H49</f>
        <v>3.6577557896633394E-6</v>
      </c>
    </row>
    <row r="54" spans="1:62" x14ac:dyDescent="0.25">
      <c r="BH54">
        <f>BH51+1</f>
        <v>7</v>
      </c>
      <c r="BI54">
        <v>8</v>
      </c>
      <c r="BJ54" s="107">
        <f>$H$32*H47</f>
        <v>2.0150687790494028E-5</v>
      </c>
    </row>
    <row r="55" spans="1:62" x14ac:dyDescent="0.25">
      <c r="BH55">
        <f>BH52+1</f>
        <v>7</v>
      </c>
      <c r="BI55">
        <v>9</v>
      </c>
      <c r="BJ55" s="107">
        <f>$H$32*H48</f>
        <v>4.423571923024964E-6</v>
      </c>
    </row>
    <row r="56" spans="1:62" x14ac:dyDescent="0.25">
      <c r="BH56">
        <f>BH53+1</f>
        <v>7</v>
      </c>
      <c r="BI56">
        <v>10</v>
      </c>
      <c r="BJ56" s="107">
        <f>$H$32*H49</f>
        <v>7.0166653911541052E-7</v>
      </c>
    </row>
    <row r="57" spans="1:62" x14ac:dyDescent="0.25">
      <c r="BH57">
        <f>BH55+1</f>
        <v>8</v>
      </c>
      <c r="BI57">
        <v>9</v>
      </c>
      <c r="BJ57" s="107">
        <f>$H$33*H48</f>
        <v>6.3408537834437162E-7</v>
      </c>
    </row>
    <row r="58" spans="1:62" x14ac:dyDescent="0.25">
      <c r="BH58">
        <f>BH56+1</f>
        <v>8</v>
      </c>
      <c r="BI58">
        <v>10</v>
      </c>
      <c r="BJ58" s="107">
        <f>$H$33*H49</f>
        <v>1.0057855974054885E-7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1.0698645538897248E-8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Z14" sqref="Z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6"/>
      <c r="Q1" s="216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0.05</v>
      </c>
      <c r="AN6">
        <f t="shared" ref="AN6:AN19" si="7"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0.05</v>
      </c>
      <c r="AN8">
        <f t="shared" si="7"/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0.32800000000000001</v>
      </c>
      <c r="AK13" s="13"/>
      <c r="AM13" s="13">
        <v>0.22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 t="shared" si="7"/>
        <v>1.6E-2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G8" sqref="G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16"/>
      <c r="Q1" s="216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O16" sqref="O1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6" t="s">
        <v>135</v>
      </c>
      <c r="Q1" s="216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18" t="s">
        <v>23</v>
      </c>
      <c r="C3" s="218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6" t="s">
        <v>135</v>
      </c>
      <c r="Q1" s="216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19" t="s">
        <v>130</v>
      </c>
      <c r="C3" s="21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27" priority="14" operator="greaterThan">
      <formula>0.15</formula>
    </cfRule>
  </conditionalFormatting>
  <conditionalFormatting sqref="V34">
    <cfRule type="cellIs" dxfId="26" priority="13" operator="greaterThan">
      <formula>0.15</formula>
    </cfRule>
  </conditionalFormatting>
  <conditionalFormatting sqref="V48">
    <cfRule type="cellIs" dxfId="25" priority="12" operator="greaterThan">
      <formula>0.15</formula>
    </cfRule>
  </conditionalFormatting>
  <conditionalFormatting sqref="V24:V34 V38:V48">
    <cfRule type="cellIs" dxfId="24" priority="11" operator="greaterThan">
      <formula>0.15</formula>
    </cfRule>
  </conditionalFormatting>
  <conditionalFormatting sqref="V34">
    <cfRule type="cellIs" dxfId="23" priority="10" operator="greaterThan">
      <formula>0.15</formula>
    </cfRule>
  </conditionalFormatting>
  <conditionalFormatting sqref="V48">
    <cfRule type="cellIs" dxfId="22" priority="9" operator="greaterThan">
      <formula>0.15</formula>
    </cfRule>
  </conditionalFormatting>
  <conditionalFormatting sqref="H24:H34">
    <cfRule type="cellIs" dxfId="21" priority="8" operator="greaterThan">
      <formula>0.15</formula>
    </cfRule>
  </conditionalFormatting>
  <conditionalFormatting sqref="H34">
    <cfRule type="cellIs" dxfId="20" priority="7" operator="greaterThan">
      <formula>0.15</formula>
    </cfRule>
  </conditionalFormatting>
  <conditionalFormatting sqref="H24:H34">
    <cfRule type="cellIs" dxfId="19" priority="6" operator="greaterThan">
      <formula>0.15</formula>
    </cfRule>
  </conditionalFormatting>
  <conditionalFormatting sqref="H34">
    <cfRule type="cellIs" dxfId="18" priority="5" operator="greaterThan">
      <formula>0.15</formula>
    </cfRule>
  </conditionalFormatting>
  <conditionalFormatting sqref="H38:H48">
    <cfRule type="cellIs" dxfId="17" priority="4" operator="greaterThan">
      <formula>0.15</formula>
    </cfRule>
  </conditionalFormatting>
  <conditionalFormatting sqref="H48">
    <cfRule type="cellIs" dxfId="16" priority="3" operator="greaterThan">
      <formula>0.15</formula>
    </cfRule>
  </conditionalFormatting>
  <conditionalFormatting sqref="H38:H48">
    <cfRule type="cellIs" dxfId="15" priority="2" operator="greaterThan">
      <formula>0.15</formula>
    </cfRule>
  </conditionalFormatting>
  <conditionalFormatting sqref="H48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OBIWAN-LA_Crsuh</vt:lpstr>
      <vt:lpstr>SIMULADOR_v3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2018-01-26T16:14:37Z</dcterms:modified>
</cp:coreProperties>
</file>