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/>
  <mc:AlternateContent xmlns:mc="http://schemas.openxmlformats.org/markup-compatibility/2006">
    <mc:Choice Requires="x15">
      <x15ac:absPath xmlns:x15ac="http://schemas.microsoft.com/office/spreadsheetml/2010/11/ac" url="C:\Users\ipor\HI\projects\current\hattrick\"/>
    </mc:Choice>
  </mc:AlternateContent>
  <xr:revisionPtr revIDLastSave="0" documentId="13_ncr:1_{AD4C6395-87F1-43EC-97BD-8AB89B75FCF4}" xr6:coauthVersionLast="36" xr6:coauthVersionMax="47" xr10:uidLastSave="{00000000-0000-0000-0000-000000000000}"/>
  <bookViews>
    <workbookView xWindow="2190" yWindow="-120" windowWidth="27840" windowHeight="16440" tabRatio="500" xr2:uid="{00000000-000D-0000-FFFF-FFFF00000000}"/>
  </bookViews>
  <sheets>
    <sheet name="Rocamora-LUKE" sheetId="51" r:id="rId1"/>
    <sheet name="SIMULADOR_v5" sheetId="31" r:id="rId2"/>
    <sheet name="SIMULADOR_v4" sheetId="10" r:id="rId3"/>
    <sheet name="Eventos" sheetId="32" r:id="rId4"/>
    <sheet name="SIMULADOR_sinJC" sheetId="8" r:id="rId5"/>
  </sheets>
  <calcPr calcId="191029"/>
  <extLs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I52" i="51" l="1"/>
  <c r="BI55" i="51" s="1"/>
  <c r="BI57" i="51" s="1"/>
  <c r="BM13" i="51" s="1"/>
  <c r="BF48" i="51"/>
  <c r="BF47" i="51"/>
  <c r="BF46" i="51"/>
  <c r="BF45" i="51"/>
  <c r="BE45" i="51"/>
  <c r="BE44" i="51"/>
  <c r="BD44" i="51"/>
  <c r="BE43" i="51"/>
  <c r="BF43" i="51" s="1"/>
  <c r="BD43" i="51"/>
  <c r="BC43" i="51"/>
  <c r="BF42" i="51"/>
  <c r="BE42" i="51"/>
  <c r="BD42" i="51"/>
  <c r="BC42" i="51"/>
  <c r="BF41" i="51"/>
  <c r="BE41" i="51"/>
  <c r="BD41" i="51"/>
  <c r="BC41" i="51"/>
  <c r="BF40" i="51"/>
  <c r="BE40" i="51"/>
  <c r="BD40" i="51"/>
  <c r="BC40" i="51"/>
  <c r="BC39" i="51"/>
  <c r="AS38" i="51"/>
  <c r="AR38" i="51"/>
  <c r="AQ38" i="51"/>
  <c r="AP38" i="51"/>
  <c r="AO38" i="51"/>
  <c r="AN38" i="51"/>
  <c r="AM38" i="51"/>
  <c r="AL38" i="51"/>
  <c r="AK38" i="51"/>
  <c r="AJ38" i="51"/>
  <c r="AI38" i="51"/>
  <c r="AH38" i="51"/>
  <c r="AG38" i="51"/>
  <c r="AF38" i="51"/>
  <c r="AE38" i="51"/>
  <c r="AD38" i="51"/>
  <c r="AC38" i="51"/>
  <c r="AB38" i="51"/>
  <c r="AA38" i="51"/>
  <c r="Z38" i="51"/>
  <c r="Y38" i="51"/>
  <c r="X38" i="51"/>
  <c r="W38" i="51"/>
  <c r="V38" i="51"/>
  <c r="U38" i="51"/>
  <c r="T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BI34" i="51"/>
  <c r="BI40" i="51" s="1"/>
  <c r="BI45" i="51" s="1"/>
  <c r="BI50" i="51" s="1"/>
  <c r="BM11" i="51" s="1"/>
  <c r="BQ38" i="51" s="1"/>
  <c r="BQ46" i="51" s="1"/>
  <c r="BF34" i="51"/>
  <c r="BF33" i="51"/>
  <c r="C33" i="51"/>
  <c r="B33" i="51"/>
  <c r="BF32" i="51"/>
  <c r="C32" i="51"/>
  <c r="B32" i="51"/>
  <c r="BE31" i="51"/>
  <c r="BI30" i="51"/>
  <c r="BI37" i="51" s="1"/>
  <c r="BI43" i="51" s="1"/>
  <c r="BI48" i="51" s="1"/>
  <c r="BI53" i="51" s="1"/>
  <c r="BI56" i="51" s="1"/>
  <c r="BI58" i="51" s="1"/>
  <c r="BI59" i="51" s="1"/>
  <c r="BF30" i="51"/>
  <c r="BE30" i="51"/>
  <c r="BF31" i="51" s="1"/>
  <c r="BD30" i="51"/>
  <c r="E30" i="51"/>
  <c r="D30" i="51"/>
  <c r="C30" i="51"/>
  <c r="B30" i="51"/>
  <c r="BI29" i="51"/>
  <c r="BI36" i="51" s="1"/>
  <c r="BI42" i="51" s="1"/>
  <c r="BI47" i="51" s="1"/>
  <c r="BF29" i="51"/>
  <c r="BE29" i="51"/>
  <c r="BD29" i="51"/>
  <c r="BC29" i="51"/>
  <c r="C29" i="51"/>
  <c r="B29" i="51"/>
  <c r="BI28" i="51"/>
  <c r="BI35" i="51" s="1"/>
  <c r="BI41" i="51" s="1"/>
  <c r="BI46" i="51" s="1"/>
  <c r="BI51" i="51" s="1"/>
  <c r="BI54" i="51" s="1"/>
  <c r="BF28" i="51"/>
  <c r="BE28" i="51"/>
  <c r="BD28" i="51"/>
  <c r="BC28" i="51"/>
  <c r="BI27" i="51"/>
  <c r="BF27" i="51"/>
  <c r="BE27" i="51"/>
  <c r="BD27" i="51"/>
  <c r="BC27" i="51"/>
  <c r="C27" i="51"/>
  <c r="B27" i="51"/>
  <c r="BI26" i="51"/>
  <c r="BI33" i="51" s="1"/>
  <c r="BI39" i="51" s="1"/>
  <c r="BI44" i="51" s="1"/>
  <c r="BF26" i="51"/>
  <c r="BE26" i="51"/>
  <c r="BD26" i="51"/>
  <c r="BC26" i="51"/>
  <c r="E26" i="51"/>
  <c r="E27" i="51" s="1"/>
  <c r="D26" i="51"/>
  <c r="D27" i="51" s="1"/>
  <c r="C26" i="51"/>
  <c r="B26" i="51"/>
  <c r="BI25" i="51"/>
  <c r="BI32" i="51" s="1"/>
  <c r="BI38" i="51" s="1"/>
  <c r="BC25" i="51"/>
  <c r="E25" i="51"/>
  <c r="D25" i="51"/>
  <c r="C25" i="51"/>
  <c r="B25" i="51"/>
  <c r="BI24" i="51"/>
  <c r="BI31" i="51" s="1"/>
  <c r="BI23" i="51"/>
  <c r="D23" i="51"/>
  <c r="B22" i="51"/>
  <c r="C22" i="51" s="1"/>
  <c r="G14" i="51" s="1"/>
  <c r="B20" i="51"/>
  <c r="B21" i="51" s="1"/>
  <c r="W16" i="51"/>
  <c r="V16" i="51"/>
  <c r="R16" i="51"/>
  <c r="Q16" i="51"/>
  <c r="P16" i="51"/>
  <c r="W15" i="51"/>
  <c r="V15" i="51"/>
  <c r="Q15" i="51"/>
  <c r="P15" i="51"/>
  <c r="W14" i="51"/>
  <c r="V14" i="51"/>
  <c r="Q14" i="51"/>
  <c r="P14" i="51"/>
  <c r="Q13" i="51"/>
  <c r="P13" i="51"/>
  <c r="BM12" i="51"/>
  <c r="BQ47" i="51" s="1"/>
  <c r="W12" i="51"/>
  <c r="V12" i="51"/>
  <c r="Q12" i="51"/>
  <c r="P12" i="51"/>
  <c r="BQ11" i="51"/>
  <c r="BQ15" i="51" s="1"/>
  <c r="BQ19" i="51" s="1"/>
  <c r="BQ25" i="51" s="1"/>
  <c r="BQ32" i="51" s="1"/>
  <c r="BQ40" i="51" s="1"/>
  <c r="Q11" i="51"/>
  <c r="P11" i="51"/>
  <c r="BQ10" i="51"/>
  <c r="BQ14" i="51" s="1"/>
  <c r="BI49" i="51" s="1"/>
  <c r="BQ24" i="51" s="1"/>
  <c r="BQ31" i="51" s="1"/>
  <c r="BQ39" i="51" s="1"/>
  <c r="BM14" i="51" s="1"/>
  <c r="BM10" i="51"/>
  <c r="BQ30" i="51" s="1"/>
  <c r="BQ37" i="51" s="1"/>
  <c r="BQ45" i="51" s="1"/>
  <c r="W10" i="51"/>
  <c r="V10" i="51"/>
  <c r="BM9" i="51"/>
  <c r="BQ23" i="51" s="1"/>
  <c r="BQ29" i="51" s="1"/>
  <c r="BQ36" i="51" s="1"/>
  <c r="BQ44" i="51" s="1"/>
  <c r="W9" i="51"/>
  <c r="V9" i="51"/>
  <c r="Q9" i="51"/>
  <c r="P9" i="51"/>
  <c r="BM8" i="51"/>
  <c r="BQ18" i="51" s="1"/>
  <c r="BQ22" i="51" s="1"/>
  <c r="BQ28" i="51" s="1"/>
  <c r="BQ35" i="51" s="1"/>
  <c r="BQ43" i="51" s="1"/>
  <c r="W8" i="51"/>
  <c r="V8" i="51"/>
  <c r="Q8" i="51"/>
  <c r="P8" i="51"/>
  <c r="BM7" i="51"/>
  <c r="BQ13" i="51" s="1"/>
  <c r="BQ17" i="51" s="1"/>
  <c r="BQ21" i="51" s="1"/>
  <c r="BQ27" i="51" s="1"/>
  <c r="BQ34" i="51" s="1"/>
  <c r="BQ42" i="51" s="1"/>
  <c r="W7" i="51"/>
  <c r="V7" i="51"/>
  <c r="Q7" i="51"/>
  <c r="P7" i="51"/>
  <c r="BQ6" i="51"/>
  <c r="BQ8" i="51" s="1"/>
  <c r="BM6" i="51"/>
  <c r="BQ9" i="51" s="1"/>
  <c r="BQ12" i="51" s="1"/>
  <c r="BQ16" i="51" s="1"/>
  <c r="BQ20" i="51" s="1"/>
  <c r="BQ26" i="51" s="1"/>
  <c r="BQ33" i="51" s="1"/>
  <c r="BQ41" i="51" s="1"/>
  <c r="W6" i="51"/>
  <c r="V6" i="51"/>
  <c r="Q6" i="51"/>
  <c r="P6" i="51"/>
  <c r="BQ5" i="51"/>
  <c r="BQ7" i="51" s="1"/>
  <c r="W5" i="51"/>
  <c r="V5" i="51"/>
  <c r="Q5" i="51"/>
  <c r="P5" i="51"/>
  <c r="W4" i="51"/>
  <c r="V4" i="51"/>
  <c r="Q4" i="51"/>
  <c r="P4" i="51"/>
  <c r="D3" i="51"/>
  <c r="Q1" i="51"/>
  <c r="P1" i="51"/>
  <c r="N1" i="51"/>
  <c r="N4" i="51" s="1"/>
  <c r="N6" i="51" l="1"/>
  <c r="R6" i="51" s="1"/>
  <c r="N9" i="51"/>
  <c r="R9" i="51" s="1"/>
  <c r="R15" i="51"/>
  <c r="T15" i="51"/>
  <c r="X15" i="51" s="1"/>
  <c r="AA15" i="51" s="1"/>
  <c r="AB15" i="51" s="1"/>
  <c r="W11" i="51"/>
  <c r="R4" i="51"/>
  <c r="V11" i="51"/>
  <c r="B31" i="51"/>
  <c r="W25" i="51" s="1"/>
  <c r="N5" i="51"/>
  <c r="R5" i="51" s="1"/>
  <c r="R11" i="51"/>
  <c r="C31" i="51"/>
  <c r="W39" i="51" s="1"/>
  <c r="N15" i="51"/>
  <c r="N14" i="51"/>
  <c r="R14" i="51" s="1"/>
  <c r="N12" i="51"/>
  <c r="R12" i="51" s="1"/>
  <c r="N11" i="51"/>
  <c r="N10" i="51"/>
  <c r="R10" i="51" s="1"/>
  <c r="N13" i="51"/>
  <c r="R13" i="51" s="1"/>
  <c r="N7" i="51"/>
  <c r="R7" i="51" s="1"/>
  <c r="E23" i="51"/>
  <c r="N8" i="51"/>
  <c r="R8" i="51" s="1"/>
  <c r="B23" i="51"/>
  <c r="G13" i="51"/>
  <c r="BF44" i="51"/>
  <c r="AK18" i="31"/>
  <c r="AE18" i="31"/>
  <c r="Q11" i="31"/>
  <c r="P11" i="31"/>
  <c r="T49" i="51" l="1"/>
  <c r="T45" i="51"/>
  <c r="T46" i="51"/>
  <c r="T41" i="51"/>
  <c r="T43" i="51"/>
  <c r="T42" i="51"/>
  <c r="T48" i="51"/>
  <c r="T39" i="51"/>
  <c r="T44" i="51"/>
  <c r="N2" i="51"/>
  <c r="R2" i="51"/>
  <c r="S8" i="51" s="1"/>
  <c r="B24" i="51"/>
  <c r="B34" i="51"/>
  <c r="T16" i="51" s="1"/>
  <c r="X16" i="51" s="1"/>
  <c r="AA16" i="51" s="1"/>
  <c r="T40" i="51"/>
  <c r="C23" i="51"/>
  <c r="T47" i="51"/>
  <c r="W11" i="31"/>
  <c r="V11" i="31"/>
  <c r="S13" i="51" l="1"/>
  <c r="U13" i="51" s="1"/>
  <c r="Y13" i="51" s="1"/>
  <c r="AG13" i="51" s="1"/>
  <c r="U8" i="51"/>
  <c r="Y8" i="51" s="1"/>
  <c r="AG8" i="51" s="1"/>
  <c r="T8" i="51"/>
  <c r="X8" i="51" s="1"/>
  <c r="AA8" i="51" s="1"/>
  <c r="T37" i="51"/>
  <c r="S10" i="51"/>
  <c r="C34" i="51"/>
  <c r="U16" i="51" s="1"/>
  <c r="Y16" i="51" s="1"/>
  <c r="AG16" i="51" s="1"/>
  <c r="T25" i="51"/>
  <c r="T30" i="51"/>
  <c r="C24" i="51"/>
  <c r="T27" i="51"/>
  <c r="T33" i="51"/>
  <c r="T35" i="51"/>
  <c r="T28" i="51"/>
  <c r="T34" i="51"/>
  <c r="T29" i="51"/>
  <c r="T26" i="51"/>
  <c r="T32" i="51"/>
  <c r="T31" i="51"/>
  <c r="S6" i="51"/>
  <c r="S12" i="51"/>
  <c r="S15" i="51"/>
  <c r="U15" i="51" s="1"/>
  <c r="Y15" i="51" s="1"/>
  <c r="AG15" i="51" s="1"/>
  <c r="S4" i="51"/>
  <c r="S7" i="51"/>
  <c r="S9" i="51"/>
  <c r="S5" i="51"/>
  <c r="S16" i="51"/>
  <c r="S14" i="51"/>
  <c r="AD16" i="51"/>
  <c r="AB16" i="51"/>
  <c r="S11" i="51"/>
  <c r="N27" i="51"/>
  <c r="P27" i="51" s="1"/>
  <c r="N25" i="51"/>
  <c r="N30" i="51"/>
  <c r="P30" i="51" s="1"/>
  <c r="R35" i="51" s="1"/>
  <c r="N29" i="51"/>
  <c r="P29" i="51" s="1"/>
  <c r="N26" i="51"/>
  <c r="N28" i="51"/>
  <c r="P28" i="51" s="1"/>
  <c r="W16" i="31"/>
  <c r="V16" i="31"/>
  <c r="R16" i="31"/>
  <c r="Q16" i="31"/>
  <c r="P16" i="31"/>
  <c r="C30" i="31"/>
  <c r="B30" i="31"/>
  <c r="AJ15" i="51" l="1"/>
  <c r="AH15" i="51"/>
  <c r="R32" i="51"/>
  <c r="T13" i="51"/>
  <c r="X13" i="51" s="1"/>
  <c r="AA13" i="51" s="1"/>
  <c r="AB13" i="51" s="1"/>
  <c r="U11" i="51"/>
  <c r="Y11" i="51" s="1"/>
  <c r="AG11" i="51" s="1"/>
  <c r="T11" i="51"/>
  <c r="X11" i="51" s="1"/>
  <c r="AA11" i="51" s="1"/>
  <c r="N43" i="51"/>
  <c r="P43" i="51" s="1"/>
  <c r="N41" i="51"/>
  <c r="P41" i="51" s="1"/>
  <c r="N44" i="51"/>
  <c r="P44" i="51" s="1"/>
  <c r="N40" i="51"/>
  <c r="P40" i="51" s="1"/>
  <c r="N39" i="51"/>
  <c r="N42" i="51"/>
  <c r="P42" i="51" s="1"/>
  <c r="R33" i="51"/>
  <c r="AH8" i="51"/>
  <c r="P26" i="51"/>
  <c r="R31" i="51" s="1"/>
  <c r="U7" i="51"/>
  <c r="Y7" i="51" s="1"/>
  <c r="AG7" i="51" s="1"/>
  <c r="T7" i="51"/>
  <c r="X7" i="51" s="1"/>
  <c r="AA7" i="51" s="1"/>
  <c r="T23" i="51"/>
  <c r="N23" i="51"/>
  <c r="P25" i="51"/>
  <c r="T12" i="51"/>
  <c r="X12" i="51" s="1"/>
  <c r="AA12" i="51" s="1"/>
  <c r="U12" i="51"/>
  <c r="Y12" i="51" s="1"/>
  <c r="AG12" i="51" s="1"/>
  <c r="T10" i="51"/>
  <c r="X10" i="51" s="1"/>
  <c r="AA10" i="51" s="1"/>
  <c r="U10" i="51"/>
  <c r="Y10" i="51" s="1"/>
  <c r="AG10" i="51" s="1"/>
  <c r="U6" i="51"/>
  <c r="Y6" i="51" s="1"/>
  <c r="AG6" i="51" s="1"/>
  <c r="T6" i="51"/>
  <c r="X6" i="51" s="1"/>
  <c r="AA6" i="51" s="1"/>
  <c r="T5" i="51"/>
  <c r="X5" i="51" s="1"/>
  <c r="AA5" i="51" s="1"/>
  <c r="U5" i="51"/>
  <c r="Y5" i="51" s="1"/>
  <c r="AG5" i="51" s="1"/>
  <c r="AB8" i="51"/>
  <c r="U9" i="51"/>
  <c r="Y9" i="51" s="1"/>
  <c r="AG9" i="51" s="1"/>
  <c r="T9" i="51"/>
  <c r="X9" i="51" s="1"/>
  <c r="AA9" i="51" s="1"/>
  <c r="R34" i="51"/>
  <c r="S2" i="51"/>
  <c r="U4" i="51"/>
  <c r="T4" i="51"/>
  <c r="AJ16" i="51"/>
  <c r="AH16" i="51"/>
  <c r="U14" i="51"/>
  <c r="Y14" i="51" s="1"/>
  <c r="AG14" i="51" s="1"/>
  <c r="T14" i="51"/>
  <c r="X14" i="51" s="1"/>
  <c r="AA14" i="51" s="1"/>
  <c r="AH13" i="51"/>
  <c r="C33" i="31"/>
  <c r="B33" i="31"/>
  <c r="AB9" i="51" l="1"/>
  <c r="AH9" i="51"/>
  <c r="AH6" i="51"/>
  <c r="R25" i="51"/>
  <c r="R30" i="51"/>
  <c r="P23" i="51"/>
  <c r="R29" i="51"/>
  <c r="R28" i="51"/>
  <c r="R27" i="51"/>
  <c r="AB6" i="51"/>
  <c r="R26" i="51"/>
  <c r="AB5" i="51"/>
  <c r="AH12" i="51"/>
  <c r="R47" i="51"/>
  <c r="R49" i="51"/>
  <c r="R48" i="51"/>
  <c r="R46" i="51"/>
  <c r="R45" i="51"/>
  <c r="U2" i="51"/>
  <c r="Y4" i="51"/>
  <c r="AB11" i="51"/>
  <c r="AB12" i="51"/>
  <c r="T2" i="51"/>
  <c r="X4" i="51"/>
  <c r="AB14" i="51"/>
  <c r="AH10" i="51"/>
  <c r="AB7" i="51"/>
  <c r="AH14" i="51"/>
  <c r="AH5" i="51"/>
  <c r="AB10" i="51"/>
  <c r="AH7" i="51"/>
  <c r="P39" i="51"/>
  <c r="R42" i="51" s="1"/>
  <c r="N37" i="51"/>
  <c r="AH11" i="51"/>
  <c r="W16" i="32"/>
  <c r="V16" i="32"/>
  <c r="U16" i="32"/>
  <c r="T16" i="32"/>
  <c r="X16" i="32" s="1"/>
  <c r="R43" i="51" l="1"/>
  <c r="R40" i="51"/>
  <c r="R44" i="51"/>
  <c r="R41" i="51"/>
  <c r="V27" i="51"/>
  <c r="V28" i="51"/>
  <c r="R39" i="51"/>
  <c r="P37" i="51"/>
  <c r="Y2" i="51"/>
  <c r="AG4" i="51"/>
  <c r="V25" i="51"/>
  <c r="R23" i="51"/>
  <c r="V31" i="51"/>
  <c r="V32" i="51"/>
  <c r="V29" i="51"/>
  <c r="V34" i="51"/>
  <c r="V33" i="51"/>
  <c r="V30" i="51"/>
  <c r="AA4" i="51"/>
  <c r="X2" i="51"/>
  <c r="V26" i="51"/>
  <c r="R16" i="32"/>
  <c r="U15" i="32"/>
  <c r="V15" i="32" s="1"/>
  <c r="T15" i="32"/>
  <c r="R15" i="32"/>
  <c r="U14" i="32"/>
  <c r="T14" i="32"/>
  <c r="R14" i="32"/>
  <c r="U13" i="32"/>
  <c r="T13" i="32"/>
  <c r="R13" i="32"/>
  <c r="U12" i="32"/>
  <c r="T12" i="32"/>
  <c r="R12" i="32"/>
  <c r="R11" i="32"/>
  <c r="V11" i="32" s="1"/>
  <c r="U10" i="32"/>
  <c r="T10" i="32"/>
  <c r="R10" i="32"/>
  <c r="U9" i="32"/>
  <c r="T9" i="32"/>
  <c r="R9" i="32"/>
  <c r="U8" i="32"/>
  <c r="T8" i="32"/>
  <c r="R8" i="32"/>
  <c r="U7" i="32"/>
  <c r="T7" i="32"/>
  <c r="R7" i="32"/>
  <c r="U6" i="32"/>
  <c r="T6" i="32"/>
  <c r="R6" i="32"/>
  <c r="U5" i="32"/>
  <c r="T5" i="32"/>
  <c r="R5" i="32"/>
  <c r="R3" i="32" s="1"/>
  <c r="U2" i="32"/>
  <c r="T2" i="32"/>
  <c r="R2" i="32"/>
  <c r="Q1" i="31"/>
  <c r="P1" i="31"/>
  <c r="P15" i="31"/>
  <c r="Q6" i="31"/>
  <c r="E11" i="32"/>
  <c r="E12" i="32"/>
  <c r="E13" i="32"/>
  <c r="E14" i="32"/>
  <c r="B27" i="32" s="1"/>
  <c r="C33" i="32" s="1"/>
  <c r="D33" i="32" s="1"/>
  <c r="E33" i="32" s="1"/>
  <c r="E7" i="32"/>
  <c r="E8" i="32"/>
  <c r="E4" i="32"/>
  <c r="E5" i="32"/>
  <c r="E6" i="32"/>
  <c r="E3" i="32"/>
  <c r="AG29" i="51" l="1"/>
  <c r="AG28" i="51"/>
  <c r="AG26" i="51"/>
  <c r="AG27" i="51"/>
  <c r="AG25" i="51"/>
  <c r="R37" i="51"/>
  <c r="V39" i="51"/>
  <c r="V43" i="51"/>
  <c r="V46" i="51"/>
  <c r="V45" i="51"/>
  <c r="V48" i="51"/>
  <c r="V44" i="51"/>
  <c r="V47" i="51"/>
  <c r="AD4" i="51"/>
  <c r="AC4" i="51"/>
  <c r="AB4" i="51"/>
  <c r="V42" i="51"/>
  <c r="V40" i="51"/>
  <c r="AA26" i="51"/>
  <c r="AA25" i="51"/>
  <c r="AM27" i="51"/>
  <c r="AM32" i="51"/>
  <c r="AM29" i="51"/>
  <c r="AM31" i="51"/>
  <c r="AM28" i="51"/>
  <c r="AM25" i="51"/>
  <c r="AM26" i="51"/>
  <c r="AM30" i="51"/>
  <c r="AE25" i="51"/>
  <c r="AE26" i="51"/>
  <c r="AE28" i="51"/>
  <c r="AE27" i="51"/>
  <c r="AK29" i="51"/>
  <c r="AK28" i="51"/>
  <c r="AK26" i="51"/>
  <c r="AK27" i="51"/>
  <c r="AK25" i="51"/>
  <c r="AK31" i="51"/>
  <c r="AK30" i="51"/>
  <c r="V41" i="51"/>
  <c r="AC26" i="51"/>
  <c r="AC27" i="51"/>
  <c r="AC25" i="51"/>
  <c r="AI27" i="51"/>
  <c r="AI29" i="51"/>
  <c r="AI28" i="51"/>
  <c r="AI30" i="51"/>
  <c r="AI26" i="51"/>
  <c r="AI25" i="51"/>
  <c r="V23" i="51"/>
  <c r="V35" i="51" s="1"/>
  <c r="V22" i="51" s="1"/>
  <c r="Y25" i="51"/>
  <c r="AO32" i="51"/>
  <c r="AO30" i="51"/>
  <c r="AO29" i="51"/>
  <c r="AO31" i="51"/>
  <c r="AO28" i="51"/>
  <c r="AO27" i="51"/>
  <c r="AO25" i="51"/>
  <c r="AO26" i="51"/>
  <c r="AO33" i="51"/>
  <c r="AJ4" i="51"/>
  <c r="AI4" i="51"/>
  <c r="AH4" i="51"/>
  <c r="AQ28" i="51"/>
  <c r="AQ34" i="51"/>
  <c r="AQ30" i="51"/>
  <c r="AQ29" i="51"/>
  <c r="AQ27" i="51"/>
  <c r="AQ32" i="51"/>
  <c r="AQ33" i="51"/>
  <c r="AQ26" i="51"/>
  <c r="AQ25" i="51"/>
  <c r="AQ31" i="51"/>
  <c r="V14" i="32"/>
  <c r="V9" i="32"/>
  <c r="V13" i="32"/>
  <c r="V10" i="32"/>
  <c r="V8" i="32"/>
  <c r="V12" i="32"/>
  <c r="V6" i="32"/>
  <c r="V7" i="32"/>
  <c r="V5" i="32"/>
  <c r="B26" i="32"/>
  <c r="C26" i="32" s="1"/>
  <c r="D26" i="32" s="1"/>
  <c r="E26" i="32" s="1"/>
  <c r="F26" i="32" s="1"/>
  <c r="B19" i="32"/>
  <c r="C19" i="32" s="1"/>
  <c r="D19" i="32" s="1"/>
  <c r="E19" i="32" s="1"/>
  <c r="F19" i="32" s="1"/>
  <c r="B25" i="32"/>
  <c r="F25" i="32" s="1"/>
  <c r="D17" i="32"/>
  <c r="C25" i="32"/>
  <c r="D25" i="32" s="1"/>
  <c r="E25" i="32" s="1"/>
  <c r="C32" i="32"/>
  <c r="D32" i="32" s="1"/>
  <c r="E32" i="32" s="1"/>
  <c r="C27" i="32"/>
  <c r="D27" i="32" s="1"/>
  <c r="E27" i="32" s="1"/>
  <c r="F27" i="32" s="1"/>
  <c r="BF48" i="31"/>
  <c r="BF47" i="31"/>
  <c r="BE45" i="31"/>
  <c r="BF46" i="31" s="1"/>
  <c r="BE44" i="31"/>
  <c r="BF45" i="31" s="1"/>
  <c r="BD44" i="31"/>
  <c r="BE43" i="31"/>
  <c r="BF44" i="31" s="1"/>
  <c r="BD43" i="31"/>
  <c r="BC43" i="31"/>
  <c r="BE42" i="31"/>
  <c r="BD42" i="31"/>
  <c r="BC42" i="31"/>
  <c r="BF41" i="31"/>
  <c r="BE41" i="31"/>
  <c r="BF42" i="31" s="1"/>
  <c r="BD41" i="31"/>
  <c r="BC41" i="31"/>
  <c r="BF40" i="31"/>
  <c r="BE40" i="31"/>
  <c r="BD40" i="31"/>
  <c r="BC40" i="31"/>
  <c r="BC39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BF34" i="31"/>
  <c r="BF33" i="31"/>
  <c r="C32" i="31"/>
  <c r="B32" i="31"/>
  <c r="BE31" i="31"/>
  <c r="BF32" i="31" s="1"/>
  <c r="BI30" i="31"/>
  <c r="BI37" i="31" s="1"/>
  <c r="BI43" i="31" s="1"/>
  <c r="BI48" i="31" s="1"/>
  <c r="BI53" i="31" s="1"/>
  <c r="BI56" i="31" s="1"/>
  <c r="BI58" i="31" s="1"/>
  <c r="BI59" i="31" s="1"/>
  <c r="BE30" i="31"/>
  <c r="BF31" i="31" s="1"/>
  <c r="BD30" i="31"/>
  <c r="E30" i="31"/>
  <c r="D30" i="31"/>
  <c r="BI29" i="31"/>
  <c r="BI36" i="31" s="1"/>
  <c r="BI42" i="31" s="1"/>
  <c r="BI47" i="31" s="1"/>
  <c r="BI52" i="31" s="1"/>
  <c r="BI55" i="31" s="1"/>
  <c r="BI57" i="31" s="1"/>
  <c r="BM13" i="31" s="1"/>
  <c r="BE29" i="31"/>
  <c r="BD29" i="31"/>
  <c r="BC29" i="31"/>
  <c r="C29" i="31"/>
  <c r="B29" i="31"/>
  <c r="BI28" i="31"/>
  <c r="BI35" i="31" s="1"/>
  <c r="BI41" i="31" s="1"/>
  <c r="BI46" i="31" s="1"/>
  <c r="BI51" i="31" s="1"/>
  <c r="BI54" i="31" s="1"/>
  <c r="BM12" i="31" s="1"/>
  <c r="BQ47" i="31" s="1"/>
  <c r="BE28" i="31"/>
  <c r="BF29" i="31" s="1"/>
  <c r="BD28" i="31"/>
  <c r="BC28" i="31"/>
  <c r="BI27" i="31"/>
  <c r="BI34" i="31" s="1"/>
  <c r="BI40" i="31" s="1"/>
  <c r="BI45" i="31" s="1"/>
  <c r="BI50" i="31" s="1"/>
  <c r="BF27" i="31"/>
  <c r="BE27" i="31"/>
  <c r="BF28" i="31" s="1"/>
  <c r="BD27" i="31"/>
  <c r="BC27" i="31"/>
  <c r="C27" i="31"/>
  <c r="B27" i="31"/>
  <c r="BI26" i="31"/>
  <c r="BI33" i="31" s="1"/>
  <c r="BI39" i="31" s="1"/>
  <c r="BI44" i="31" s="1"/>
  <c r="BM10" i="31" s="1"/>
  <c r="BQ30" i="31" s="1"/>
  <c r="BQ37" i="31" s="1"/>
  <c r="BQ45" i="31" s="1"/>
  <c r="BF26" i="31"/>
  <c r="BE26" i="31"/>
  <c r="BD26" i="31"/>
  <c r="BC26" i="31"/>
  <c r="E26" i="31"/>
  <c r="E27" i="31" s="1"/>
  <c r="D26" i="31"/>
  <c r="C26" i="31"/>
  <c r="B26" i="31"/>
  <c r="BI25" i="31"/>
  <c r="BI32" i="31" s="1"/>
  <c r="BI38" i="31" s="1"/>
  <c r="BM9" i="31" s="1"/>
  <c r="BQ23" i="31" s="1"/>
  <c r="BQ29" i="31" s="1"/>
  <c r="BQ36" i="31" s="1"/>
  <c r="BQ44" i="31" s="1"/>
  <c r="BC25" i="31"/>
  <c r="E25" i="31"/>
  <c r="D25" i="31"/>
  <c r="C25" i="31"/>
  <c r="B25" i="31"/>
  <c r="BI24" i="31"/>
  <c r="BI31" i="31" s="1"/>
  <c r="BM8" i="31" s="1"/>
  <c r="BI23" i="31"/>
  <c r="B22" i="31"/>
  <c r="C22" i="31" s="1"/>
  <c r="B20" i="31"/>
  <c r="B21" i="31" s="1"/>
  <c r="BQ18" i="31"/>
  <c r="BQ22" i="31" s="1"/>
  <c r="BQ28" i="31" s="1"/>
  <c r="BQ35" i="31" s="1"/>
  <c r="BQ43" i="31" s="1"/>
  <c r="W15" i="31"/>
  <c r="V15" i="31"/>
  <c r="Q15" i="31"/>
  <c r="R15" i="31" s="1"/>
  <c r="W14" i="31"/>
  <c r="V14" i="31"/>
  <c r="Q14" i="31"/>
  <c r="P14" i="31"/>
  <c r="BQ13" i="31"/>
  <c r="BQ17" i="31" s="1"/>
  <c r="BQ21" i="31" s="1"/>
  <c r="BQ27" i="31" s="1"/>
  <c r="BQ34" i="31" s="1"/>
  <c r="BQ42" i="31" s="1"/>
  <c r="Q13" i="31"/>
  <c r="P13" i="31"/>
  <c r="W12" i="31"/>
  <c r="V12" i="31"/>
  <c r="Q12" i="31"/>
  <c r="P12" i="31"/>
  <c r="BM11" i="31"/>
  <c r="BQ38" i="31" s="1"/>
  <c r="BQ46" i="31" s="1"/>
  <c r="W10" i="31"/>
  <c r="V10" i="31"/>
  <c r="W9" i="31"/>
  <c r="V9" i="31"/>
  <c r="Q9" i="31"/>
  <c r="P9" i="31"/>
  <c r="W8" i="31"/>
  <c r="V8" i="31"/>
  <c r="Q8" i="31"/>
  <c r="P8" i="31"/>
  <c r="BM7" i="31"/>
  <c r="W7" i="31"/>
  <c r="V7" i="31"/>
  <c r="Q7" i="31"/>
  <c r="P7" i="31"/>
  <c r="BQ6" i="31"/>
  <c r="BQ8" i="31" s="1"/>
  <c r="BQ11" i="31" s="1"/>
  <c r="BQ15" i="31" s="1"/>
  <c r="BQ19" i="31" s="1"/>
  <c r="BQ25" i="31" s="1"/>
  <c r="BQ32" i="31" s="1"/>
  <c r="BQ40" i="31" s="1"/>
  <c r="BM6" i="31"/>
  <c r="BQ9" i="31" s="1"/>
  <c r="BQ12" i="31" s="1"/>
  <c r="BQ16" i="31" s="1"/>
  <c r="BQ20" i="31" s="1"/>
  <c r="BQ26" i="31" s="1"/>
  <c r="BQ33" i="31" s="1"/>
  <c r="BQ41" i="31" s="1"/>
  <c r="W6" i="31"/>
  <c r="V6" i="31"/>
  <c r="P6" i="31"/>
  <c r="BQ5" i="31"/>
  <c r="BQ7" i="31" s="1"/>
  <c r="BQ10" i="31" s="1"/>
  <c r="BQ14" i="31" s="1"/>
  <c r="BI49" i="31" s="1"/>
  <c r="BQ24" i="31" s="1"/>
  <c r="BQ31" i="31" s="1"/>
  <c r="BQ39" i="31" s="1"/>
  <c r="BM14" i="31" s="1"/>
  <c r="W5" i="31"/>
  <c r="V5" i="31"/>
  <c r="Q5" i="31"/>
  <c r="P5" i="31"/>
  <c r="W4" i="31"/>
  <c r="V4" i="31"/>
  <c r="Q4" i="31"/>
  <c r="P4" i="31"/>
  <c r="D3" i="31"/>
  <c r="N1" i="31"/>
  <c r="N11" i="31" s="1"/>
  <c r="AC23" i="51" l="1"/>
  <c r="AG39" i="51"/>
  <c r="AG42" i="51"/>
  <c r="AG43" i="51"/>
  <c r="AG41" i="51"/>
  <c r="AG40" i="51"/>
  <c r="V37" i="51"/>
  <c r="V49" i="51" s="1"/>
  <c r="Y39" i="51"/>
  <c r="AK23" i="51"/>
  <c r="AE23" i="51"/>
  <c r="AO41" i="51"/>
  <c r="AO40" i="51"/>
  <c r="AO43" i="51"/>
  <c r="AO46" i="51"/>
  <c r="AO45" i="51"/>
  <c r="AO42" i="51"/>
  <c r="AO44" i="51"/>
  <c r="AO39" i="51"/>
  <c r="AO47" i="51"/>
  <c r="Y23" i="51"/>
  <c r="AA23" i="51"/>
  <c r="AI39" i="51"/>
  <c r="AI44" i="51"/>
  <c r="AI41" i="51"/>
  <c r="AI40" i="51"/>
  <c r="AI43" i="51"/>
  <c r="AI42" i="51"/>
  <c r="AG23" i="51"/>
  <c r="AO23" i="51"/>
  <c r="AQ48" i="51"/>
  <c r="AQ46" i="51"/>
  <c r="AQ40" i="51"/>
  <c r="AQ45" i="51"/>
  <c r="AQ39" i="51"/>
  <c r="AQ41" i="51"/>
  <c r="AQ44" i="51"/>
  <c r="AQ47" i="51"/>
  <c r="AQ43" i="51"/>
  <c r="AQ42" i="51"/>
  <c r="AS34" i="51"/>
  <c r="J34" i="51" s="1"/>
  <c r="AS25" i="51"/>
  <c r="AS32" i="51"/>
  <c r="J32" i="51" s="1"/>
  <c r="AS28" i="51"/>
  <c r="J28" i="51" s="1"/>
  <c r="AS33" i="51"/>
  <c r="J33" i="51" s="1"/>
  <c r="AS29" i="51"/>
  <c r="AS30" i="51"/>
  <c r="J30" i="51" s="1"/>
  <c r="AS26" i="51"/>
  <c r="J26" i="51" s="1"/>
  <c r="AS27" i="51"/>
  <c r="J27" i="51" s="1"/>
  <c r="AS35" i="51"/>
  <c r="J35" i="51" s="1"/>
  <c r="AS31" i="51"/>
  <c r="J31" i="51" s="1"/>
  <c r="AM23" i="51"/>
  <c r="AA40" i="51"/>
  <c r="AA39" i="51"/>
  <c r="AK40" i="51"/>
  <c r="AK39" i="51"/>
  <c r="AK45" i="51"/>
  <c r="AK41" i="51"/>
  <c r="AK43" i="51"/>
  <c r="AK42" i="51"/>
  <c r="AK44" i="51"/>
  <c r="AQ23" i="51"/>
  <c r="AI23" i="51"/>
  <c r="AE39" i="51"/>
  <c r="AE40" i="51"/>
  <c r="AE42" i="51"/>
  <c r="AE41" i="51"/>
  <c r="AH18" i="51"/>
  <c r="AI15" i="51"/>
  <c r="AI8" i="51"/>
  <c r="AI13" i="51"/>
  <c r="AI16" i="51"/>
  <c r="AJ14" i="51"/>
  <c r="AJ7" i="51"/>
  <c r="AI5" i="51"/>
  <c r="AI14" i="51"/>
  <c r="AJ12" i="51"/>
  <c r="AJ6" i="51"/>
  <c r="AI9" i="51"/>
  <c r="AI12" i="51"/>
  <c r="AI10" i="51"/>
  <c r="AI11" i="51"/>
  <c r="AI6" i="51"/>
  <c r="AJ8" i="51"/>
  <c r="AJ11" i="51"/>
  <c r="AI7" i="51"/>
  <c r="AJ10" i="51"/>
  <c r="AJ5" i="51"/>
  <c r="AJ9" i="51"/>
  <c r="AJ13" i="51"/>
  <c r="AC41" i="51"/>
  <c r="AC40" i="51"/>
  <c r="AC39" i="51"/>
  <c r="AB18" i="51"/>
  <c r="AD15" i="51"/>
  <c r="AC16" i="51"/>
  <c r="AC15" i="51"/>
  <c r="AD6" i="51"/>
  <c r="AD12" i="51"/>
  <c r="AD7" i="51"/>
  <c r="AC14" i="51"/>
  <c r="AD9" i="51"/>
  <c r="AD10" i="51"/>
  <c r="AD8" i="51"/>
  <c r="AD14" i="51"/>
  <c r="AC5" i="51"/>
  <c r="AC12" i="51"/>
  <c r="AC9" i="51"/>
  <c r="AC8" i="51"/>
  <c r="AC7" i="51"/>
  <c r="AD5" i="51"/>
  <c r="AD11" i="51"/>
  <c r="AC13" i="51"/>
  <c r="AC11" i="51"/>
  <c r="AD13" i="51"/>
  <c r="AC10" i="51"/>
  <c r="AC6" i="51"/>
  <c r="AM39" i="51"/>
  <c r="AM45" i="51"/>
  <c r="AM46" i="51"/>
  <c r="AM40" i="51"/>
  <c r="AM43" i="51"/>
  <c r="AM44" i="51"/>
  <c r="AM42" i="51"/>
  <c r="AM41" i="51"/>
  <c r="J29" i="51"/>
  <c r="BF43" i="31"/>
  <c r="BF30" i="31"/>
  <c r="E23" i="31"/>
  <c r="N5" i="31"/>
  <c r="R5" i="31" s="1"/>
  <c r="N12" i="31"/>
  <c r="R12" i="31" s="1"/>
  <c r="N4" i="31"/>
  <c r="R4" i="31" s="1"/>
  <c r="N7" i="31"/>
  <c r="N6" i="31"/>
  <c r="V3" i="32"/>
  <c r="C31" i="32"/>
  <c r="D31" i="32" s="1"/>
  <c r="E31" i="32" s="1"/>
  <c r="B23" i="31"/>
  <c r="G14" i="31"/>
  <c r="G13" i="31"/>
  <c r="R6" i="31"/>
  <c r="R11" i="31"/>
  <c r="N9" i="31"/>
  <c r="R9" i="31" s="1"/>
  <c r="D27" i="31"/>
  <c r="D23" i="31" s="1"/>
  <c r="N10" i="31"/>
  <c r="R10" i="31" s="1"/>
  <c r="C31" i="31"/>
  <c r="W39" i="31" s="1"/>
  <c r="R7" i="31"/>
  <c r="N15" i="31"/>
  <c r="N14" i="31"/>
  <c r="R14" i="31" s="1"/>
  <c r="N13" i="31"/>
  <c r="R13" i="31" s="1"/>
  <c r="N8" i="31"/>
  <c r="AJ18" i="51" l="1"/>
  <c r="L41" i="51" s="1"/>
  <c r="AD18" i="51"/>
  <c r="L27" i="51" s="1"/>
  <c r="AI18" i="51"/>
  <c r="L40" i="51" s="1"/>
  <c r="AC18" i="51"/>
  <c r="L26" i="51" s="1"/>
  <c r="L39" i="51"/>
  <c r="AI37" i="51"/>
  <c r="Y37" i="51"/>
  <c r="AS40" i="51"/>
  <c r="J40" i="51" s="1"/>
  <c r="AS46" i="51"/>
  <c r="J46" i="51" s="1"/>
  <c r="AS47" i="51"/>
  <c r="J47" i="51" s="1"/>
  <c r="AS39" i="51"/>
  <c r="AS48" i="51"/>
  <c r="J48" i="51" s="1"/>
  <c r="AS42" i="51"/>
  <c r="J42" i="51" s="1"/>
  <c r="AS43" i="51"/>
  <c r="J43" i="51" s="1"/>
  <c r="AS45" i="51"/>
  <c r="J45" i="51" s="1"/>
  <c r="AS41" i="51"/>
  <c r="J41" i="51" s="1"/>
  <c r="AS44" i="51"/>
  <c r="J44" i="51" s="1"/>
  <c r="AS49" i="51"/>
  <c r="J49" i="51" s="1"/>
  <c r="AG37" i="51"/>
  <c r="AE37" i="51"/>
  <c r="AS23" i="51"/>
  <c r="AQ37" i="51"/>
  <c r="AS22" i="51"/>
  <c r="V36" i="51"/>
  <c r="AK37" i="51"/>
  <c r="J25" i="51"/>
  <c r="J23" i="51" s="1"/>
  <c r="AM37" i="51"/>
  <c r="L25" i="51"/>
  <c r="AC37" i="51"/>
  <c r="AA37" i="51"/>
  <c r="AO37" i="51"/>
  <c r="B24" i="31"/>
  <c r="N30" i="31" s="1"/>
  <c r="P30" i="31" s="1"/>
  <c r="R35" i="31" s="1"/>
  <c r="C23" i="31"/>
  <c r="N26" i="31"/>
  <c r="P26" i="31" s="1"/>
  <c r="B34" i="31"/>
  <c r="N2" i="31"/>
  <c r="W6" i="32"/>
  <c r="X6" i="32" s="1"/>
  <c r="Y16" i="32"/>
  <c r="W10" i="32"/>
  <c r="X10" i="32" s="1"/>
  <c r="W13" i="32"/>
  <c r="X13" i="32" s="1"/>
  <c r="W8" i="32"/>
  <c r="Y8" i="32" s="1"/>
  <c r="W11" i="32"/>
  <c r="X11" i="32" s="1"/>
  <c r="W9" i="32"/>
  <c r="X9" i="32" s="1"/>
  <c r="W7" i="32"/>
  <c r="X7" i="32" s="1"/>
  <c r="W15" i="32"/>
  <c r="X15" i="32" s="1"/>
  <c r="W5" i="32"/>
  <c r="Y5" i="32" s="1"/>
  <c r="W14" i="32"/>
  <c r="X14" i="32" s="1"/>
  <c r="W12" i="32"/>
  <c r="X12" i="32" s="1"/>
  <c r="N25" i="31"/>
  <c r="P25" i="31" s="1"/>
  <c r="N27" i="31"/>
  <c r="P27" i="31" s="1"/>
  <c r="N28" i="31"/>
  <c r="P28" i="31" s="1"/>
  <c r="N29" i="31"/>
  <c r="P29" i="31" s="1"/>
  <c r="R34" i="31" s="1"/>
  <c r="R8" i="31"/>
  <c r="T34" i="31"/>
  <c r="B31" i="31"/>
  <c r="T28" i="31"/>
  <c r="T33" i="31"/>
  <c r="C34" i="31"/>
  <c r="U16" i="31" s="1"/>
  <c r="Y16" i="31" s="1"/>
  <c r="AG16" i="31" s="1"/>
  <c r="T26" i="31"/>
  <c r="T30" i="31"/>
  <c r="T29" i="31"/>
  <c r="C24" i="31"/>
  <c r="T32" i="31"/>
  <c r="T31" i="31"/>
  <c r="T35" i="31"/>
  <c r="AE18" i="51" l="1"/>
  <c r="L28" i="51" s="1"/>
  <c r="H31" i="51" s="1"/>
  <c r="AK18" i="51"/>
  <c r="L42" i="51" s="1"/>
  <c r="L37" i="51" s="1"/>
  <c r="AS37" i="51"/>
  <c r="AS36" i="51" s="1"/>
  <c r="H26" i="51"/>
  <c r="H27" i="51"/>
  <c r="H25" i="51"/>
  <c r="J39" i="51"/>
  <c r="J37" i="51" s="1"/>
  <c r="AJ16" i="31"/>
  <c r="AH16" i="31"/>
  <c r="T16" i="31"/>
  <c r="X16" i="31" s="1"/>
  <c r="AA16" i="31" s="1"/>
  <c r="R33" i="31"/>
  <c r="R32" i="31"/>
  <c r="R31" i="31"/>
  <c r="T25" i="31"/>
  <c r="T27" i="31"/>
  <c r="T23" i="31" s="1"/>
  <c r="Y6" i="32"/>
  <c r="Y7" i="32"/>
  <c r="Y9" i="32"/>
  <c r="Y10" i="32"/>
  <c r="Y12" i="32"/>
  <c r="X8" i="32"/>
  <c r="Y15" i="32"/>
  <c r="Y11" i="32"/>
  <c r="Y14" i="32"/>
  <c r="Y13" i="32"/>
  <c r="W3" i="32"/>
  <c r="X5" i="32"/>
  <c r="N23" i="31"/>
  <c r="W25" i="31"/>
  <c r="T39" i="31"/>
  <c r="T41" i="31"/>
  <c r="T49" i="31"/>
  <c r="T43" i="31"/>
  <c r="T40" i="31"/>
  <c r="T45" i="31"/>
  <c r="T48" i="31"/>
  <c r="T44" i="31"/>
  <c r="T46" i="31"/>
  <c r="T47" i="31"/>
  <c r="T42" i="31"/>
  <c r="R26" i="31"/>
  <c r="R30" i="31"/>
  <c r="R29" i="31"/>
  <c r="R28" i="31"/>
  <c r="R27" i="31"/>
  <c r="R25" i="31"/>
  <c r="P23" i="31"/>
  <c r="N43" i="31"/>
  <c r="P43" i="31" s="1"/>
  <c r="N41" i="31"/>
  <c r="P41" i="31" s="1"/>
  <c r="N44" i="31"/>
  <c r="P44" i="31" s="1"/>
  <c r="N40" i="31"/>
  <c r="P40" i="31" s="1"/>
  <c r="N39" i="31"/>
  <c r="N42" i="31"/>
  <c r="P42" i="31" s="1"/>
  <c r="R2" i="31"/>
  <c r="S16" i="31" s="1"/>
  <c r="H35" i="51" l="1"/>
  <c r="H28" i="51"/>
  <c r="H49" i="51"/>
  <c r="BK53" i="51" s="1"/>
  <c r="H33" i="51"/>
  <c r="L23" i="51"/>
  <c r="H34" i="51"/>
  <c r="H30" i="51"/>
  <c r="H29" i="51"/>
  <c r="H32" i="51"/>
  <c r="H39" i="51"/>
  <c r="H40" i="51"/>
  <c r="H47" i="51"/>
  <c r="H43" i="51"/>
  <c r="H41" i="51"/>
  <c r="H48" i="51"/>
  <c r="H44" i="51"/>
  <c r="BK25" i="51" s="1"/>
  <c r="H45" i="51"/>
  <c r="H46" i="51"/>
  <c r="H42" i="51"/>
  <c r="BK15" i="51" s="1"/>
  <c r="AD16" i="31"/>
  <c r="AB16" i="31"/>
  <c r="X3" i="32"/>
  <c r="Y3" i="32"/>
  <c r="V26" i="31"/>
  <c r="V29" i="31"/>
  <c r="AG25" i="31" s="1"/>
  <c r="V33" i="31"/>
  <c r="AO33" i="31" s="1"/>
  <c r="S14" i="31"/>
  <c r="S10" i="31"/>
  <c r="S9" i="31"/>
  <c r="S15" i="31"/>
  <c r="S11" i="31"/>
  <c r="S4" i="31"/>
  <c r="S5" i="31"/>
  <c r="S13" i="31"/>
  <c r="S6" i="31"/>
  <c r="S12" i="31"/>
  <c r="S7" i="31"/>
  <c r="R47" i="31"/>
  <c r="R48" i="31"/>
  <c r="R46" i="31"/>
  <c r="R45" i="31"/>
  <c r="R49" i="31"/>
  <c r="S8" i="31"/>
  <c r="V34" i="31"/>
  <c r="AQ31" i="31" s="1"/>
  <c r="R23" i="31"/>
  <c r="V25" i="31"/>
  <c r="T37" i="31"/>
  <c r="V31" i="31"/>
  <c r="AK26" i="31" s="1"/>
  <c r="P39" i="31"/>
  <c r="R44" i="31" s="1"/>
  <c r="N37" i="31"/>
  <c r="V27" i="31"/>
  <c r="AC25" i="31" s="1"/>
  <c r="AG28" i="31"/>
  <c r="V30" i="31"/>
  <c r="AI29" i="31" s="1"/>
  <c r="V28" i="31"/>
  <c r="AE27" i="31" s="1"/>
  <c r="V32" i="31"/>
  <c r="AM25" i="31" s="1"/>
  <c r="BK34" i="51" l="1"/>
  <c r="BK36" i="51"/>
  <c r="BS7" i="51"/>
  <c r="BK37" i="51"/>
  <c r="BS16" i="51"/>
  <c r="BK59" i="51"/>
  <c r="BK22" i="51"/>
  <c r="BK31" i="51"/>
  <c r="BK48" i="51"/>
  <c r="BO14" i="51"/>
  <c r="BK30" i="51"/>
  <c r="BK13" i="51"/>
  <c r="BK58" i="51"/>
  <c r="BS37" i="51"/>
  <c r="BK56" i="51"/>
  <c r="BS10" i="51"/>
  <c r="BK49" i="51"/>
  <c r="H23" i="51"/>
  <c r="BK43" i="51"/>
  <c r="BS31" i="51"/>
  <c r="BK54" i="51"/>
  <c r="BO4" i="51"/>
  <c r="BS5" i="51"/>
  <c r="BK29" i="51"/>
  <c r="BK5" i="51"/>
  <c r="BS4" i="51"/>
  <c r="BS14" i="51"/>
  <c r="BS39" i="51"/>
  <c r="BO9" i="51"/>
  <c r="BK21" i="51"/>
  <c r="BK57" i="51"/>
  <c r="BO13" i="51"/>
  <c r="BS12" i="51"/>
  <c r="BK47" i="51"/>
  <c r="BS36" i="51"/>
  <c r="BS33" i="51"/>
  <c r="BS44" i="51"/>
  <c r="BK12" i="51"/>
  <c r="BK42" i="51"/>
  <c r="BK18" i="51"/>
  <c r="BK8" i="51"/>
  <c r="BO6" i="51"/>
  <c r="BK35" i="51"/>
  <c r="BK41" i="51"/>
  <c r="BS24" i="51"/>
  <c r="BK45" i="51"/>
  <c r="BK20" i="51"/>
  <c r="BS47" i="51"/>
  <c r="BK26" i="51"/>
  <c r="BS45" i="51"/>
  <c r="BK17" i="51"/>
  <c r="BK11" i="51"/>
  <c r="BK16" i="51"/>
  <c r="BO8" i="51"/>
  <c r="BS28" i="51"/>
  <c r="BS8" i="51"/>
  <c r="BS11" i="51"/>
  <c r="BS25" i="51"/>
  <c r="BO10" i="51"/>
  <c r="BK39" i="51"/>
  <c r="BO12" i="51"/>
  <c r="BS9" i="51"/>
  <c r="BS41" i="51"/>
  <c r="BO11" i="51"/>
  <c r="BK10" i="51"/>
  <c r="BK50" i="51"/>
  <c r="BK46" i="51"/>
  <c r="BS19" i="51"/>
  <c r="BS29" i="51"/>
  <c r="BK38" i="51"/>
  <c r="BS23" i="51"/>
  <c r="BK33" i="51"/>
  <c r="BS35" i="51"/>
  <c r="BS17" i="51"/>
  <c r="BS34" i="51"/>
  <c r="BS32" i="51"/>
  <c r="BK14" i="51"/>
  <c r="BK24" i="51"/>
  <c r="BS42" i="51"/>
  <c r="H37" i="51"/>
  <c r="BK7" i="51"/>
  <c r="BK40" i="51"/>
  <c r="BK52" i="51"/>
  <c r="BK55" i="51"/>
  <c r="BS15" i="51"/>
  <c r="BS6" i="51"/>
  <c r="BS43" i="51"/>
  <c r="BS38" i="51"/>
  <c r="BK19" i="51"/>
  <c r="BS40" i="51"/>
  <c r="BK6" i="51"/>
  <c r="BS22" i="51"/>
  <c r="BS18" i="51"/>
  <c r="BO5" i="51"/>
  <c r="BK27" i="51"/>
  <c r="BS46" i="51"/>
  <c r="BK9" i="51"/>
  <c r="BS30" i="51"/>
  <c r="BK32" i="51"/>
  <c r="BK28" i="51"/>
  <c r="BK4" i="51"/>
  <c r="BK44" i="51"/>
  <c r="BK51" i="51"/>
  <c r="BS26" i="51"/>
  <c r="BS20" i="51"/>
  <c r="BS27" i="51"/>
  <c r="BS13" i="51"/>
  <c r="BO7" i="51"/>
  <c r="BS21" i="51"/>
  <c r="BK23" i="51"/>
  <c r="U11" i="31"/>
  <c r="Y11" i="31" s="1"/>
  <c r="AG11" i="31" s="1"/>
  <c r="T11" i="31"/>
  <c r="X11" i="31" s="1"/>
  <c r="AA11" i="31" s="1"/>
  <c r="AG27" i="31"/>
  <c r="AQ33" i="31"/>
  <c r="AC26" i="31"/>
  <c r="AK31" i="31"/>
  <c r="AG29" i="31"/>
  <c r="AG26" i="31"/>
  <c r="AA25" i="31"/>
  <c r="AK30" i="31"/>
  <c r="AK27" i="31"/>
  <c r="AA26" i="31"/>
  <c r="AO30" i="31"/>
  <c r="R40" i="31"/>
  <c r="R41" i="31"/>
  <c r="R42" i="31"/>
  <c r="AC27" i="31"/>
  <c r="AQ30" i="31"/>
  <c r="AM32" i="31"/>
  <c r="AQ32" i="31"/>
  <c r="AQ25" i="31"/>
  <c r="AQ27" i="31"/>
  <c r="AQ28" i="31"/>
  <c r="AQ26" i="31"/>
  <c r="AQ34" i="31"/>
  <c r="AQ29" i="31"/>
  <c r="U13" i="31"/>
  <c r="Y13" i="31" s="1"/>
  <c r="AG13" i="31" s="1"/>
  <c r="T13" i="31"/>
  <c r="X13" i="31" s="1"/>
  <c r="AA13" i="31" s="1"/>
  <c r="U15" i="31"/>
  <c r="Y15" i="31" s="1"/>
  <c r="AG15" i="31" s="1"/>
  <c r="AJ15" i="31" s="1"/>
  <c r="T15" i="31"/>
  <c r="X15" i="31" s="1"/>
  <c r="AA15" i="31" s="1"/>
  <c r="T7" i="31"/>
  <c r="X7" i="31" s="1"/>
  <c r="AA7" i="31" s="1"/>
  <c r="U7" i="31"/>
  <c r="Y7" i="31" s="1"/>
  <c r="AG7" i="31" s="1"/>
  <c r="U9" i="31"/>
  <c r="Y9" i="31" s="1"/>
  <c r="AG9" i="31" s="1"/>
  <c r="T9" i="31"/>
  <c r="X9" i="31" s="1"/>
  <c r="AA9" i="31" s="1"/>
  <c r="T12" i="31"/>
  <c r="X12" i="31" s="1"/>
  <c r="AA12" i="31" s="1"/>
  <c r="U12" i="31"/>
  <c r="Y12" i="31" s="1"/>
  <c r="AG12" i="31" s="1"/>
  <c r="T6" i="31"/>
  <c r="X6" i="31" s="1"/>
  <c r="AA6" i="31" s="1"/>
  <c r="U6" i="31"/>
  <c r="Y6" i="31" s="1"/>
  <c r="AG6" i="31" s="1"/>
  <c r="T14" i="31"/>
  <c r="X14" i="31" s="1"/>
  <c r="AA14" i="31" s="1"/>
  <c r="U14" i="31"/>
  <c r="Y14" i="31" s="1"/>
  <c r="AG14" i="31" s="1"/>
  <c r="U8" i="31"/>
  <c r="Y8" i="31" s="1"/>
  <c r="AG8" i="31" s="1"/>
  <c r="T8" i="31"/>
  <c r="X8" i="31" s="1"/>
  <c r="AA8" i="31" s="1"/>
  <c r="U5" i="31"/>
  <c r="Y5" i="31" s="1"/>
  <c r="AG5" i="31" s="1"/>
  <c r="T5" i="31"/>
  <c r="X5" i="31" s="1"/>
  <c r="AA5" i="31" s="1"/>
  <c r="U4" i="31"/>
  <c r="T4" i="31"/>
  <c r="AO32" i="31"/>
  <c r="AO25" i="31"/>
  <c r="AO31" i="31"/>
  <c r="AO27" i="31"/>
  <c r="AO28" i="31"/>
  <c r="AO29" i="31"/>
  <c r="AM31" i="31"/>
  <c r="AO26" i="31"/>
  <c r="AM28" i="31"/>
  <c r="AM29" i="31"/>
  <c r="AE28" i="31"/>
  <c r="AM27" i="31"/>
  <c r="S2" i="31"/>
  <c r="AE26" i="31"/>
  <c r="AK28" i="31"/>
  <c r="AK25" i="31"/>
  <c r="AM26" i="31"/>
  <c r="AI27" i="31"/>
  <c r="AK29" i="31"/>
  <c r="AE25" i="31"/>
  <c r="Y25" i="31"/>
  <c r="V23" i="31"/>
  <c r="V35" i="31" s="1"/>
  <c r="V22" i="31" s="1"/>
  <c r="U10" i="31"/>
  <c r="Y10" i="31" s="1"/>
  <c r="AG10" i="31" s="1"/>
  <c r="T10" i="31"/>
  <c r="X10" i="31" s="1"/>
  <c r="AA10" i="31" s="1"/>
  <c r="AI30" i="31"/>
  <c r="AI28" i="31"/>
  <c r="AM30" i="31"/>
  <c r="AI26" i="31"/>
  <c r="AI25" i="31"/>
  <c r="P37" i="31"/>
  <c r="R39" i="31"/>
  <c r="R43" i="31"/>
  <c r="B38" i="51" l="1"/>
  <c r="B36" i="51"/>
  <c r="B37" i="51"/>
  <c r="AG23" i="31"/>
  <c r="V40" i="31"/>
  <c r="AA40" i="31" s="1"/>
  <c r="AC23" i="31"/>
  <c r="AA23" i="31"/>
  <c r="AB14" i="31"/>
  <c r="AB7" i="31"/>
  <c r="AB11" i="31"/>
  <c r="AB10" i="31"/>
  <c r="AB15" i="31"/>
  <c r="AB13" i="31"/>
  <c r="AB12" i="31"/>
  <c r="AB6" i="31"/>
  <c r="AB5" i="31"/>
  <c r="AB8" i="31"/>
  <c r="AB9" i="31"/>
  <c r="U2" i="31"/>
  <c r="T2" i="31"/>
  <c r="AQ23" i="31"/>
  <c r="AE23" i="31"/>
  <c r="AO23" i="31"/>
  <c r="AM23" i="31"/>
  <c r="AH7" i="31"/>
  <c r="AH6" i="31"/>
  <c r="AH8" i="31"/>
  <c r="V41" i="31"/>
  <c r="AH11" i="31"/>
  <c r="AS31" i="31"/>
  <c r="J31" i="31" s="1"/>
  <c r="AS25" i="31"/>
  <c r="AS28" i="31"/>
  <c r="J28" i="31" s="1"/>
  <c r="AS30" i="31"/>
  <c r="J30" i="31" s="1"/>
  <c r="AS26" i="31"/>
  <c r="J26" i="31" s="1"/>
  <c r="AS29" i="31"/>
  <c r="J29" i="31" s="1"/>
  <c r="AS35" i="31"/>
  <c r="J35" i="31" s="1"/>
  <c r="AS27" i="31"/>
  <c r="J27" i="31" s="1"/>
  <c r="AS32" i="31"/>
  <c r="J32" i="31" s="1"/>
  <c r="AS33" i="31"/>
  <c r="J33" i="31" s="1"/>
  <c r="AS34" i="31"/>
  <c r="J34" i="31" s="1"/>
  <c r="AH15" i="31"/>
  <c r="AI23" i="31"/>
  <c r="Y23" i="31"/>
  <c r="AK23" i="31"/>
  <c r="AH5" i="31"/>
  <c r="AH10" i="31"/>
  <c r="Y4" i="31"/>
  <c r="Y2" i="31" s="1"/>
  <c r="AH13" i="31"/>
  <c r="AH14" i="31"/>
  <c r="R37" i="31"/>
  <c r="V39" i="31"/>
  <c r="V48" i="31"/>
  <c r="V45" i="31"/>
  <c r="V44" i="31"/>
  <c r="V47" i="31"/>
  <c r="V46" i="31"/>
  <c r="V43" i="31"/>
  <c r="V42" i="31"/>
  <c r="AH12" i="31"/>
  <c r="AH9" i="31"/>
  <c r="X4" i="31"/>
  <c r="AA39" i="31" l="1"/>
  <c r="AA37" i="31" s="1"/>
  <c r="X2" i="31"/>
  <c r="AA4" i="31"/>
  <c r="AD4" i="31" s="1"/>
  <c r="AM39" i="31"/>
  <c r="AM45" i="31"/>
  <c r="AM46" i="31"/>
  <c r="AM43" i="31"/>
  <c r="AM44" i="31"/>
  <c r="AM41" i="31"/>
  <c r="AM42" i="31"/>
  <c r="AM40" i="31"/>
  <c r="AO41" i="31"/>
  <c r="AO40" i="31"/>
  <c r="AO46" i="31"/>
  <c r="AO44" i="31"/>
  <c r="AO39" i="31"/>
  <c r="AO45" i="31"/>
  <c r="AO42" i="31"/>
  <c r="AO47" i="31"/>
  <c r="AO43" i="31"/>
  <c r="AS23" i="31"/>
  <c r="AS22" i="31" s="1"/>
  <c r="AC41" i="31"/>
  <c r="AC40" i="31"/>
  <c r="AC39" i="31"/>
  <c r="AI39" i="31"/>
  <c r="AI42" i="31"/>
  <c r="AI40" i="31"/>
  <c r="AI44" i="31"/>
  <c r="AI43" i="31"/>
  <c r="AI41" i="31"/>
  <c r="AK39" i="31"/>
  <c r="AK43" i="31"/>
  <c r="AK44" i="31"/>
  <c r="AK45" i="31"/>
  <c r="AK42" i="31"/>
  <c r="AK41" i="31"/>
  <c r="AK40" i="31"/>
  <c r="AQ48" i="31"/>
  <c r="AQ43" i="31"/>
  <c r="AQ40" i="31"/>
  <c r="AQ44" i="31"/>
  <c r="AQ45" i="31"/>
  <c r="AQ39" i="31"/>
  <c r="AQ46" i="31"/>
  <c r="AQ47" i="31"/>
  <c r="AQ42" i="31"/>
  <c r="AQ41" i="31"/>
  <c r="AG4" i="31"/>
  <c r="AJ4" i="31" s="1"/>
  <c r="AE39" i="31"/>
  <c r="AE40" i="31"/>
  <c r="AE42" i="31"/>
  <c r="AE41" i="31"/>
  <c r="V37" i="31"/>
  <c r="V49" i="31" s="1"/>
  <c r="Y39" i="31"/>
  <c r="AG39" i="31"/>
  <c r="AG43" i="31"/>
  <c r="AG41" i="31"/>
  <c r="AG42" i="31"/>
  <c r="AG40" i="31"/>
  <c r="J25" i="31"/>
  <c r="J23" i="31" s="1"/>
  <c r="AB4" i="31" l="1"/>
  <c r="AC4" i="31"/>
  <c r="AG37" i="31"/>
  <c r="AK37" i="31"/>
  <c r="AS40" i="31"/>
  <c r="J40" i="31" s="1"/>
  <c r="AS46" i="31"/>
  <c r="J46" i="31" s="1"/>
  <c r="AS47" i="31"/>
  <c r="J47" i="31" s="1"/>
  <c r="AS39" i="31"/>
  <c r="AS48" i="31"/>
  <c r="J48" i="31" s="1"/>
  <c r="AS44" i="31"/>
  <c r="J44" i="31" s="1"/>
  <c r="AS45" i="31"/>
  <c r="J45" i="31" s="1"/>
  <c r="AS49" i="31"/>
  <c r="J49" i="31" s="1"/>
  <c r="AS42" i="31"/>
  <c r="J42" i="31" s="1"/>
  <c r="AS43" i="31"/>
  <c r="J43" i="31" s="1"/>
  <c r="AS41" i="31"/>
  <c r="J41" i="31" s="1"/>
  <c r="AM37" i="31"/>
  <c r="V36" i="31"/>
  <c r="AI37" i="31"/>
  <c r="Y37" i="31"/>
  <c r="AQ37" i="31"/>
  <c r="AH4" i="31"/>
  <c r="AI4" i="31"/>
  <c r="AC37" i="31"/>
  <c r="AO37" i="31"/>
  <c r="AE37" i="31"/>
  <c r="AI16" i="31" l="1"/>
  <c r="AJ7" i="31"/>
  <c r="AJ12" i="31"/>
  <c r="AJ11" i="31"/>
  <c r="AJ8" i="31"/>
  <c r="AJ6" i="31"/>
  <c r="AJ14" i="31"/>
  <c r="AJ9" i="31"/>
  <c r="AJ10" i="31"/>
  <c r="AJ13" i="31"/>
  <c r="AJ5" i="31"/>
  <c r="AD9" i="31"/>
  <c r="AD5" i="31"/>
  <c r="AD13" i="31"/>
  <c r="AD10" i="31"/>
  <c r="AD12" i="31"/>
  <c r="AD15" i="31"/>
  <c r="AD7" i="31"/>
  <c r="AD11" i="31"/>
  <c r="AD6" i="31"/>
  <c r="AD14" i="31"/>
  <c r="AD8" i="31"/>
  <c r="AC16" i="31"/>
  <c r="AC15" i="31"/>
  <c r="AC5" i="31"/>
  <c r="AC14" i="31"/>
  <c r="AC8" i="31"/>
  <c r="AC12" i="31"/>
  <c r="AC10" i="31"/>
  <c r="AC13" i="31"/>
  <c r="AB18" i="31"/>
  <c r="L25" i="31" s="1"/>
  <c r="H25" i="31" s="1"/>
  <c r="AC11" i="31"/>
  <c r="AC6" i="31"/>
  <c r="AC9" i="31"/>
  <c r="AC7" i="31"/>
  <c r="AH18" i="31"/>
  <c r="AI10" i="31"/>
  <c r="AI11" i="31"/>
  <c r="AI5" i="31"/>
  <c r="AI9" i="31"/>
  <c r="AI7" i="31"/>
  <c r="AI14" i="31"/>
  <c r="AI8" i="31"/>
  <c r="AI15" i="31"/>
  <c r="AI12" i="31"/>
  <c r="AI6" i="31"/>
  <c r="AI13" i="31"/>
  <c r="AS37" i="31"/>
  <c r="AS36" i="31" s="1"/>
  <c r="J39" i="31"/>
  <c r="J37" i="31" s="1"/>
  <c r="AC18" i="31" l="1"/>
  <c r="L26" i="31" s="1"/>
  <c r="H26" i="31" s="1"/>
  <c r="AD18" i="31"/>
  <c r="L27" i="31" s="1"/>
  <c r="AJ18" i="31"/>
  <c r="L41" i="31" s="1"/>
  <c r="AI18" i="31"/>
  <c r="L40" i="31" s="1"/>
  <c r="L39" i="31"/>
  <c r="H27" i="31" l="1"/>
  <c r="L28" i="31"/>
  <c r="H31" i="31" s="1"/>
  <c r="L42" i="31"/>
  <c r="H49" i="31" s="1"/>
  <c r="H41" i="31"/>
  <c r="H40" i="31"/>
  <c r="H39" i="31"/>
  <c r="H44" i="31" l="1"/>
  <c r="BS23" i="31" s="1"/>
  <c r="H32" i="31"/>
  <c r="BS24" i="31" s="1"/>
  <c r="H34" i="31"/>
  <c r="BS39" i="31" s="1"/>
  <c r="H29" i="31"/>
  <c r="BS11" i="31" s="1"/>
  <c r="H35" i="31"/>
  <c r="BO14" i="31" s="1"/>
  <c r="H30" i="31"/>
  <c r="BS15" i="31" s="1"/>
  <c r="L23" i="31"/>
  <c r="H33" i="31"/>
  <c r="BS33" i="31" s="1"/>
  <c r="H28" i="31"/>
  <c r="BK37" i="31" s="1"/>
  <c r="H48" i="31"/>
  <c r="H47" i="31"/>
  <c r="BK28" i="31" s="1"/>
  <c r="H43" i="31"/>
  <c r="L37" i="31"/>
  <c r="H45" i="31"/>
  <c r="H46" i="31"/>
  <c r="BK10" i="31" s="1"/>
  <c r="H42" i="31"/>
  <c r="BK49" i="31"/>
  <c r="BS5" i="31"/>
  <c r="BS4" i="31"/>
  <c r="BO4" i="31"/>
  <c r="BS6" i="31"/>
  <c r="BO5" i="31"/>
  <c r="BK4" i="31"/>
  <c r="BS19" i="31"/>
  <c r="BK13" i="31"/>
  <c r="BK53" i="31"/>
  <c r="BK22" i="31"/>
  <c r="BK30" i="31"/>
  <c r="BK14" i="31"/>
  <c r="BK5" i="31"/>
  <c r="BO6" i="31"/>
  <c r="BS20" i="31"/>
  <c r="BS43" i="31" l="1"/>
  <c r="BS10" i="31"/>
  <c r="BS41" i="31"/>
  <c r="BK59" i="31"/>
  <c r="BK43" i="31"/>
  <c r="BS40" i="31"/>
  <c r="BS12" i="31"/>
  <c r="BS16" i="31"/>
  <c r="BK48" i="31"/>
  <c r="BK44" i="31"/>
  <c r="BS26" i="31"/>
  <c r="BK56" i="31"/>
  <c r="BS25" i="31"/>
  <c r="BK47" i="31"/>
  <c r="BK58" i="31"/>
  <c r="BS31" i="31"/>
  <c r="BS14" i="31"/>
  <c r="BS32" i="31"/>
  <c r="BS34" i="31"/>
  <c r="H23" i="31"/>
  <c r="BS9" i="31"/>
  <c r="BS7" i="31"/>
  <c r="BS8" i="31"/>
  <c r="BS22" i="31"/>
  <c r="BO8" i="31"/>
  <c r="BS28" i="31"/>
  <c r="BS18" i="31"/>
  <c r="BK7" i="31"/>
  <c r="BK31" i="31"/>
  <c r="BK17" i="31"/>
  <c r="BS42" i="31"/>
  <c r="BS35" i="31"/>
  <c r="BK24" i="31"/>
  <c r="BK16" i="31"/>
  <c r="BK45" i="31"/>
  <c r="BK15" i="31"/>
  <c r="BK40" i="31"/>
  <c r="BS37" i="31"/>
  <c r="BK54" i="31"/>
  <c r="BK51" i="31"/>
  <c r="BK36" i="31"/>
  <c r="BO12" i="31"/>
  <c r="BK20" i="31"/>
  <c r="BK11" i="31"/>
  <c r="BS47" i="31"/>
  <c r="BK46" i="31"/>
  <c r="BK35" i="31"/>
  <c r="BK55" i="31"/>
  <c r="BK29" i="31"/>
  <c r="BO10" i="31"/>
  <c r="BK21" i="31"/>
  <c r="BK34" i="31"/>
  <c r="BK50" i="31"/>
  <c r="BK52" i="31"/>
  <c r="BK12" i="31"/>
  <c r="BK57" i="31"/>
  <c r="BS21" i="31"/>
  <c r="BO13" i="31"/>
  <c r="BK42" i="31"/>
  <c r="BS46" i="31"/>
  <c r="BK23" i="31"/>
  <c r="BK41" i="31"/>
  <c r="BO11" i="31"/>
  <c r="BS17" i="31"/>
  <c r="BK9" i="31"/>
  <c r="H37" i="31"/>
  <c r="BS44" i="31"/>
  <c r="BS27" i="31"/>
  <c r="BS45" i="31"/>
  <c r="BK26" i="31"/>
  <c r="BK25" i="31"/>
  <c r="BS36" i="31"/>
  <c r="BK27" i="31"/>
  <c r="BS29" i="31"/>
  <c r="BK8" i="31"/>
  <c r="BS13" i="31"/>
  <c r="BK18" i="31"/>
  <c r="BK33" i="31"/>
  <c r="BO9" i="31"/>
  <c r="BS38" i="31"/>
  <c r="BK39" i="31"/>
  <c r="BK6" i="31"/>
  <c r="BS30" i="31"/>
  <c r="BK38" i="31"/>
  <c r="BK19" i="31"/>
  <c r="BO7" i="31"/>
  <c r="BK32" i="31"/>
  <c r="B38" i="31" l="1"/>
  <c r="B36" i="31"/>
  <c r="B37" i="31"/>
  <c r="Q15" i="10" l="1"/>
  <c r="P15" i="10"/>
  <c r="N1" i="10" l="1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V11" i="10" s="1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BF42" i="10" l="1"/>
  <c r="W11" i="10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E42" i="8"/>
  <c r="BD42" i="8"/>
  <c r="BC42" i="8"/>
  <c r="BF41" i="8"/>
  <c r="BE41" i="8"/>
  <c r="BF42" i="8" s="1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F30" i="8" s="1"/>
  <c r="BD29" i="8"/>
  <c r="BC29" i="8"/>
  <c r="C29" i="8"/>
  <c r="B29" i="8"/>
  <c r="BH28" i="8"/>
  <c r="BH35" i="8" s="1"/>
  <c r="BH41" i="8" s="1"/>
  <c r="BH46" i="8" s="1"/>
  <c r="BH51" i="8" s="1"/>
  <c r="BH54" i="8" s="1"/>
  <c r="BL12" i="8" s="1"/>
  <c r="BP47" i="8" s="1"/>
  <c r="BE28" i="8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Y19" i="8"/>
  <c r="P19" i="8"/>
  <c r="O19" i="8"/>
  <c r="Q19" i="8" s="1"/>
  <c r="AA18" i="8"/>
  <c r="Q18" i="8"/>
  <c r="Z17" i="8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Z13" i="8"/>
  <c r="AA13" i="8" s="1"/>
  <c r="P13" i="8"/>
  <c r="Q13" i="8" s="1"/>
  <c r="AA12" i="8"/>
  <c r="Q12" i="8"/>
  <c r="AA11" i="8"/>
  <c r="Z11" i="8"/>
  <c r="Y11" i="8"/>
  <c r="P11" i="8"/>
  <c r="O11" i="8"/>
  <c r="Z10" i="8"/>
  <c r="AA10" i="8" s="1"/>
  <c r="Y10" i="8"/>
  <c r="P10" i="8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O6" i="8"/>
  <c r="BP5" i="8"/>
  <c r="BP7" i="8" s="1"/>
  <c r="BP10" i="8" s="1"/>
  <c r="BP14" i="8" s="1"/>
  <c r="BH49" i="8" s="1"/>
  <c r="BP24" i="8" s="1"/>
  <c r="BP31" i="8" s="1"/>
  <c r="BP39" i="8" s="1"/>
  <c r="BL14" i="8" s="1"/>
  <c r="Z5" i="8"/>
  <c r="AA5" i="8" s="1"/>
  <c r="Y5" i="8"/>
  <c r="P5" i="8"/>
  <c r="O5" i="8"/>
  <c r="D3" i="8"/>
  <c r="K3" i="8" s="1"/>
  <c r="S2" i="8"/>
  <c r="G2" i="8"/>
  <c r="AF1" i="8"/>
  <c r="S1" i="8"/>
  <c r="K2" i="8" l="1"/>
  <c r="AA17" i="8"/>
  <c r="Q6" i="8"/>
  <c r="Q8" i="8"/>
  <c r="BF43" i="8"/>
  <c r="AA19" i="8"/>
  <c r="G1" i="8"/>
  <c r="Q10" i="8"/>
  <c r="B31" i="8"/>
  <c r="W24" i="8" s="1"/>
  <c r="BF28" i="8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K1" i="8"/>
  <c r="L1" i="8" s="1"/>
  <c r="Q5" i="8"/>
  <c r="Q11" i="8"/>
  <c r="B23" i="8"/>
  <c r="T43" i="8" s="1"/>
  <c r="G3" i="8"/>
  <c r="H1" i="8" s="1"/>
  <c r="BF29" i="8"/>
  <c r="T46" i="8" l="1"/>
  <c r="T39" i="8"/>
  <c r="T42" i="8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40" i="8"/>
  <c r="T48" i="8"/>
  <c r="T44" i="8"/>
  <c r="T41" i="8"/>
  <c r="T38" i="8"/>
  <c r="T36" i="8" s="1"/>
  <c r="M1" i="8"/>
  <c r="M2" i="8" s="1"/>
  <c r="T45" i="8"/>
  <c r="T47" i="8"/>
  <c r="B34" i="8"/>
  <c r="B24" i="8"/>
  <c r="C23" i="8"/>
  <c r="R34" i="10" l="1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P39" i="10" l="1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S6" i="8"/>
  <c r="S9" i="8"/>
  <c r="S13" i="8"/>
  <c r="AC8" i="8"/>
  <c r="S11" i="8"/>
  <c r="AC15" i="8"/>
  <c r="S14" i="8"/>
  <c r="S7" i="8"/>
  <c r="S10" i="8"/>
  <c r="S8" i="8"/>
  <c r="S19" i="8"/>
  <c r="S17" i="8"/>
  <c r="AC14" i="8"/>
  <c r="AD13" i="8" s="1"/>
  <c r="AC9" i="8"/>
  <c r="AC16" i="8"/>
  <c r="S16" i="8"/>
  <c r="AC12" i="8"/>
  <c r="AE11" i="8" s="1"/>
  <c r="AD18" i="8"/>
  <c r="AC18" i="8"/>
  <c r="S12" i="8"/>
  <c r="U11" i="8" s="1"/>
  <c r="AC5" i="8"/>
  <c r="AC20" i="8" s="1"/>
  <c r="P25" i="8"/>
  <c r="R30" i="8" s="1"/>
  <c r="AD7" i="8"/>
  <c r="AC7" i="8"/>
  <c r="T5" i="8"/>
  <c r="T20" i="8" s="1"/>
  <c r="L25" i="8" s="1"/>
  <c r="S5" i="8"/>
  <c r="S20" i="8" s="1"/>
  <c r="AC11" i="8"/>
  <c r="AD10" i="8" s="1"/>
  <c r="AC17" i="8"/>
  <c r="AE16" i="8" s="1"/>
  <c r="AD17" i="8"/>
  <c r="R31" i="8"/>
  <c r="S15" i="8"/>
  <c r="AD19" i="8"/>
  <c r="AC19" i="8"/>
  <c r="AE17" i="8" s="1"/>
  <c r="AC10" i="8"/>
  <c r="N42" i="8"/>
  <c r="P42" i="8" s="1"/>
  <c r="N40" i="8"/>
  <c r="P40" i="8" s="1"/>
  <c r="N38" i="8"/>
  <c r="N43" i="8"/>
  <c r="P43" i="8" s="1"/>
  <c r="N41" i="8"/>
  <c r="P41" i="8" s="1"/>
  <c r="N39" i="8"/>
  <c r="P39" i="8" s="1"/>
  <c r="AC6" i="8"/>
  <c r="AD5" i="8" s="1"/>
  <c r="AD20" i="8" s="1"/>
  <c r="L39" i="8" s="1"/>
  <c r="AC13" i="8"/>
  <c r="U18" i="8"/>
  <c r="S18" i="8"/>
  <c r="P24" i="8"/>
  <c r="R25" i="8" s="1"/>
  <c r="N22" i="8"/>
  <c r="AE10" i="8" l="1"/>
  <c r="AD11" i="8"/>
  <c r="AE12" i="8"/>
  <c r="AD14" i="8"/>
  <c r="T17" i="8"/>
  <c r="AE15" i="8"/>
  <c r="U17" i="8"/>
  <c r="U13" i="8"/>
  <c r="U14" i="8"/>
  <c r="AD16" i="8"/>
  <c r="U10" i="8"/>
  <c r="AE7" i="8"/>
  <c r="T15" i="8"/>
  <c r="AE5" i="8"/>
  <c r="AE20" i="8" s="1"/>
  <c r="L40" i="8" s="1"/>
  <c r="T12" i="8"/>
  <c r="AD9" i="8"/>
  <c r="T10" i="8"/>
  <c r="AD8" i="8"/>
  <c r="U12" i="8"/>
  <c r="T13" i="8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N36" i="8"/>
  <c r="P38" i="8"/>
  <c r="R40" i="8"/>
  <c r="L24" i="8"/>
  <c r="V20" i="8"/>
  <c r="L27" i="8" s="1"/>
  <c r="AE13" i="8"/>
  <c r="U5" i="8"/>
  <c r="U20" i="8" s="1"/>
  <c r="L26" i="8" s="1"/>
  <c r="AE9" i="8"/>
  <c r="T9" i="8"/>
  <c r="U16" i="8"/>
  <c r="T8" i="8"/>
  <c r="T7" i="8"/>
  <c r="U9" i="8"/>
  <c r="R24" i="8"/>
  <c r="R26" i="8"/>
  <c r="P22" i="8"/>
  <c r="R27" i="8"/>
  <c r="V27" i="8" s="1"/>
  <c r="R29" i="8"/>
  <c r="R28" i="8"/>
  <c r="AD6" i="8"/>
  <c r="R39" i="8"/>
  <c r="L38" i="8"/>
  <c r="AE18" i="8"/>
  <c r="T16" i="8"/>
  <c r="U8" i="8"/>
  <c r="AE8" i="8"/>
  <c r="U6" i="8"/>
  <c r="T14" i="8"/>
  <c r="T18" i="8"/>
  <c r="AE6" i="8"/>
  <c r="R41" i="8"/>
  <c r="AD12" i="8"/>
  <c r="AD15" i="8"/>
  <c r="R47" i="8"/>
  <c r="R43" i="8"/>
  <c r="R48" i="8"/>
  <c r="R45" i="8"/>
  <c r="R46" i="8"/>
  <c r="R44" i="8"/>
  <c r="U15" i="8"/>
  <c r="AE14" i="8"/>
  <c r="T6" i="8"/>
  <c r="R42" i="8"/>
  <c r="T19" i="8"/>
  <c r="U7" i="8"/>
  <c r="T11" i="8"/>
  <c r="AF20" i="8" l="1"/>
  <c r="L41" i="8" s="1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R22" i="8"/>
  <c r="V24" i="8"/>
  <c r="V31" i="8"/>
  <c r="V29" i="8"/>
  <c r="V30" i="8"/>
  <c r="V32" i="8"/>
  <c r="V28" i="8"/>
  <c r="V33" i="8"/>
  <c r="AE24" i="8"/>
  <c r="AE22" i="8" s="1"/>
  <c r="AE26" i="8"/>
  <c r="AE25" i="8"/>
  <c r="AE27" i="8"/>
  <c r="V26" i="8"/>
  <c r="L22" i="8"/>
  <c r="L36" i="8"/>
  <c r="V25" i="8"/>
  <c r="P36" i="8"/>
  <c r="R38" i="8"/>
  <c r="V40" i="8" s="1"/>
  <c r="V39" i="8" l="1"/>
  <c r="V41" i="8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C39" i="8"/>
  <c r="AC40" i="8"/>
  <c r="AC38" i="8"/>
  <c r="AC36" i="8" s="1"/>
  <c r="AA25" i="8"/>
  <c r="AA24" i="8"/>
  <c r="AA22" i="8" s="1"/>
  <c r="AK25" i="8"/>
  <c r="AK26" i="8"/>
  <c r="AK28" i="8"/>
  <c r="AK30" i="8"/>
  <c r="AK27" i="8"/>
  <c r="AK29" i="8"/>
  <c r="AK24" i="8"/>
  <c r="AK22" i="8" s="1"/>
  <c r="AM25" i="8"/>
  <c r="AM24" i="8"/>
  <c r="AM22" i="8" s="1"/>
  <c r="AM30" i="8"/>
  <c r="AM29" i="8"/>
  <c r="AM28" i="8"/>
  <c r="AM31" i="8"/>
  <c r="AM27" i="8"/>
  <c r="AM26" i="8"/>
  <c r="Y24" i="8"/>
  <c r="V21" i="8"/>
  <c r="V22" i="8"/>
  <c r="V34" i="8" s="1"/>
  <c r="AE41" i="8"/>
  <c r="AE40" i="8"/>
  <c r="AE39" i="8"/>
  <c r="AE38" i="8"/>
  <c r="AE36" i="8" s="1"/>
  <c r="AA38" i="8"/>
  <c r="AA36" i="8" s="1"/>
  <c r="AA39" i="8"/>
  <c r="AQ31" i="8"/>
  <c r="AQ25" i="8"/>
  <c r="AQ24" i="8"/>
  <c r="AQ22" i="8" s="1"/>
  <c r="AQ29" i="8"/>
  <c r="AQ28" i="8"/>
  <c r="AQ33" i="8"/>
  <c r="AQ30" i="8"/>
  <c r="AQ26" i="8"/>
  <c r="AQ27" i="8"/>
  <c r="AQ32" i="8"/>
  <c r="AG27" i="8"/>
  <c r="AG25" i="8"/>
  <c r="AG24" i="8"/>
  <c r="AG22" i="8" s="1"/>
  <c r="AG28" i="8"/>
  <c r="AG26" i="8"/>
  <c r="AI27" i="8"/>
  <c r="AI28" i="8"/>
  <c r="AI29" i="8"/>
  <c r="AI26" i="8"/>
  <c r="AI25" i="8"/>
  <c r="AI24" i="8"/>
  <c r="AI22" i="8" s="1"/>
  <c r="R36" i="8"/>
  <c r="V38" i="8"/>
  <c r="V43" i="8"/>
  <c r="V42" i="8"/>
  <c r="V46" i="8"/>
  <c r="V47" i="8"/>
  <c r="V45" i="8"/>
  <c r="V44" i="8"/>
  <c r="AC24" i="8"/>
  <c r="AC22" i="8" s="1"/>
  <c r="AC26" i="8"/>
  <c r="AC25" i="8"/>
  <c r="AO26" i="8"/>
  <c r="AO32" i="8"/>
  <c r="AO24" i="8"/>
  <c r="AO22" i="8" s="1"/>
  <c r="AO31" i="8"/>
  <c r="AO25" i="8"/>
  <c r="AO28" i="8"/>
  <c r="AO29" i="8"/>
  <c r="AO30" i="8"/>
  <c r="AO27" i="8"/>
  <c r="AA37" i="10" l="1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M39" i="8"/>
  <c r="AM42" i="8"/>
  <c r="AM45" i="8"/>
  <c r="AM44" i="8"/>
  <c r="AM38" i="8"/>
  <c r="AM36" i="8" s="1"/>
  <c r="AM41" i="8"/>
  <c r="AM43" i="8"/>
  <c r="AM40" i="8"/>
  <c r="AO44" i="8"/>
  <c r="AO39" i="8"/>
  <c r="AO42" i="8"/>
  <c r="AO38" i="8"/>
  <c r="AO36" i="8" s="1"/>
  <c r="AO41" i="8"/>
  <c r="AO43" i="8"/>
  <c r="AO40" i="8"/>
  <c r="AO45" i="8"/>
  <c r="AO46" i="8"/>
  <c r="Y22" i="8"/>
  <c r="V36" i="8"/>
  <c r="V48" i="8" s="1"/>
  <c r="Y38" i="8"/>
  <c r="V35" i="8"/>
  <c r="AI38" i="8"/>
  <c r="AI36" i="8" s="1"/>
  <c r="AI41" i="8"/>
  <c r="AI43" i="8"/>
  <c r="AI40" i="8"/>
  <c r="AI39" i="8"/>
  <c r="AI42" i="8"/>
  <c r="AK38" i="8"/>
  <c r="AK36" i="8" s="1"/>
  <c r="AK41" i="8"/>
  <c r="AK40" i="8"/>
  <c r="AK42" i="8"/>
  <c r="AK44" i="8"/>
  <c r="AK43" i="8"/>
  <c r="AK39" i="8"/>
  <c r="J30" i="8"/>
  <c r="AS33" i="8"/>
  <c r="J33" i="8" s="1"/>
  <c r="AS27" i="8"/>
  <c r="J27" i="8" s="1"/>
  <c r="AS32" i="8"/>
  <c r="J32" i="8" s="1"/>
  <c r="AS31" i="8"/>
  <c r="J31" i="8" s="1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AG39" i="8"/>
  <c r="AG41" i="8"/>
  <c r="AG42" i="8"/>
  <c r="AG40" i="8"/>
  <c r="AG38" i="8"/>
  <c r="AG36" i="8" s="1"/>
  <c r="AQ45" i="8"/>
  <c r="AQ46" i="8"/>
  <c r="AQ44" i="8"/>
  <c r="AQ38" i="8"/>
  <c r="AQ36" i="8" s="1"/>
  <c r="AQ39" i="8"/>
  <c r="AQ47" i="8"/>
  <c r="AQ42" i="8"/>
  <c r="AQ43" i="8"/>
  <c r="AQ41" i="8"/>
  <c r="AQ40" i="8"/>
  <c r="J37" i="10" l="1"/>
  <c r="AS37" i="10"/>
  <c r="AS36" i="10" s="1"/>
  <c r="H29" i="8"/>
  <c r="H28" i="8"/>
  <c r="H32" i="8"/>
  <c r="H33" i="8"/>
  <c r="H31" i="8"/>
  <c r="H34" i="8"/>
  <c r="Y36" i="8"/>
  <c r="J24" i="8"/>
  <c r="H25" i="8" s="1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AS47" i="8"/>
  <c r="AS46" i="8"/>
  <c r="J46" i="8" s="1"/>
  <c r="AS38" i="8"/>
  <c r="AS36" i="8" s="1"/>
  <c r="AS41" i="8"/>
  <c r="J41" i="8" s="1"/>
  <c r="AS42" i="8"/>
  <c r="J42" i="8" s="1"/>
  <c r="J47" i="8"/>
  <c r="H30" i="8"/>
  <c r="AS21" i="8"/>
  <c r="H44" i="8" l="1"/>
  <c r="BJ18" i="8"/>
  <c r="BJ19" i="8"/>
  <c r="H45" i="8"/>
  <c r="H43" i="8"/>
  <c r="BR36" i="8" s="1"/>
  <c r="H46" i="8"/>
  <c r="BJ20" i="8" s="1"/>
  <c r="BR38" i="8"/>
  <c r="BR37" i="8"/>
  <c r="BR30" i="8"/>
  <c r="BN11" i="8"/>
  <c r="BJ50" i="8"/>
  <c r="BN10" i="8"/>
  <c r="AS35" i="8"/>
  <c r="H26" i="8"/>
  <c r="H48" i="8"/>
  <c r="BJ58" i="8" s="1"/>
  <c r="H27" i="8"/>
  <c r="J38" i="8"/>
  <c r="H39" i="8" s="1"/>
  <c r="H42" i="8"/>
  <c r="BJ16" i="8" s="1"/>
  <c r="J22" i="8"/>
  <c r="H24" i="8"/>
  <c r="BJ44" i="8"/>
  <c r="BR18" i="8"/>
  <c r="BJ45" i="8"/>
  <c r="BJ48" i="8"/>
  <c r="H47" i="8"/>
  <c r="BJ47" i="8" s="1"/>
  <c r="BJ40" i="8"/>
  <c r="BJ39" i="8"/>
  <c r="BN8" i="8"/>
  <c r="BJ59" i="8"/>
  <c r="BR45" i="8"/>
  <c r="BR43" i="8"/>
  <c r="BR46" i="8"/>
  <c r="BR44" i="8" l="1"/>
  <c r="BJ52" i="8"/>
  <c r="BJ17" i="8"/>
  <c r="BR47" i="8"/>
  <c r="BN9" i="8"/>
  <c r="BR29" i="8"/>
  <c r="BJ42" i="8"/>
  <c r="BR23" i="8"/>
  <c r="BJ57" i="8"/>
  <c r="BJ22" i="8"/>
  <c r="BJ55" i="8"/>
  <c r="BR35" i="8"/>
  <c r="H41" i="8"/>
  <c r="BJ38" i="8"/>
  <c r="BN14" i="8"/>
  <c r="BR15" i="8"/>
  <c r="BR32" i="8"/>
  <c r="BR40" i="8"/>
  <c r="BR25" i="8"/>
  <c r="BR11" i="8"/>
  <c r="BN5" i="8"/>
  <c r="BR19" i="8"/>
  <c r="BR17" i="8"/>
  <c r="BR22" i="8"/>
  <c r="BR28" i="8"/>
  <c r="BN12" i="8"/>
  <c r="BJ21" i="8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6" i="8"/>
  <c r="BJ53" i="8"/>
  <c r="BJ43" i="8"/>
  <c r="BJ54" i="8"/>
  <c r="BJ15" i="8"/>
  <c r="J36" i="8"/>
  <c r="H38" i="8"/>
  <c r="BN4" i="8" s="1"/>
  <c r="B37" i="8" s="1"/>
  <c r="B36" i="8" s="1"/>
  <c r="BJ56" i="8"/>
  <c r="BJ8" i="8"/>
  <c r="BJ12" i="8"/>
  <c r="H22" i="8"/>
  <c r="BJ4" i="8"/>
  <c r="B38" i="8" s="1"/>
  <c r="BJ7" i="8"/>
  <c r="BJ13" i="8"/>
  <c r="BJ10" i="8"/>
  <c r="BJ6" i="8"/>
  <c r="BJ11" i="8"/>
  <c r="BJ9" i="8"/>
  <c r="BN13" i="8"/>
  <c r="BR13" i="8"/>
  <c r="BJ34" i="8"/>
  <c r="BJ36" i="8"/>
  <c r="BJ35" i="8"/>
  <c r="BJ31" i="8"/>
  <c r="BJ32" i="8"/>
  <c r="BJ33" i="8"/>
  <c r="BJ37" i="8"/>
  <c r="BR8" i="8"/>
  <c r="BN7" i="8"/>
  <c r="BR7" i="8"/>
  <c r="H40" i="8"/>
  <c r="BR21" i="8" l="1"/>
  <c r="BR42" i="8"/>
  <c r="BR27" i="8"/>
  <c r="BR34" i="8"/>
  <c r="BR26" i="8"/>
  <c r="BR16" i="8"/>
  <c r="BJ14" i="8"/>
  <c r="BR33" i="8"/>
  <c r="BR12" i="8"/>
  <c r="BR20" i="8"/>
  <c r="BR41" i="8"/>
  <c r="BR9" i="8"/>
  <c r="BJ5" i="8"/>
  <c r="H36" i="8"/>
  <c r="BR24" i="8"/>
  <c r="BJ49" i="8"/>
  <c r="BR14" i="8"/>
  <c r="BR4" i="8"/>
  <c r="B39" i="8" s="1"/>
  <c r="BR39" i="8"/>
  <c r="BR10" i="8"/>
  <c r="BR31" i="8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5" i="10" l="1"/>
  <c r="X15" i="10" s="1"/>
  <c r="AA14" i="10" s="1"/>
  <c r="AB14" i="10" s="1"/>
  <c r="U15" i="10"/>
  <c r="Y15" i="10" s="1"/>
  <c r="AG15" i="10" s="1"/>
  <c r="AH15" i="10" s="1"/>
  <c r="T13" i="10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U4" i="10"/>
  <c r="Y4" i="10" s="1"/>
  <c r="U9" i="10"/>
  <c r="Y9" i="10" s="1"/>
  <c r="AG9" i="10" s="1"/>
  <c r="AH9" i="10" s="1"/>
  <c r="AH10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41C9E0E-CF5D-4531-BAFC-4402EF3B114D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A98E60F4-8023-4FFB-908C-DE91E0F3A6B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A3441667-BA44-4D84-AA43-06171683E27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D5C0EEB-CE4C-4ACE-B223-2C44B7FA223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1D41A1C-EBC0-4AFC-919C-6E44B428CC9B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F34E7E4-63EA-4BBF-8304-15B2AA9B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4A5C94A-5ACA-4275-AEC4-E910244311A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BE02061-1F29-4878-9091-2D7CCEC142E3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5036193-BFD7-45C1-88B7-884A37CB7BA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8AF56D7-5F22-4F0C-B997-3D6B89921CF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<sst xmlns="http://schemas.openxmlformats.org/spreadsheetml/2006/main" count="873" uniqueCount="186">
  <si>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</si>
  <si>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</si>
  <si>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</si>
  <si>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</si>
  <si>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</si>
  <si>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</si>
  <si>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</si>
  <si>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</si>
  <si>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</si>
  <si>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</si>
  <si>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</si>
  <si>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</si>
  <si>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</si>
  <si>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</si>
  <si>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</si>
  <si>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</si>
  <si>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</si>
  <si>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</si>
  <si>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</si>
  <si>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</si>
  <si>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</si>
  <si>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</si>
  <si>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</si>
  <si>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</si>
  <si>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</si>
  <si>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pbase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</si>
  <si>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</si>
  <si>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</si>
  <si>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</si>
  <si>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</si>
  <si>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</si>
  <si>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</si>
  <si>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</si>
  <si>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</si>
  <si>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</si>
  <si>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</si>
  <si>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</si>
  <si>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</si>
  <si>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</si>
  <si>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</si>
  <si>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</si>
  <si>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</si>
  <si>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</si>
  <si>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</si>
  <si>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</si>
  <si>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</si>
  <si>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</si>
  <si>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</si>
  <si>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</si>
  <si>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</si>
  <si>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</si>
  <si>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</si>
  <si>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</si>
  <si>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</si>
  <si>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</si>
  <si>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</si>
  <si>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</si>
  <si>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</si>
  <si>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</si>
  <si>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</si>
  <si>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</si>
  <si>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</si>
  <si>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</si>
  <si>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</si>
  <si>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</si>
  <si>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</si>
  <si>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</si>
  <si>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</si>
  <si>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</si>
  <si>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</si>
  <si>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</si>
  <si>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</si>
  <si>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</si>
  <si>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</si>
  <si>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</si>
  <si>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</si>
  <si>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</si>
  <si>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</si>
  <si>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</si>
  <si>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</si>
  <si>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</si>
  <si>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</si>
  <si>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</si>
  <si>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</si>
  <si>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</si>
  <si>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</si>
  <si>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</si>
  <si>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</si>
  <si>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</si>
  <si>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</si>
  <si>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</si>
  <si>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</si>
  <si>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</si>
  <si>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</si>
  <si>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</si>
  <si>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</si>
  <si>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</si>
  <si>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</si>
  <si>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</si>
  <si>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</si>
  <si>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</si>
  <si>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</si>
  <si>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</si>
  <si>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</si>
  <si>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</si>
  <si>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</si>
  <si>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</si>
  <si>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</si>
  <si>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</si>
  <si>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</si>
  <si>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</si>
  <si>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</si>
  <si>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</si>
  <si>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</si>
  <si>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</si>
  <si>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</si>
  <si>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</si>
  <si>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</si>
  <si>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</si>
  <si>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</si>
  <si>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</si>
  <si>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</si>
  <si>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</si>
  <si>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</si>
  <si>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</si>
  <si>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</si>
  <si>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</si>
  <si>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</si>
  <si>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</si>
  <si>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</si>
  <si>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</si>
  <si>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</si>
  <si>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</si>
  <si>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</si>
  <si>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</si>
  <si>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</si>
  <si>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</si>
  <si>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</si>
  <si>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</si>
  <si>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</si>
  <si>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0,6</t>
  </si>
  <si>
    <t>0,72</t>
  </si>
  <si>
    <t>Tiro lejano</t>
  </si>
  <si>
    <t>07</t>
  </si>
  <si>
    <t>Ev.Clima</t>
  </si>
  <si>
    <t>&lt;debil</t>
  </si>
  <si>
    <t>Constantes Clima</t>
  </si>
  <si>
    <t>pLocal50</t>
  </si>
  <si>
    <t>pVis50</t>
  </si>
  <si>
    <t>FORM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</si>
  <si>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</si>
  <si>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</si>
  <si>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</si>
  <si>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</si>
  <si>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</si>
  <si>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</si>
  <si>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</si>
  <si>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</si>
  <si>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</si>
  <si>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</si>
  <si>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</si>
  <si>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</si>
  <si>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</si>
  <si>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</si>
  <si>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</si>
  <si>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</si>
  <si>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</si>
  <si>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</si>
  <si>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</si>
  <si>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</si>
  <si>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</si>
  <si>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</si>
  <si>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</si>
  <si>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</si>
  <si>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</si>
  <si>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</si>
  <si>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</si>
  <si>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</si>
  <si>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p_por_slot</t>
  </si>
  <si>
    <t>WB</t>
  </si>
  <si>
    <t>CD</t>
  </si>
  <si>
    <t>INN</t>
  </si>
  <si>
    <t>DAV</t>
  </si>
  <si>
    <t>Del POT</t>
  </si>
  <si>
    <t>LUKE</t>
  </si>
  <si>
    <t>Rocamora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</si>
</sst>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0.0"/>
  </numFmts>
  <fonts count="27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000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88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4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0" fillId="7" borderId="8" xfId="0" applyNumberFormat="1" applyFill="1" applyBorder="1"/>
    <xf numFmtId="165" fontId="0" fillId="7" borderId="8" xfId="0" applyNumberFormat="1" applyFill="1" applyBorder="1"/>
    <xf numFmtId="165" fontId="0" fillId="8" borderId="9" xfId="0" applyNumberFormat="1" applyFill="1" applyBorder="1"/>
    <xf numFmtId="165" fontId="0" fillId="8" borderId="9" xfId="0" applyNumberFormat="1" applyFill="1" applyBorder="1"/>
    <xf numFmtId="164" fontId="3" fillId="7" borderId="8" xfId="2" applyNumberFormat="1" applyFont="1" applyFill="1" applyBorder="1"/>
    <xf numFmtId="164" fontId="2" fillId="7" borderId="8" xfId="2" applyNumberFormat="1" applyFont="1" applyFill="1" applyBorder="1"/>
    <xf numFmtId="164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7" fontId="2" fillId="5" borderId="5" xfId="0" applyNumberFormat="1" applyFont="1" applyFill="1" applyBorder="1"/>
    <xf numFmtId="167" fontId="2" fillId="6" borderId="6" xfId="0" applyNumberFormat="1" applyFont="1" applyFill="1" applyBorder="1"/>
    <xf numFmtId="166" fontId="0" fillId="6" borderId="6" xfId="1" applyNumberFormat="1" applyFont="1" applyFill="1" applyBorder="1"/>
    <xf numFmtId="166" fontId="0" fillId="0" borderId="0" xfId="1" applyNumberFormat="1" applyFont="1"/>
    <xf numFmtId="164" fontId="2" fillId="5" borderId="5" xfId="2" applyNumberFormat="1" applyFont="1" applyFill="1" applyBorder="1"/>
    <xf numFmtId="164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7" fontId="3" fillId="7" borderId="8" xfId="0" applyNumberFormat="1" applyFont="1" applyFill="1" applyBorder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167" fontId="4" fillId="7" borderId="8" xfId="0" applyNumberFormat="1" applyFont="1" applyFill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5" borderId="5" xfId="1" applyNumberFormat="1" applyFont="1" applyFill="1" applyBorder="1"/>
    <xf numFmtId="164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166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4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4" fontId="0" fillId="0" borderId="0" xfId="0" applyNumberFormat="1"/>
    <xf numFmtId="164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4" fontId="3" fillId="0" borderId="39" xfId="2" applyNumberFormat="1" applyFont="1" applyBorder="1" applyAlignment="1">
      <alignment horizontal="center"/>
    </xf>
    <xf numFmtId="164" fontId="3" fillId="0" borderId="13" xfId="2" applyNumberFormat="1" applyFont="1" applyBorder="1" applyAlignment="1">
      <alignment horizontal="center"/>
    </xf>
    <xf numFmtId="164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4" fontId="4" fillId="0" borderId="39" xfId="2" applyNumberFormat="1" applyFont="1" applyBorder="1" applyAlignment="1">
      <alignment horizontal="center"/>
    </xf>
    <xf numFmtId="164" fontId="4" fillId="0" borderId="13" xfId="2" applyNumberFormat="1" applyFont="1" applyBorder="1" applyAlignment="1">
      <alignment horizontal="center"/>
    </xf>
    <xf numFmtId="164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6" fontId="0" fillId="0" borderId="41" xfId="1" applyNumberFormat="1" applyFont="1" applyBorder="1" applyAlignment="1">
      <alignment horizontal="center"/>
    </xf>
    <xf numFmtId="164" fontId="2" fillId="29" borderId="42" xfId="2" applyNumberFormat="1" applyFont="1" applyFill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6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4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4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3" fillId="0" borderId="2" xfId="2" applyNumberFormat="1" applyFont="1" applyBorder="1"/>
    <xf numFmtId="164" fontId="2" fillId="0" borderId="2" xfId="2" applyNumberFormat="1" applyFont="1" applyBorder="1"/>
    <xf numFmtId="164" fontId="4" fillId="0" borderId="2" xfId="2" applyNumberFormat="1" applyFont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38" borderId="52" xfId="0" applyFont="1" applyFill="1" applyBorder="1" applyAlignment="1">
      <alignment horizontal="right"/>
    </xf>
    <xf numFmtId="0" fontId="0" fillId="38" borderId="52" xfId="0" applyFill="1" applyBorder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4" fontId="0" fillId="0" borderId="0" xfId="2" applyNumberFormat="1" applyFont="1"/>
    <xf numFmtId="43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6" fontId="0" fillId="0" borderId="0" xfId="1" applyNumberFormat="1" applyFont="1"/>
    <xf numFmtId="9" fontId="0" fillId="27" borderId="37" xfId="2" applyFont="1" applyFill="1" applyBorder="1"/>
    <xf numFmtId="166" fontId="0" fillId="0" borderId="2" xfId="1" applyNumberFormat="1" applyFont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166" fontId="0" fillId="0" borderId="41" xfId="1" applyNumberFormat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166" fontId="0" fillId="5" borderId="5" xfId="1" applyNumberFormat="1" applyFont="1" applyFill="1" applyBorder="1"/>
    <xf numFmtId="166" fontId="0" fillId="6" borderId="6" xfId="1" applyNumberFormat="1" applyFont="1" applyFill="1" applyBorder="1"/>
    <xf numFmtId="164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4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5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7" fontId="3" fillId="0" borderId="48" xfId="0" applyNumberFormat="1" applyFont="1" applyFill="1" applyBorder="1" applyAlignment="1">
      <alignment horizontal="center"/>
    </xf>
    <xf numFmtId="167" fontId="3" fillId="0" borderId="48" xfId="1" applyNumberFormat="1" applyFont="1" applyFill="1" applyBorder="1" applyAlignment="1">
      <alignment horizontal="center"/>
    </xf>
    <xf numFmtId="165" fontId="3" fillId="0" borderId="48" xfId="0" applyNumberFormat="1" applyFont="1" applyFill="1" applyBorder="1" applyAlignment="1">
      <alignment horizontal="center"/>
    </xf>
    <xf numFmtId="164" fontId="0" fillId="0" borderId="48" xfId="2" applyNumberFormat="1" applyFont="1" applyFill="1" applyBorder="1" applyAlignment="1">
      <alignment horizontal="center"/>
    </xf>
    <xf numFmtId="165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7" fontId="4" fillId="0" borderId="48" xfId="0" applyNumberFormat="1" applyFont="1" applyFill="1" applyBorder="1" applyAlignment="1">
      <alignment horizontal="center"/>
    </xf>
    <xf numFmtId="167" fontId="0" fillId="0" borderId="48" xfId="0" applyNumberFormat="1" applyFill="1" applyBorder="1" applyAlignment="1">
      <alignment horizontal="center"/>
    </xf>
    <xf numFmtId="167" fontId="2" fillId="0" borderId="48" xfId="0" applyNumberFormat="1" applyFont="1" applyFill="1" applyBorder="1" applyAlignment="1">
      <alignment horizontal="center"/>
    </xf>
    <xf numFmtId="167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4" fontId="3" fillId="0" borderId="48" xfId="2" applyNumberFormat="1" applyFont="1" applyFill="1" applyBorder="1"/>
    <xf numFmtId="164" fontId="2" fillId="0" borderId="48" xfId="2" applyNumberFormat="1" applyFont="1" applyFill="1" applyBorder="1"/>
    <xf numFmtId="164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7" fontId="0" fillId="0" borderId="48" xfId="0" applyNumberFormat="1" applyBorder="1"/>
    <xf numFmtId="167" fontId="0" fillId="0" borderId="48" xfId="0" applyNumberFormat="1" applyBorder="1" applyAlignment="1">
      <alignment horizontal="center" vertical="center" wrapText="1"/>
    </xf>
    <xf numFmtId="164" fontId="0" fillId="0" borderId="48" xfId="2" applyNumberFormat="1" applyFont="1" applyBorder="1" applyAlignment="1">
      <alignment horizontal="center" vertical="center" wrapText="1"/>
    </xf>
    <xf numFmtId="167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4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4" fontId="7" fillId="0" borderId="48" xfId="2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2" fontId="3" fillId="40" borderId="51" xfId="0" applyNumberFormat="1" applyFont="1" applyFill="1" applyBorder="1"/>
    <xf numFmtId="2" fontId="4" fillId="40" borderId="51" xfId="0" applyNumberFormat="1" applyFont="1" applyFill="1" applyBorder="1"/>
    <xf numFmtId="2" fontId="3" fillId="40" borderId="51" xfId="0" applyNumberFormat="1" applyFont="1" applyFill="1" applyBorder="1" applyAlignment="1">
      <alignment wrapText="1"/>
    </xf>
    <xf numFmtId="2" fontId="4" fillId="40" borderId="51" xfId="0" applyNumberFormat="1" applyFont="1" applyFill="1" applyBorder="1" applyAlignment="1">
      <alignment wrapText="1"/>
    </xf>
    <xf numFmtId="0" fontId="1" fillId="40" borderId="51" xfId="0" applyFont="1" applyFill="1" applyBorder="1" applyAlignment="1">
      <alignment horizontal="right"/>
    </xf>
    <xf numFmtId="0" fontId="7" fillId="40" borderId="51" xfId="0" applyFont="1" applyFill="1" applyBorder="1" applyAlignment="1">
      <alignment horizontal="right"/>
    </xf>
    <xf numFmtId="9" fontId="3" fillId="40" borderId="51" xfId="2" applyFont="1" applyFill="1" applyBorder="1"/>
    <xf numFmtId="9" fontId="4" fillId="40" borderId="51" xfId="2" applyFont="1" applyFill="1" applyBorder="1"/>
    <xf numFmtId="2" fontId="1" fillId="41" borderId="48" xfId="0" applyNumberFormat="1" applyFont="1" applyFill="1" applyBorder="1" applyAlignment="1">
      <alignment horizontal="center"/>
    </xf>
    <xf numFmtId="2" fontId="7" fillId="41" borderId="48" xfId="0" applyNumberFormat="1" applyFont="1" applyFill="1" applyBorder="1" applyAlignment="1">
      <alignment horizontal="center"/>
    </xf>
    <xf numFmtId="0" fontId="1" fillId="41" borderId="48" xfId="0" applyFont="1" applyFill="1" applyBorder="1" applyAlignment="1">
      <alignment horizontal="center"/>
    </xf>
    <xf numFmtId="0" fontId="7" fillId="41" borderId="48" xfId="0" applyFont="1" applyFill="1" applyBorder="1" applyAlignment="1">
      <alignment horizontal="center"/>
    </xf>
    <xf numFmtId="164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4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4" fontId="22" fillId="0" borderId="48" xfId="2" applyNumberFormat="1" applyFont="1" applyBorder="1" applyAlignment="1">
      <alignment horizontal="center"/>
    </xf>
    <xf numFmtId="164" fontId="23" fillId="0" borderId="48" xfId="2" applyNumberFormat="1" applyFont="1" applyBorder="1" applyAlignment="1">
      <alignment horizontal="center"/>
    </xf>
    <xf numFmtId="43" fontId="22" fillId="0" borderId="0" xfId="1" applyFont="1" applyAlignment="1">
      <alignment horizontal="center"/>
    </xf>
    <xf numFmtId="43" fontId="23" fillId="0" borderId="0" xfId="1" applyFont="1" applyAlignment="1">
      <alignment horizontal="center"/>
    </xf>
    <xf numFmtId="166" fontId="0" fillId="42" borderId="5" xfId="1" applyNumberFormat="1" applyFont="1" applyFill="1" applyBorder="1"/>
    <xf numFmtId="166" fontId="0" fillId="42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48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0" borderId="48" xfId="0" applyFont="1" applyFill="1" applyBorder="1" applyAlignment="1"/>
    <xf numFmtId="0" fontId="0" fillId="0" borderId="48" xfId="0" applyFont="1" applyFill="1" applyBorder="1" applyAlignment="1">
      <alignment horizontal="center"/>
    </xf>
    <xf numFmtId="168" fontId="0" fillId="0" borderId="0" xfId="0" applyNumberFormat="1"/>
    <xf numFmtId="2" fontId="26" fillId="43" borderId="0" xfId="0" applyNumberFormat="1" applyFont="1" applyFill="1" applyAlignment="1">
      <alignment horizontal="center"/>
    </xf>
    <xf numFmtId="2" fontId="26" fillId="44" borderId="0" xfId="0" applyNumberFormat="1" applyFont="1" applyFill="1" applyAlignment="1">
      <alignment horizontal="center"/>
    </xf>
    <xf numFmtId="2" fontId="3" fillId="29" borderId="51" xfId="0" applyNumberFormat="1" applyFont="1" applyFill="1" applyBorder="1"/>
    <xf numFmtId="2" fontId="4" fillId="29" borderId="51" xfId="0" applyNumberFormat="1" applyFont="1" applyFill="1" applyBorder="1"/>
    <xf numFmtId="2" fontId="3" fillId="29" borderId="51" xfId="0" applyNumberFormat="1" applyFont="1" applyFill="1" applyBorder="1" applyAlignment="1">
      <alignment wrapText="1"/>
    </xf>
    <xf numFmtId="2" fontId="4" fillId="29" borderId="51" xfId="0" applyNumberFormat="1" applyFont="1" applyFill="1" applyBorder="1" applyAlignment="1">
      <alignment wrapText="1"/>
    </xf>
    <xf numFmtId="0" fontId="1" fillId="29" borderId="51" xfId="0" applyFont="1" applyFill="1" applyBorder="1" applyAlignment="1">
      <alignment horizontal="right"/>
    </xf>
    <xf numFmtId="0" fontId="7" fillId="29" borderId="51" xfId="0" applyFont="1" applyFill="1" applyBorder="1" applyAlignment="1">
      <alignment horizontal="right"/>
    </xf>
    <xf numFmtId="9" fontId="3" fillId="29" borderId="51" xfId="2" applyFont="1" applyFill="1" applyBorder="1"/>
    <xf numFmtId="9" fontId="4" fillId="29" borderId="51" xfId="2" applyFont="1" applyFill="1" applyBorder="1"/>
    <xf numFmtId="166" fontId="0" fillId="29" borderId="5" xfId="1" applyNumberFormat="1" applyFont="1" applyFill="1" applyBorder="1"/>
    <xf numFmtId="166" fontId="0" fillId="29" borderId="6" xfId="1" applyNumberFormat="1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0" fontId="0" fillId="46" borderId="30" xfId="0" applyFill="1" applyBorder="1" applyAlignment="1">
      <alignment horizontal="right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9" borderId="53" xfId="0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5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'Rocamora-LUKE'!$G$25:$G$35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'Rocamora-LUKE'!$H$25:$H$35</c:f>
              <c:numCache>
                <c:formatCode>0.0%</c:formatCode>
                <c:ptCount val="11"/>
                <c:pt idx="0">
                  <c:v>2.3564116113559172E-2</c:v>
                </c:pt>
                <c:pt idx="1">
                  <c:v>0.10497226124473395</c:v>
                </c:pt>
                <c:pt idx="2">
                  <c:v>0.21249831474790068</c:v>
                </c:pt>
                <c:pt idx="3">
                  <c:v>0.25834288757963686</c:v>
                </c:pt>
                <c:pt idx="4">
                  <c:v>0.21007544794189584</c:v>
                </c:pt>
                <c:pt idx="5">
                  <c:v>0.12052028155261965</c:v>
                </c:pt>
                <c:pt idx="6">
                  <c:v>5.0225190570856844E-2</c:v>
                </c:pt>
                <c:pt idx="7">
                  <c:v>1.547944472309665E-2</c:v>
                </c:pt>
                <c:pt idx="8">
                  <c:v>3.584632800683349E-3</c:v>
                </c:pt>
                <c:pt idx="9">
                  <c:v>6.3744785301123573E-4</c:v>
                </c:pt>
                <c:pt idx="10">
                  <c:v>8.9338791713996585E-5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95B-9CE7-D10FDE8EFD4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'Rocamora-LUKE'!$G$25:$G$35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'Rocamora-LUKE'!$H$39:$H$49</c:f>
              <c:numCache>
                <c:formatCode>0.0%</c:formatCode>
                <c:ptCount val="11"/>
                <c:pt idx="0">
                  <c:v>2.6392326952156674E-2</c:v>
                </c:pt>
                <c:pt idx="1">
                  <c:v>0.10926208214925369</c:v>
                </c:pt>
                <c:pt idx="2">
                  <c:v>0.20806390164676658</c:v>
                </c:pt>
                <c:pt idx="3">
                  <c:v>0.24375140746424082</c:v>
                </c:pt>
                <c:pt idx="4">
                  <c:v>0.19906289176074077</c:v>
                </c:pt>
                <c:pt idx="5">
                  <c:v>0.12210438897891079</c:v>
                </c:pt>
                <c:pt idx="6">
                  <c:v>5.9029613226209511E-2</c:v>
                </c:pt>
                <c:pt idx="7">
                  <c:v>2.3013132818051962E-2</c:v>
                </c:pt>
                <c:pt idx="8">
                  <c:v>7.2017083553046904E-3</c:v>
                </c:pt>
                <c:pt idx="9">
                  <c:v>1.7570250360080966E-3</c:v>
                </c:pt>
                <c:pt idx="10">
                  <c:v>3.1840507770204934E-4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95B-9CE7-D10FDE8E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9.4131602063800252E-2</c:v>
                </c:pt>
                <c:pt idx="1">
                  <c:v>0.24607691593433095</c:v>
                </c:pt>
                <c:pt idx="2">
                  <c:v>0.29368516567870495</c:v>
                </c:pt>
                <c:pt idx="3">
                  <c:v>0.21277929200640597</c:v>
                </c:pt>
                <c:pt idx="4">
                  <c:v>0.10463163857987159</c:v>
                </c:pt>
                <c:pt idx="5">
                  <c:v>3.6909073977471021E-2</c:v>
                </c:pt>
                <c:pt idx="6">
                  <c:v>9.6115875593222426E-3</c:v>
                </c:pt>
                <c:pt idx="7">
                  <c:v>1.8709068303628552E-3</c:v>
                </c:pt>
                <c:pt idx="8">
                  <c:v>2.7220263986240138E-4</c:v>
                </c:pt>
                <c:pt idx="9">
                  <c:v>2.923827745920918E-5</c:v>
                </c:pt>
                <c:pt idx="10">
                  <c:v>2.2543747620017132E-6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48A9-A509-63D9D82858D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2.1170003790391047E-3</c:v>
                </c:pt>
                <c:pt idx="1">
                  <c:v>1.7599583572250936E-2</c:v>
                </c:pt>
                <c:pt idx="2">
                  <c:v>6.5603054256469936E-2</c:v>
                </c:pt>
                <c:pt idx="3">
                  <c:v>0.14574089120456177</c:v>
                </c:pt>
                <c:pt idx="4">
                  <c:v>0.21603163645427509</c:v>
                </c:pt>
                <c:pt idx="5">
                  <c:v>0.22628250177965134</c:v>
                </c:pt>
                <c:pt idx="6">
                  <c:v>0.17272685777242217</c:v>
                </c:pt>
                <c:pt idx="7">
                  <c:v>9.7482384652308213E-2</c:v>
                </c:pt>
                <c:pt idx="8">
                  <c:v>4.0752308735787855E-2</c:v>
                </c:pt>
                <c:pt idx="9">
                  <c:v>1.2487208688733653E-2</c:v>
                </c:pt>
                <c:pt idx="10">
                  <c:v>2.732426061128947E-3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D-48A9-A509-63D9D828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739061-D7FB-400E-B548-CE2485680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9513-FA69-43F1-9C6A-2A9B3565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AB50-41C1-442F-997A-F56C8445390E}">
  <sheetPr>
    <tabColor theme="6" tint="0.79998168889431442"/>
  </sheetPr>
  <dimension ref="A1:BS59"/>
  <sheetViews>
    <sheetView tabSelected="1" zoomScale="90" zoomScaleNormal="90" workbookViewId="0">
      <selection activeCell="G12" sqref="G12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3" t="s">
        <v>185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1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83" t="s">
        <v>184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0.39212560052768297</v>
      </c>
      <c r="U2" s="219">
        <f>SUM(U4:U16)</f>
        <v>0.90410357818544884</v>
      </c>
      <c r="V2" s="157"/>
      <c r="W2" s="157"/>
      <c r="X2" s="253">
        <f>SUM(X4:X16)</f>
        <v>0.21062880784071414</v>
      </c>
      <c r="Y2" s="254">
        <f>SUM(Y4:Y16)</f>
        <v>0.50739133125627522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82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84" t="s">
        <v>5</v>
      </c>
      <c r="C3" s="284"/>
      <c r="D3" s="31" t="str">
        <f>IF(B3="Sol","SI",IF(B3="Lluvia","SI","NO"))</f>
        <v>SI</v>
      </c>
      <c r="E3" s="211"/>
      <c r="F3" s="212"/>
      <c r="G3" s="279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79" t="s">
        <v>1</v>
      </c>
      <c r="F4" s="279" t="s">
        <v>151</v>
      </c>
      <c r="G4" s="279" t="s">
        <v>1</v>
      </c>
      <c r="H4" s="279" t="s">
        <v>151</v>
      </c>
      <c r="I4" s="279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</v>
      </c>
      <c r="U4" s="228">
        <f>IF(S4=0,0,S4*Q4^2.7/(P4^2.7+Q4^2.7)*Q4/L4)</f>
        <v>8.9657980456026062E-2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5.1105048859934853E-2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5.1105048859934853E-2</v>
      </c>
      <c r="AH4" s="247">
        <f t="shared" ref="AH4:AH16" si="2">(1-AG4)</f>
        <v>0.94889495114006517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2.5746643905742547E-3</v>
      </c>
      <c r="BM4" s="31">
        <v>0</v>
      </c>
      <c r="BN4" s="31">
        <v>0</v>
      </c>
      <c r="BO4" s="107">
        <f>H25*H39</f>
        <v>6.2191185680763716E-4</v>
      </c>
      <c r="BQ4" s="31">
        <v>1</v>
      </c>
      <c r="BR4" s="31">
        <v>0</v>
      </c>
      <c r="BS4" s="107">
        <f>$H$26*H39</f>
        <v>2.7704622396782235E-3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79" t="s">
        <v>33</v>
      </c>
      <c r="F5" s="279" t="s">
        <v>2</v>
      </c>
      <c r="G5" s="279" t="s">
        <v>6</v>
      </c>
      <c r="H5" s="279" t="s">
        <v>138</v>
      </c>
      <c r="I5" s="279" t="s">
        <v>151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1</v>
      </c>
      <c r="Q5" s="214">
        <f>COUNTIF(E10:I11,"IMP")</f>
        <v>1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2.6150244299674264E-2</v>
      </c>
      <c r="U5" s="228">
        <f t="shared" ref="U5:U9" si="6">IF(S5=0,0,S5*Q5^2.7/(P5^2.7+Q5^2.7)*Q5/L5)</f>
        <v>2.6150244299674264E-2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1.4905639250814329E-2</v>
      </c>
      <c r="Y5" s="252">
        <f t="shared" si="7"/>
        <v>1.4905639250814329E-2</v>
      </c>
      <c r="Z5" s="199"/>
      <c r="AA5" s="244">
        <f t="shared" ref="AA5:AA16" si="8">X5</f>
        <v>1.4905639250814329E-2</v>
      </c>
      <c r="AB5" s="245">
        <f t="shared" ref="AB5:AB16" si="9">1-AA5</f>
        <v>0.98509436074918566</v>
      </c>
      <c r="AC5" s="245">
        <f>PRODUCT(AB6:AB16)*AA5*PRODUCT(AB4)</f>
        <v>1.2194721423245814E-2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1.7743211191355319E-3</v>
      </c>
      <c r="AE5" s="183"/>
      <c r="AF5" s="197"/>
      <c r="AG5" s="246">
        <f t="shared" ref="AG5:AG16" si="10">Y5</f>
        <v>1.4905639250814329E-2</v>
      </c>
      <c r="AH5" s="247">
        <f t="shared" si="2"/>
        <v>0.98509436074918566</v>
      </c>
      <c r="AI5" s="247">
        <f>AG5*PRODUCT(AH3:AH4)*PRODUCT(AH6:AH17)</f>
        <v>8.9101411727677566E-3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4.3162369473480188E-3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4.9028419374445627E-3</v>
      </c>
      <c r="BM5" s="31">
        <v>1</v>
      </c>
      <c r="BN5" s="31">
        <v>1</v>
      </c>
      <c r="BO5" s="107">
        <f>$H$26*H40</f>
        <v>1.1469487831515041E-2</v>
      </c>
      <c r="BQ5" s="31">
        <f>BQ4+1</f>
        <v>2</v>
      </c>
      <c r="BR5" s="31">
        <v>0</v>
      </c>
      <c r="BS5" s="107">
        <f>$H$27*H39</f>
        <v>5.6083249996088909E-3</v>
      </c>
    </row>
    <row r="6" spans="1:71" ht="15.75" x14ac:dyDescent="0.25">
      <c r="A6" s="2" t="s">
        <v>31</v>
      </c>
      <c r="B6" s="267">
        <v>13</v>
      </c>
      <c r="C6" s="268">
        <v>14.25</v>
      </c>
      <c r="E6" s="211"/>
      <c r="F6" s="279" t="s">
        <v>6</v>
      </c>
      <c r="G6" s="279" t="s">
        <v>151</v>
      </c>
      <c r="H6" s="279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1</v>
      </c>
      <c r="Q6" s="214">
        <f>COUNTIF(E9:I11,"IMP")</f>
        <v>2</v>
      </c>
      <c r="R6" s="221">
        <f t="shared" si="0"/>
        <v>0.45</v>
      </c>
      <c r="S6" s="221">
        <f t="shared" si="1"/>
        <v>0.53794788273615635</v>
      </c>
      <c r="T6" s="226">
        <f t="shared" si="5"/>
        <v>5.5188717741874362E-3</v>
      </c>
      <c r="U6" s="228">
        <f t="shared" si="6"/>
        <v>7.1723469180264565E-2</v>
      </c>
      <c r="V6" s="218">
        <f>$G$18</f>
        <v>0.45</v>
      </c>
      <c r="W6" s="216">
        <f>$H$18</f>
        <v>0.45</v>
      </c>
      <c r="X6" s="251">
        <f t="shared" si="7"/>
        <v>2.4834922983843462E-3</v>
      </c>
      <c r="Y6" s="252">
        <f t="shared" si="7"/>
        <v>3.2275561131119054E-2</v>
      </c>
      <c r="Z6" s="199"/>
      <c r="AA6" s="244">
        <f t="shared" si="8"/>
        <v>2.4834922983843462E-3</v>
      </c>
      <c r="AB6" s="245">
        <f t="shared" si="9"/>
        <v>0.99751650770161571</v>
      </c>
      <c r="AC6" s="245">
        <f>PRODUCT(AB7:AB16)*AA6*PRODUCT(AB4:AB5)</f>
        <v>2.0065123473296856E-3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2.8695019721470638E-4</v>
      </c>
      <c r="AE6" s="183"/>
      <c r="AF6" s="197"/>
      <c r="AG6" s="246">
        <f t="shared" si="10"/>
        <v>3.2275561131119054E-2</v>
      </c>
      <c r="AH6" s="247">
        <f t="shared" si="2"/>
        <v>0.96772443886888093</v>
      </c>
      <c r="AI6" s="247">
        <f>AG6*PRODUCT(AH3:AH5)*PRODUCT(AH7:AH17)</f>
        <v>1.9639657262142129E-2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8.8587905401790318E-3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5.7437864683308444E-3</v>
      </c>
      <c r="BM6" s="31">
        <f>BI14+1</f>
        <v>2</v>
      </c>
      <c r="BN6" s="31">
        <v>2</v>
      </c>
      <c r="BO6" s="107">
        <f>$H$27*H41</f>
        <v>4.4213228459810856E-2</v>
      </c>
      <c r="BQ6" s="31">
        <f>BM5+1</f>
        <v>2</v>
      </c>
      <c r="BR6" s="31">
        <v>1</v>
      </c>
      <c r="BS6" s="107">
        <f>$H$27*H40</f>
        <v>2.3218008322563089E-2</v>
      </c>
    </row>
    <row r="7" spans="1:71" ht="15.75" x14ac:dyDescent="0.25">
      <c r="A7" s="5" t="s">
        <v>36</v>
      </c>
      <c r="B7" s="267">
        <v>14</v>
      </c>
      <c r="C7" s="268">
        <v>5.75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0</v>
      </c>
      <c r="R7" s="221">
        <f t="shared" si="0"/>
        <v>0.04</v>
      </c>
      <c r="S7" s="221">
        <f t="shared" si="1"/>
        <v>4.7817589576547234E-2</v>
      </c>
      <c r="T7" s="226">
        <f t="shared" si="5"/>
        <v>5.9771986970684043E-3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2.6897394136807819E-3</v>
      </c>
      <c r="Y7" s="252">
        <f t="shared" si="7"/>
        <v>0</v>
      </c>
      <c r="Z7" s="199"/>
      <c r="AA7" s="244">
        <f t="shared" si="8"/>
        <v>2.6897394136807819E-3</v>
      </c>
      <c r="AB7" s="245">
        <f t="shared" si="9"/>
        <v>0.99731026058631922</v>
      </c>
      <c r="AC7" s="245">
        <f>PRODUCT(AB8:AB$16)*AA7*PRODUCT(AB$4:AB6)</f>
        <v>2.1735970209957912E-3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3.0498270469521427E-4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4.6907410953509572E-3</v>
      </c>
      <c r="BM7" s="31">
        <f>BI23+1</f>
        <v>3</v>
      </c>
      <c r="BN7" s="31">
        <v>3</v>
      </c>
      <c r="BO7" s="107">
        <f>$H$28*H42</f>
        <v>6.2971442455912616E-2</v>
      </c>
      <c r="BQ7" s="31">
        <f>BQ5+1</f>
        <v>3</v>
      </c>
      <c r="BR7" s="31">
        <v>0</v>
      </c>
      <c r="BS7" s="107">
        <f>$H$28*H39</f>
        <v>6.8182699547660311E-3</v>
      </c>
    </row>
    <row r="8" spans="1:71" ht="15.75" x14ac:dyDescent="0.25">
      <c r="A8" s="5" t="s">
        <v>39</v>
      </c>
      <c r="B8" s="267">
        <v>14</v>
      </c>
      <c r="C8" s="268">
        <v>9</v>
      </c>
      <c r="E8" s="213"/>
      <c r="F8" s="214"/>
      <c r="G8" s="280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1</v>
      </c>
      <c r="Q8" s="214">
        <f>COUNTIF(E10:I11,"RAP")</f>
        <v>3</v>
      </c>
      <c r="R8" s="221">
        <f t="shared" si="0"/>
        <v>0.5</v>
      </c>
      <c r="S8" s="221">
        <f t="shared" si="1"/>
        <v>0.59771986970684043</v>
      </c>
      <c r="T8" s="226">
        <f t="shared" si="5"/>
        <v>3.6590870097686101E-3</v>
      </c>
      <c r="U8" s="228">
        <f t="shared" si="6"/>
        <v>0.21316769011075931</v>
      </c>
      <c r="V8" s="218">
        <f>$G$17</f>
        <v>0.56999999999999995</v>
      </c>
      <c r="W8" s="216">
        <f>$H$17</f>
        <v>0.56999999999999995</v>
      </c>
      <c r="X8" s="251">
        <f t="shared" si="7"/>
        <v>2.0856795955681074E-3</v>
      </c>
      <c r="Y8" s="252">
        <f t="shared" si="7"/>
        <v>0.1215055833631328</v>
      </c>
      <c r="Z8" s="199"/>
      <c r="AA8" s="244">
        <f t="shared" si="8"/>
        <v>2.0856795955681074E-3</v>
      </c>
      <c r="AB8" s="245">
        <f t="shared" si="9"/>
        <v>0.99791432040443184</v>
      </c>
      <c r="AC8" s="245">
        <f>PRODUCT(AB9:AB$16)*AA8*PRODUCT(AB$4:AB7)</f>
        <v>1.6844318628348157E-3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2.328262192328723E-4</v>
      </c>
      <c r="AE8" s="183"/>
      <c r="AF8" s="197"/>
      <c r="AG8" s="246">
        <f t="shared" si="10"/>
        <v>0.1215055833631328</v>
      </c>
      <c r="AH8" s="247">
        <f t="shared" si="2"/>
        <v>0.87849441663686723</v>
      </c>
      <c r="AI8" s="247">
        <f>AG8*PRODUCT(AH3:AH7)*PRODUCT(AH9:AH17)</f>
        <v>8.1445865185299754E-2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2.5472625289823695E-2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2.8772819998742487E-3</v>
      </c>
      <c r="BM8" s="31">
        <f>BI31+1</f>
        <v>4</v>
      </c>
      <c r="BN8" s="31">
        <v>4</v>
      </c>
      <c r="BO8" s="107">
        <f>$H$29*H43</f>
        <v>4.1818226155246746E-2</v>
      </c>
      <c r="BQ8" s="31">
        <f>BQ6+1</f>
        <v>3</v>
      </c>
      <c r="BR8" s="31">
        <v>1</v>
      </c>
      <c r="BS8" s="107">
        <f>$H$28*H40</f>
        <v>2.8227081805401694E-2</v>
      </c>
    </row>
    <row r="9" spans="1:71" ht="15.75" x14ac:dyDescent="0.25">
      <c r="A9" s="5" t="s">
        <v>42</v>
      </c>
      <c r="B9" s="267">
        <v>14</v>
      </c>
      <c r="C9" s="268">
        <v>10.5</v>
      </c>
      <c r="E9" s="280" t="s">
        <v>151</v>
      </c>
      <c r="F9" s="280" t="s">
        <v>151</v>
      </c>
      <c r="G9" s="280" t="s">
        <v>151</v>
      </c>
      <c r="H9" s="280" t="s">
        <v>33</v>
      </c>
      <c r="I9" s="280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1</v>
      </c>
      <c r="Q9" s="214">
        <f>COUNTIF(E10:I11,"RAP")</f>
        <v>3</v>
      </c>
      <c r="R9" s="221">
        <f t="shared" si="0"/>
        <v>0.5</v>
      </c>
      <c r="S9" s="221">
        <f t="shared" si="1"/>
        <v>0.59771986970684043</v>
      </c>
      <c r="T9" s="226">
        <f t="shared" si="5"/>
        <v>3.6590870097686101E-3</v>
      </c>
      <c r="U9" s="228">
        <f t="shared" si="6"/>
        <v>0.21316769011075931</v>
      </c>
      <c r="V9" s="218">
        <f>$G$17</f>
        <v>0.56999999999999995</v>
      </c>
      <c r="W9" s="216">
        <f>$H$17</f>
        <v>0.56999999999999995</v>
      </c>
      <c r="X9" s="251">
        <f t="shared" si="7"/>
        <v>2.0856795955681074E-3</v>
      </c>
      <c r="Y9" s="252">
        <f t="shared" si="7"/>
        <v>0.1215055833631328</v>
      </c>
      <c r="Z9" s="199"/>
      <c r="AA9" s="244">
        <f t="shared" si="8"/>
        <v>2.0856795955681074E-3</v>
      </c>
      <c r="AB9" s="245">
        <f t="shared" si="9"/>
        <v>0.99791432040443184</v>
      </c>
      <c r="AC9" s="245">
        <f>PRODUCT(AB10:AB$16)*AA9*PRODUCT(AB$4:AB8)</f>
        <v>1.6844318628348161E-3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2.2930569137331067E-4</v>
      </c>
      <c r="AE9" s="183"/>
      <c r="AF9" s="197"/>
      <c r="AG9" s="246">
        <f t="shared" si="10"/>
        <v>0.1215055833631328</v>
      </c>
      <c r="AH9" s="247">
        <f t="shared" si="2"/>
        <v>0.87849441663686723</v>
      </c>
      <c r="AI9" s="247">
        <f>AG9*PRODUCT(AH3:AH8)*PRODUCT(AH10:AH17)</f>
        <v>8.1445865185299754E-2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1.4207753055643563E-2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1.3909806602008892E-3</v>
      </c>
      <c r="BM9" s="31">
        <f>BI38+1</f>
        <v>5</v>
      </c>
      <c r="BN9" s="31">
        <v>5</v>
      </c>
      <c r="BO9" s="107">
        <f>$H$30*H44</f>
        <v>1.4716055338548917E-2</v>
      </c>
      <c r="BQ9" s="31">
        <f>BM6+1</f>
        <v>3</v>
      </c>
      <c r="BR9" s="31">
        <v>2</v>
      </c>
      <c r="BS9" s="107">
        <f>$H$28*H41</f>
        <v>5.3751829152511241E-2</v>
      </c>
    </row>
    <row r="10" spans="1:71" ht="15.75" x14ac:dyDescent="0.25">
      <c r="A10" s="6" t="s">
        <v>45</v>
      </c>
      <c r="B10" s="267">
        <v>10</v>
      </c>
      <c r="C10" s="268">
        <v>9.25</v>
      </c>
      <c r="E10" s="280" t="s">
        <v>138</v>
      </c>
      <c r="F10" s="280" t="s">
        <v>1</v>
      </c>
      <c r="G10" s="280" t="s">
        <v>151</v>
      </c>
      <c r="H10" s="280" t="s">
        <v>151</v>
      </c>
      <c r="I10" s="280" t="s">
        <v>138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0.10835729014135015</v>
      </c>
      <c r="U10" s="228">
        <f>S10*G14</f>
        <v>0.1187762603472492</v>
      </c>
      <c r="V10" s="218">
        <f>$G$18</f>
        <v>0.45</v>
      </c>
      <c r="W10" s="216">
        <f>$H$18</f>
        <v>0.45</v>
      </c>
      <c r="X10" s="251">
        <f t="shared" si="7"/>
        <v>4.8760780563607567E-2</v>
      </c>
      <c r="Y10" s="252">
        <f t="shared" si="7"/>
        <v>5.3449317156262138E-2</v>
      </c>
      <c r="Z10" s="199"/>
      <c r="AA10" s="244">
        <f t="shared" si="8"/>
        <v>4.8760780563607567E-2</v>
      </c>
      <c r="AB10" s="245">
        <f t="shared" si="9"/>
        <v>0.95123921943639245</v>
      </c>
      <c r="AC10" s="245">
        <f>PRODUCT(AB11:AB$16)*AA10*PRODUCT(AB$4:AB9)</f>
        <v>4.1312360641375466E-2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3.5062664947595268E-3</v>
      </c>
      <c r="AE10" s="183"/>
      <c r="AF10" s="197"/>
      <c r="AG10" s="246">
        <f t="shared" si="10"/>
        <v>5.3449317156262138E-2</v>
      </c>
      <c r="AH10" s="247">
        <f t="shared" si="2"/>
        <v>0.94655068284373789</v>
      </c>
      <c r="AI10" s="247">
        <f>AG10*PRODUCT(AH3:AH9)*PRODUCT(AH11:AH17)</f>
        <v>3.3251412605043759E-2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3.9228907638601887E-3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5.4228413386133562E-4</v>
      </c>
      <c r="BM10" s="31">
        <f>BI44+1</f>
        <v>6</v>
      </c>
      <c r="BN10" s="31">
        <v>6</v>
      </c>
      <c r="BO10" s="107">
        <f>$H$31*H45</f>
        <v>2.9647735736103445E-3</v>
      </c>
      <c r="BQ10" s="31">
        <f>BQ7+1</f>
        <v>4</v>
      </c>
      <c r="BR10" s="31">
        <v>0</v>
      </c>
      <c r="BS10" s="107">
        <f>$H$29*H39</f>
        <v>5.544379906703284E-3</v>
      </c>
    </row>
    <row r="11" spans="1:71" ht="15.75" x14ac:dyDescent="0.25">
      <c r="A11" s="6" t="s">
        <v>48</v>
      </c>
      <c r="B11" s="267">
        <v>14</v>
      </c>
      <c r="C11" s="268">
        <v>18.25</v>
      </c>
      <c r="E11" s="213"/>
      <c r="F11" s="280" t="s">
        <v>1</v>
      </c>
      <c r="G11" s="280" t="s">
        <v>33</v>
      </c>
      <c r="H11" s="280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2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1.1062546584232199E-2</v>
      </c>
      <c r="U11" s="228">
        <f>IF(Q11&gt;0,IF(P11&gt;0,G14^2.7/(G14^2.7+G13^2.7),1),0)*Q11/L11*S11</f>
        <v>2.8349029162335455E-2</v>
      </c>
      <c r="V11" s="218">
        <f>IF(P11-Q11&gt;3,0.9,IF(P11-Q11=3,0.83,IF(P11-Q11=2,0.75,IF(P11-Q11=1,0.65,IF(P11-Q11=0,0.44,IF(P11-Q11=-1,0.16,IF(P11-Q11&lt;-1,0.05,0.02)))))))</f>
        <v>0.16</v>
      </c>
      <c r="W11" s="216">
        <f>IF(Q11-P11&gt;3,0.9,IF(Q11-P11=3,0.83,IF(Q11-P11=2,0.75,IF(Q11-P11=1,0.65,IF(Q11-P11=0,0.44,IF(Q11-P11=-1,0.16,IF(Q11-P11&lt;-1,0.05,0.02)))))))</f>
        <v>0.65</v>
      </c>
      <c r="X11" s="251">
        <f t="shared" si="7"/>
        <v>1.7700074534771518E-3</v>
      </c>
      <c r="Y11" s="252">
        <f t="shared" si="7"/>
        <v>1.8426868955518046E-2</v>
      </c>
      <c r="Z11" s="199"/>
      <c r="AA11" s="244">
        <f t="shared" si="8"/>
        <v>1.7700074534771518E-3</v>
      </c>
      <c r="AB11" s="245">
        <f t="shared" si="9"/>
        <v>0.99822999254652289</v>
      </c>
      <c r="AC11" s="245">
        <f>PRODUCT(AB12:AB$16)*AA11*PRODUCT(AB$4:AB10)</f>
        <v>1.4290373874796365E-3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1.1875150153654369E-4</v>
      </c>
      <c r="AE11" s="183"/>
      <c r="AF11" s="197"/>
      <c r="AG11" s="246">
        <f t="shared" si="10"/>
        <v>1.8426868955518046E-2</v>
      </c>
      <c r="AH11" s="247">
        <f t="shared" si="2"/>
        <v>0.98157313104448196</v>
      </c>
      <c r="AI11" s="247">
        <f>AG11*PRODUCT(AH3:AH10)*PRODUCT(AH12:AH17)</f>
        <v>1.1054540557830372E-2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1.0966532287044752E-3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1.6970189190038899E-4</v>
      </c>
      <c r="BM11" s="31">
        <f>BI50+1</f>
        <v>7</v>
      </c>
      <c r="BN11" s="31">
        <v>7</v>
      </c>
      <c r="BO11" s="107">
        <f>$H$32*H46</f>
        <v>3.562305173623168E-4</v>
      </c>
      <c r="BQ11" s="31">
        <f>BQ8+1</f>
        <v>4</v>
      </c>
      <c r="BR11" s="31">
        <v>1</v>
      </c>
      <c r="BS11" s="107">
        <f>$H$29*H40</f>
        <v>2.2953280850568691E-2</v>
      </c>
    </row>
    <row r="12" spans="1:71" ht="15.75" x14ac:dyDescent="0.25">
      <c r="A12" s="6" t="s">
        <v>52</v>
      </c>
      <c r="B12" s="267">
        <v>14</v>
      </c>
      <c r="C12" s="268">
        <v>15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1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4.7817589576547234E-3</v>
      </c>
      <c r="U12" s="228">
        <f>IF(S12=0,0,S12*Q12^2.7/(P12^2.7+Q12^2.7)*Q12/L12)</f>
        <v>4.7817589576547234E-3</v>
      </c>
      <c r="V12" s="218">
        <f>$G$18</f>
        <v>0.45</v>
      </c>
      <c r="W12" s="216">
        <f>$H$18</f>
        <v>0.45</v>
      </c>
      <c r="X12" s="251">
        <f t="shared" si="7"/>
        <v>2.1517915309446256E-3</v>
      </c>
      <c r="Y12" s="252">
        <f t="shared" si="7"/>
        <v>2.1517915309446256E-3</v>
      </c>
      <c r="Z12" s="199"/>
      <c r="AA12" s="244">
        <f t="shared" si="8"/>
        <v>2.1517915309446256E-3</v>
      </c>
      <c r="AB12" s="245">
        <f t="shared" si="9"/>
        <v>0.99784820846905542</v>
      </c>
      <c r="AC12" s="245">
        <f>PRODUCT(AB13:AB$16)*AA12*PRODUCT(AB$4:AB11)</f>
        <v>1.7379401740830482E-3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1.4067324837870889E-4</v>
      </c>
      <c r="AE12" s="183"/>
      <c r="AF12" s="197"/>
      <c r="AG12" s="246">
        <f t="shared" si="10"/>
        <v>2.1517915309446256E-3</v>
      </c>
      <c r="AH12" s="247">
        <f t="shared" si="2"/>
        <v>0.99784820846905542</v>
      </c>
      <c r="AI12" s="247">
        <f>AG12*PRODUCT(AH3:AH11)*PRODUCT(AH13:AH17)</f>
        <v>1.2698356742603539E-3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1.2323430201125084E-4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4.1402741962925277E-5</v>
      </c>
      <c r="BM12" s="31">
        <f>BI54+1</f>
        <v>8</v>
      </c>
      <c r="BN12" s="31">
        <v>8</v>
      </c>
      <c r="BO12" s="107">
        <f>$H$33*H47</f>
        <v>2.5815479991380527E-5</v>
      </c>
      <c r="BQ12" s="31">
        <f>BQ9+1</f>
        <v>4</v>
      </c>
      <c r="BR12" s="31">
        <v>2</v>
      </c>
      <c r="BS12" s="107">
        <f>$H$29*H41</f>
        <v>4.3709117338983049E-2</v>
      </c>
    </row>
    <row r="13" spans="1:71" ht="15.75" x14ac:dyDescent="0.25">
      <c r="A13" s="7" t="s">
        <v>55</v>
      </c>
      <c r="B13" s="267">
        <v>9</v>
      </c>
      <c r="C13" s="268">
        <v>9</v>
      </c>
      <c r="E13" s="210"/>
      <c r="F13" s="210" t="s">
        <v>152</v>
      </c>
      <c r="G13" s="217">
        <f>B22</f>
        <v>0.47706422018348627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2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1.5369939506747324E-2</v>
      </c>
      <c r="U13" s="228">
        <f>IF(P13+Q13=0,0,S13*Q14/4*Q13/L13)</f>
        <v>3.0739879013494648E-2</v>
      </c>
      <c r="V13" s="218">
        <v>1</v>
      </c>
      <c r="W13" s="216">
        <v>1</v>
      </c>
      <c r="X13" s="251">
        <f t="shared" si="7"/>
        <v>1.5369939506747324E-2</v>
      </c>
      <c r="Y13" s="252">
        <f t="shared" si="7"/>
        <v>3.0739879013494648E-2</v>
      </c>
      <c r="Z13" s="199"/>
      <c r="AA13" s="244">
        <f t="shared" si="8"/>
        <v>1.5369939506747324E-2</v>
      </c>
      <c r="AB13" s="245">
        <f t="shared" si="9"/>
        <v>0.98463006049325263</v>
      </c>
      <c r="AC13" s="245">
        <f>PRODUCT(AB14:AB$16)*AA13*PRODUCT(AB$4:AB12)</f>
        <v>1.2580507997856691E-2</v>
      </c>
      <c r="AD13" s="245">
        <f>AA13*AA14*PRODUCT(AB3:AB12)*PRODUCT(AB15:AB17)+AA13*AA15*PRODUCT(AB3:AB12)*AB14*PRODUCT(AB16:AB17)+AA13*AA16*PRODUCT(AB3:AB12)*AB14*AB15*AB17+AA13*AA17*PRODUCT(AB3:AB12)*AB14*AB15*AB16</f>
        <v>8.2191796010814232E-4</v>
      </c>
      <c r="AE13" s="183"/>
      <c r="AF13" s="197"/>
      <c r="AG13" s="246">
        <f t="shared" si="10"/>
        <v>3.0739879013494648E-2</v>
      </c>
      <c r="AH13" s="247">
        <f t="shared" si="2"/>
        <v>0.96926012098650538</v>
      </c>
      <c r="AI13" s="247">
        <f>AG13*PRODUCT(AH3:AH12)*PRODUCT(AH14:AH17)</f>
        <v>1.8675559476101673E-2</v>
      </c>
      <c r="AJ13" s="247">
        <f>AG13*AG14*PRODUCT(AH3:AH12)*PRODUCT(AH15:AH17)+AG13*AG15*PRODUCT(AH3:AH12)*AH14*PRODUCT(AH16:AH17)+AG13*AG16*PRODUCT(AH3:AH12)*AH14*AH15*AH17+AG13*AG17*PRODUCT(AH3:AH12)*AH14*AH15*AH16</f>
        <v>1.2201238416676718E-3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7.502934222117921E-6</v>
      </c>
      <c r="BM13" s="31">
        <f>BI57+1</f>
        <v>9</v>
      </c>
      <c r="BN13" s="31">
        <v>9</v>
      </c>
      <c r="BO13" s="107">
        <f>$H$34*H48</f>
        <v>1.1200118368903502E-6</v>
      </c>
      <c r="BQ13" s="31">
        <f>BM7+1</f>
        <v>4</v>
      </c>
      <c r="BR13" s="31">
        <v>3</v>
      </c>
      <c r="BS13" s="107">
        <f>$H$29*H42</f>
        <v>5.1206186109517965E-2</v>
      </c>
    </row>
    <row r="14" spans="1:71" ht="15.75" x14ac:dyDescent="0.25">
      <c r="A14" s="7" t="s">
        <v>58</v>
      </c>
      <c r="B14" s="267">
        <v>4</v>
      </c>
      <c r="C14" s="268">
        <v>4</v>
      </c>
      <c r="E14" s="210"/>
      <c r="F14" s="210" t="s">
        <v>153</v>
      </c>
      <c r="G14" s="215">
        <f>C22</f>
        <v>0.52293577981651373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5.2653761612171543E-2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3.8471764377282169E-2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2.1840938239263013E-2</v>
      </c>
      <c r="BM14" s="31">
        <f>BQ39+1</f>
        <v>10</v>
      </c>
      <c r="BN14" s="31">
        <v>10</v>
      </c>
      <c r="BO14" s="107">
        <f>$H$35*H49</f>
        <v>2.8445924917502284E-8</v>
      </c>
      <c r="BQ14" s="31">
        <f>BQ10+1</f>
        <v>5</v>
      </c>
      <c r="BR14" s="31">
        <v>0</v>
      </c>
      <c r="BS14" s="107">
        <f>$H$30*H39</f>
        <v>3.1808106751027142E-3</v>
      </c>
    </row>
    <row r="15" spans="1:71" ht="15.75" x14ac:dyDescent="0.25">
      <c r="A15" s="162" t="s">
        <v>62</v>
      </c>
      <c r="B15" s="269">
        <v>5</v>
      </c>
      <c r="C15" s="270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2.5587136423107882E-2</v>
      </c>
      <c r="BQ15" s="31">
        <f>BQ11+1</f>
        <v>5</v>
      </c>
      <c r="BR15" s="31">
        <v>1</v>
      </c>
      <c r="BS15" s="107">
        <f>$H$30*H40</f>
        <v>1.3168296903653513E-2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77">
        <v>0.7</v>
      </c>
      <c r="H16" s="278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183</v>
      </c>
      <c r="P16" s="212">
        <f>COUNTIF(F6:H6,"POT")</f>
        <v>1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0.1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5.6999999999999995E-2</v>
      </c>
      <c r="Y16" s="252">
        <f t="shared" si="7"/>
        <v>0</v>
      </c>
      <c r="Z16" s="199"/>
      <c r="AA16" s="244">
        <f t="shared" si="8"/>
        <v>5.6999999999999995E-2</v>
      </c>
      <c r="AB16" s="245">
        <f t="shared" si="9"/>
        <v>0.94300000000000006</v>
      </c>
      <c r="AC16" s="245">
        <f>AA16*PRODUCT(AB$4:AB15)</f>
        <v>4.8714951380001752E-2</v>
      </c>
      <c r="AD16" s="245">
        <f t="shared" ref="AD16" si="14">(FACT(2)/(FACT($AD$1)*FACT(2-$AD$1))*AA16^$AD$1*(1-AA16)^(2-$AD$1))</f>
        <v>3.2489999999999993E-3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2.0896081878040679E-2</v>
      </c>
      <c r="BQ16" s="31">
        <f>BQ12+1</f>
        <v>5</v>
      </c>
      <c r="BR16" s="31">
        <v>2</v>
      </c>
      <c r="BS16" s="107">
        <f>$H$30*H41</f>
        <v>2.5075920007404873E-2</v>
      </c>
    </row>
    <row r="17" spans="1:71" x14ac:dyDescent="0.25">
      <c r="A17" s="161" t="s">
        <v>69</v>
      </c>
      <c r="B17" s="271" t="s">
        <v>70</v>
      </c>
      <c r="C17" s="272" t="s">
        <v>70</v>
      </c>
      <c r="E17" s="210"/>
      <c r="F17" s="210" t="s">
        <v>154</v>
      </c>
      <c r="G17" s="277">
        <v>0.56999999999999995</v>
      </c>
      <c r="H17" s="278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1.2817573819022838E-2</v>
      </c>
      <c r="BQ17" s="31">
        <f>BQ13+1</f>
        <v>5</v>
      </c>
      <c r="BR17" s="31">
        <v>3</v>
      </c>
      <c r="BS17" s="107">
        <f>$H$30*H42</f>
        <v>2.9376988256437617E-2</v>
      </c>
    </row>
    <row r="18" spans="1:71" x14ac:dyDescent="0.25">
      <c r="A18" s="161" t="s">
        <v>73</v>
      </c>
      <c r="B18" s="271">
        <v>20</v>
      </c>
      <c r="C18" s="272">
        <v>20</v>
      </c>
      <c r="E18" s="210"/>
      <c r="F18" s="209" t="s">
        <v>3</v>
      </c>
      <c r="G18" s="277">
        <v>0.45</v>
      </c>
      <c r="H18" s="278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0.80593331844459049</v>
      </c>
      <c r="AC18" s="159">
        <f>SUM(AC4:AC16)</f>
        <v>0.17817225371020906</v>
      </c>
      <c r="AD18" s="159">
        <f>SUM(AD3:AD17)</f>
        <v>1.0664995136434558E-2</v>
      </c>
      <c r="AE18" s="159">
        <f>IF((1-AB18-AC18-AD18)&lt;0,(1-AB18-AC18-AD18)-1,1-AB18-AC18-AD18)</f>
        <v>5.2294327087658958E-3</v>
      </c>
      <c r="AF18" s="197"/>
      <c r="AG18" s="157"/>
      <c r="AH18" s="160">
        <f>PRODUCT(AH3:AH17)</f>
        <v>0.5888596708318381</v>
      </c>
      <c r="AI18" s="159">
        <f>SUM(AI3:AI17)</f>
        <v>0.29416464149602778</v>
      </c>
      <c r="AJ18" s="159">
        <f>SUM(AJ3:AJ17)</f>
        <v>5.9218307969237889E-2</v>
      </c>
      <c r="AK18" s="159">
        <f>IF((1-AH18-AI18-AJ18)&lt;0,(1-AH18-AI18-AJ18)-1,(1-AH18-AI18-AJ18))</f>
        <v>5.7757379702896232E-2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6.1964719807572673E-3</v>
      </c>
      <c r="BQ18" s="31">
        <f>BM8+1</f>
        <v>5</v>
      </c>
      <c r="BR18" s="31">
        <v>4</v>
      </c>
      <c r="BS18" s="107">
        <f>$H$30*H43</f>
        <v>2.3991115761683127E-2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2.4157405902363108E-3</v>
      </c>
      <c r="BQ19" s="31">
        <f>BQ15+1</f>
        <v>6</v>
      </c>
      <c r="BR19" s="31">
        <v>1</v>
      </c>
      <c r="BS19" s="107">
        <f>$H$31*H40</f>
        <v>5.4877088981148819E-3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7.559796108814272E-4</v>
      </c>
      <c r="BQ20" s="31">
        <f>BQ16+1</f>
        <v>6</v>
      </c>
      <c r="BR20" s="31">
        <v>2</v>
      </c>
      <c r="BS20" s="107">
        <f>$H$31*H41</f>
        <v>1.0450049111124867E-2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1.8443889109338E-4</v>
      </c>
      <c r="BQ21" s="31">
        <f>BQ17+1</f>
        <v>6</v>
      </c>
      <c r="BR21" s="31">
        <v>3</v>
      </c>
      <c r="BS21" s="107">
        <f>$H$31*H42</f>
        <v>1.2242460891806072E-2</v>
      </c>
    </row>
    <row r="22" spans="1:71" x14ac:dyDescent="0.25">
      <c r="A22" s="26" t="s">
        <v>81</v>
      </c>
      <c r="B22" s="169">
        <f>(B6)/((B6)+(C6))</f>
        <v>0.47706422018348627</v>
      </c>
      <c r="C22" s="170">
        <f>1-B22</f>
        <v>0.52293577981651373</v>
      </c>
      <c r="V22" s="171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2"/>
        <v>3.3423700998189334E-5</v>
      </c>
      <c r="BQ22" s="31">
        <f>BQ18+1</f>
        <v>6</v>
      </c>
      <c r="BR22" s="31">
        <v>4</v>
      </c>
      <c r="BS22" s="107">
        <f>$H$31*H43</f>
        <v>9.9979716742690534E-3</v>
      </c>
    </row>
    <row r="23" spans="1:71" ht="15.75" thickBot="1" x14ac:dyDescent="0.3">
      <c r="A23" s="40" t="s">
        <v>82</v>
      </c>
      <c r="B23" s="56">
        <f>((B22^2.8)/((B22^2.8)+(C22^2.8)))*B21</f>
        <v>2.1804314116610537</v>
      </c>
      <c r="C23" s="57">
        <f>B21-B23</f>
        <v>2.8195685883389463</v>
      </c>
      <c r="D23" s="149">
        <f>SUM(D25:D30)</f>
        <v>1</v>
      </c>
      <c r="E23" s="149">
        <f>SUM(E25:E30)</f>
        <v>1</v>
      </c>
      <c r="H23" s="229">
        <f>SUM(H25:H35)</f>
        <v>0.99998936391970827</v>
      </c>
      <c r="I23" s="81"/>
      <c r="J23" s="229">
        <f>SUM(J25:J35)</f>
        <v>1.0000000000000002</v>
      </c>
      <c r="K23" s="229"/>
      <c r="L23" s="229">
        <f>SUM(L25:L35)</f>
        <v>1</v>
      </c>
      <c r="M23" s="81"/>
      <c r="N23" s="229">
        <f>SUM(N25:N35)</f>
        <v>1.0000000000000002</v>
      </c>
      <c r="O23" s="81"/>
      <c r="P23" s="229">
        <f>SUM(P25:P35)</f>
        <v>1.0000000000000002</v>
      </c>
      <c r="Q23" s="81"/>
      <c r="R23" s="229">
        <f>SUM(R25:R35)</f>
        <v>1.0000000000000007</v>
      </c>
      <c r="S23" s="81"/>
      <c r="T23" s="229">
        <f>SUM(T25:T35)</f>
        <v>1</v>
      </c>
      <c r="V23" s="171">
        <f>SUM(V25:V34)</f>
        <v>0.99971872115814486</v>
      </c>
      <c r="Y23" s="168">
        <f>SUM(Y25:Y35)</f>
        <v>3.2193838003041291E-3</v>
      </c>
      <c r="Z23" s="81"/>
      <c r="AA23" s="168">
        <f>SUM(AA25:AA35)</f>
        <v>2.4928524460520921E-2</v>
      </c>
      <c r="AB23" s="81"/>
      <c r="AC23" s="168">
        <f>SUM(AC25:AC35)</f>
        <v>8.6887572393499646E-2</v>
      </c>
      <c r="AD23" s="81"/>
      <c r="AE23" s="168">
        <f>SUM(AE25:AE35)</f>
        <v>0.17953381090735476</v>
      </c>
      <c r="AF23" s="81"/>
      <c r="AG23" s="168">
        <f>SUM(AG25:AG35)</f>
        <v>0.24358377014793148</v>
      </c>
      <c r="AH23" s="81"/>
      <c r="AI23" s="168">
        <f>SUM(AI25:AI35)</f>
        <v>0.22680831284223021</v>
      </c>
      <c r="AJ23" s="81"/>
      <c r="AK23" s="168">
        <f>SUM(AK25:AK35)</f>
        <v>0.14685524332427233</v>
      </c>
      <c r="AL23" s="81"/>
      <c r="AM23" s="168">
        <f>SUM(AM25:AM35)</f>
        <v>6.5354680863140599E-2</v>
      </c>
      <c r="AN23" s="81"/>
      <c r="AO23" s="168">
        <f>SUM(AO25:AO35)</f>
        <v>1.9175307313098799E-2</v>
      </c>
      <c r="AP23" s="81"/>
      <c r="AQ23" s="168">
        <f>SUM(AQ25:AQ35)</f>
        <v>3.3721151057920524E-3</v>
      </c>
      <c r="AR23" s="81"/>
      <c r="AS23" s="168">
        <f>SUM(AS25:AS35)</f>
        <v>2.8127884185513713E-4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5.1796763303580032E-2</v>
      </c>
      <c r="BQ23" s="31">
        <f>BM9+1</f>
        <v>6</v>
      </c>
      <c r="BR23" s="31">
        <v>5</v>
      </c>
      <c r="BS23" s="107">
        <f>$H$31*H44</f>
        <v>6.1327162060038267E-3</v>
      </c>
    </row>
    <row r="24" spans="1:71" ht="15.75" thickBot="1" x14ac:dyDescent="0.3">
      <c r="A24" s="26" t="s">
        <v>83</v>
      </c>
      <c r="B24" s="64">
        <f>B23/B21</f>
        <v>0.43608628233221075</v>
      </c>
      <c r="C24" s="65">
        <f>C23/B21</f>
        <v>0.5639137176677893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4.2300529028001174E-2</v>
      </c>
      <c r="BQ24" s="31">
        <f>BI49+1</f>
        <v>7</v>
      </c>
      <c r="BR24" s="31">
        <v>0</v>
      </c>
      <c r="BS24" s="107">
        <f t="shared" ref="BS24:BS30" si="17">$H$32*H39</f>
        <v>4.0853856616980311E-4</v>
      </c>
    </row>
    <row r="25" spans="1:71" x14ac:dyDescent="0.25">
      <c r="A25" s="26" t="s">
        <v>108</v>
      </c>
      <c r="B25" s="172">
        <f>1/(1+EXP(-3.1416*4*((B11/(B11+C8))-(3.1416/6))))</f>
        <v>0.74447252387886043</v>
      </c>
      <c r="C25" s="170">
        <f>1/(1+EXP(-3.1416*4*((C11/(C11+B8))-(3.1416/6))))</f>
        <v>0.62982160269700571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2.3564116113559172E-2</v>
      </c>
      <c r="I25" s="97">
        <v>0</v>
      </c>
      <c r="J25" s="98">
        <f t="shared" ref="J25:J35" si="18">Y25+AA25+AC25+AE25+AG25+AI25+AK25+AM25+AO25+AQ25+AS25</f>
        <v>2.9238294998197488E-2</v>
      </c>
      <c r="K25" s="97">
        <v>0</v>
      </c>
      <c r="L25" s="98">
        <f>AB18</f>
        <v>0.80593331844459049</v>
      </c>
      <c r="M25" s="85">
        <v>0</v>
      </c>
      <c r="N25" s="173">
        <f>(1-$B$24)^$B$21</f>
        <v>5.7024737718865355E-2</v>
      </c>
      <c r="O25" s="72">
        <v>0</v>
      </c>
      <c r="P25" s="173">
        <f t="shared" ref="P25:P30" si="19">N25</f>
        <v>5.7024737718865355E-2</v>
      </c>
      <c r="Q25" s="28">
        <v>0</v>
      </c>
      <c r="R25" s="174">
        <f>P25*N25</f>
        <v>3.2518207119053852E-3</v>
      </c>
      <c r="S25" s="72">
        <v>0</v>
      </c>
      <c r="T25" s="175">
        <f>(1-$B$33)^(INT(C23*2*(1-C31)))</f>
        <v>0.99002500000000004</v>
      </c>
      <c r="U25" s="138">
        <v>0</v>
      </c>
      <c r="V25" s="86">
        <f>R25*T25</f>
        <v>3.2193838003041291E-3</v>
      </c>
      <c r="W25" s="134">
        <f>B31</f>
        <v>0.68129443748672402</v>
      </c>
      <c r="X25" s="28">
        <v>0</v>
      </c>
      <c r="Y25" s="176">
        <f>V25</f>
        <v>3.2193838003041291E-3</v>
      </c>
      <c r="Z25" s="28">
        <v>0</v>
      </c>
      <c r="AA25" s="176">
        <f>((1-W25)^Z26)*V26</f>
        <v>7.9448594108162789E-3</v>
      </c>
      <c r="AB25" s="28">
        <v>0</v>
      </c>
      <c r="AC25" s="176">
        <f>(((1-$W$25)^AB27))*V27</f>
        <v>8.8254518594302108E-3</v>
      </c>
      <c r="AD25" s="28">
        <v>0</v>
      </c>
      <c r="AE25" s="176">
        <f>(((1-$W$25)^AB28))*V28</f>
        <v>5.8118604801366009E-3</v>
      </c>
      <c r="AF25" s="28">
        <v>0</v>
      </c>
      <c r="AG25" s="176">
        <f>(((1-$W$25)^AB29))*V29</f>
        <v>2.5130835190358557E-3</v>
      </c>
      <c r="AH25" s="28">
        <v>0</v>
      </c>
      <c r="AI25" s="176">
        <f>(((1-$W$25)^AB30))*V30</f>
        <v>7.4577390894653688E-4</v>
      </c>
      <c r="AJ25" s="28">
        <v>0</v>
      </c>
      <c r="AK25" s="176">
        <f>(((1-$W$25)^AB31))*V31</f>
        <v>1.5389599507292838E-4</v>
      </c>
      <c r="AL25" s="28">
        <v>0</v>
      </c>
      <c r="AM25" s="176">
        <f>(((1-$W$25)^AB32))*V32</f>
        <v>2.1827510340072047E-5</v>
      </c>
      <c r="AN25" s="28">
        <v>0</v>
      </c>
      <c r="AO25" s="176">
        <f>(((1-$W$25)^AB33))*V33</f>
        <v>2.0410774317590425E-6</v>
      </c>
      <c r="AP25" s="28">
        <v>0</v>
      </c>
      <c r="AQ25" s="176">
        <f>(((1-$W$25)^AB34))*V34</f>
        <v>1.1439556351410076E-7</v>
      </c>
      <c r="AR25" s="28">
        <v>0</v>
      </c>
      <c r="AS25" s="176">
        <f>(((1-$W$25)^AB35))*V35</f>
        <v>3.0411195983536105E-9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2.5946976881340681E-2</v>
      </c>
      <c r="BQ25" s="31">
        <f>BQ19+1</f>
        <v>7</v>
      </c>
      <c r="BR25" s="31">
        <v>1</v>
      </c>
      <c r="BS25" s="107">
        <f t="shared" si="17"/>
        <v>1.6913163609598178E-3</v>
      </c>
    </row>
    <row r="26" spans="1:71" x14ac:dyDescent="0.25">
      <c r="A26" s="40" t="s">
        <v>109</v>
      </c>
      <c r="B26" s="169">
        <f>1/(1+EXP(-3.1416*4*((B10/(B10+C9))-(3.1416/6))))</f>
        <v>0.38940455727226553</v>
      </c>
      <c r="C26" s="170">
        <f>1/(1+EXP(-3.1416*4*((C10/(C10+B9))-(3.1416/6))))</f>
        <v>0.17076269052774787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0.10497226124473395</v>
      </c>
      <c r="I26" s="138">
        <v>1</v>
      </c>
      <c r="J26" s="86">
        <f t="shared" si="18"/>
        <v>0.12378543738928455</v>
      </c>
      <c r="K26" s="138">
        <v>1</v>
      </c>
      <c r="L26" s="86">
        <f>AC18</f>
        <v>0.17817225371020906</v>
      </c>
      <c r="M26" s="85">
        <v>1</v>
      </c>
      <c r="N26" s="173">
        <f>(($B$24)^M26)*((1-($B$24))^($B$21-M26))*HLOOKUP($B$21,$AV$24:$BF$34,M26+1)</f>
        <v>0.22049211691139736</v>
      </c>
      <c r="O26" s="72">
        <v>1</v>
      </c>
      <c r="P26" s="173">
        <f t="shared" si="19"/>
        <v>0.22049211691139736</v>
      </c>
      <c r="Q26" s="28">
        <v>1</v>
      </c>
      <c r="R26" s="174">
        <f>N26*P25+P26*N25</f>
        <v>2.514701027189966E-2</v>
      </c>
      <c r="S26" s="72">
        <v>1</v>
      </c>
      <c r="T26" s="175">
        <f t="shared" ref="T26:T35" si="20">(($B$33)^S26)*((1-($B$33))^(INT($C$23*2*(1-$C$31))-S26))*HLOOKUP(INT($C$23*2*(1-$C$31)),$AV$24:$BF$34,S26+1)</f>
        <v>9.9500000000000005E-3</v>
      </c>
      <c r="U26" s="138">
        <v>1</v>
      </c>
      <c r="V26" s="86">
        <f>R26*T25+T26*R25</f>
        <v>2.4928524460520921E-2</v>
      </c>
      <c r="W26" s="177"/>
      <c r="X26" s="28">
        <v>1</v>
      </c>
      <c r="Y26" s="174"/>
      <c r="Z26" s="28">
        <v>1</v>
      </c>
      <c r="AA26" s="176">
        <f>(1-((1-W25)^Z26))*V26</f>
        <v>1.6983665049704642E-2</v>
      </c>
      <c r="AB26" s="28">
        <v>1</v>
      </c>
      <c r="AC26" s="176">
        <f>((($W$25)^M26)*((1-($W$25))^($U$27-M26))*HLOOKUP($U$27,$AV$24:$BF$34,M26+1))*V27</f>
        <v>3.7732201551306167E-2</v>
      </c>
      <c r="AD26" s="28">
        <v>1</v>
      </c>
      <c r="AE26" s="176">
        <f>((($W$25)^M26)*((1-($W$25))^($U$28-M26))*HLOOKUP($U$28,$AV$24:$BF$34,M26+1))*V28</f>
        <v>3.7271908767526257E-2</v>
      </c>
      <c r="AF26" s="28">
        <v>1</v>
      </c>
      <c r="AG26" s="176">
        <f>((($W$25)^M26)*((1-($W$25))^($U$29-M26))*HLOOKUP($U$29,$AV$24:$BF$34,M26+1))*V29</f>
        <v>2.1488797483882879E-2</v>
      </c>
      <c r="AH26" s="28">
        <v>1</v>
      </c>
      <c r="AI26" s="176">
        <f>((($W$25)^M26)*((1-($W$25))^($U$30-M26))*HLOOKUP($U$30,$AV$24:$BF$34,M26+1))*V30</f>
        <v>7.9711758367386684E-3</v>
      </c>
      <c r="AJ26" s="28">
        <v>1</v>
      </c>
      <c r="AK26" s="176">
        <f>((($W$25)^M26)*((1-($W$25))^($U$31-M26))*HLOOKUP($U$31,$AV$24:$BF$34,M26+1))*V31</f>
        <v>1.9738937325319409E-3</v>
      </c>
      <c r="AL26" s="28">
        <v>1</v>
      </c>
      <c r="AM26" s="176">
        <f>((($W$25)^Q26)*((1-($W$25))^($U$32-Q26))*HLOOKUP($U$32,$AV$24:$BF$34,Q26+1))*V32</f>
        <v>3.2662351052560937E-4</v>
      </c>
      <c r="AN26" s="28">
        <v>1</v>
      </c>
      <c r="AO26" s="176">
        <f>((($W$25)^Q26)*((1-($W$25))^($U$33-Q26))*HLOOKUP($U$33,$AV$24:$BF$34,Q26+1))*V33</f>
        <v>3.4905564616348953E-5</v>
      </c>
      <c r="AP26" s="28">
        <v>1</v>
      </c>
      <c r="AQ26" s="176">
        <f>((($W$25)^Q26)*((1-($W$25))^($U$34-Q26))*HLOOKUP($U$34,$AV$24:$BF$34,Q26+1))*V34</f>
        <v>2.2008826715367604E-6</v>
      </c>
      <c r="AR26" s="28">
        <v>1</v>
      </c>
      <c r="AS26" s="176">
        <f>((($W$25)^Q26)*((1-($W$25))^($U$35-Q26))*HLOOKUP($U$35,$AV$24:$BF$34,Q26+1))*V35</f>
        <v>6.5009780493048912E-8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1.2543693330789909E-2</v>
      </c>
      <c r="BQ26" s="31">
        <f>BQ20+1</f>
        <v>7</v>
      </c>
      <c r="BR26" s="31">
        <v>2</v>
      </c>
      <c r="BS26" s="107">
        <f t="shared" si="17"/>
        <v>3.2207136644129414E-3</v>
      </c>
    </row>
    <row r="27" spans="1:71" x14ac:dyDescent="0.25">
      <c r="A27" s="26" t="s">
        <v>110</v>
      </c>
      <c r="B27" s="169">
        <f>1/(1+EXP(-3.1416*4*((B12/(B12+C7))-(3.1416/6))))</f>
        <v>0.91117451233227831</v>
      </c>
      <c r="C27" s="170">
        <f>1/(1+EXP(-3.1416*4*((C12/(C12+B7))-(3.1416/6))))</f>
        <v>0.48003437915975911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0.21249831474790068</v>
      </c>
      <c r="I27" s="138">
        <v>2</v>
      </c>
      <c r="J27" s="86">
        <f t="shared" si="18"/>
        <v>0.23591450280866677</v>
      </c>
      <c r="K27" s="138">
        <v>2</v>
      </c>
      <c r="L27" s="86">
        <f>AD18</f>
        <v>1.0664995136434558E-2</v>
      </c>
      <c r="M27" s="85">
        <v>2</v>
      </c>
      <c r="N27" s="173">
        <f>(($B$24)^M27)*((1-($B$24))^($B$21-M27))*HLOOKUP($B$21,$AV$24:$BF$34,M27+1)</f>
        <v>0.34102233918025054</v>
      </c>
      <c r="O27" s="72">
        <v>2</v>
      </c>
      <c r="P27" s="173">
        <f t="shared" si="19"/>
        <v>0.34102233918025054</v>
      </c>
      <c r="Q27" s="28">
        <v>2</v>
      </c>
      <c r="R27" s="174">
        <f>P25*N27+P26*N26+P27*N25</f>
        <v>8.7510192516124782E-2</v>
      </c>
      <c r="S27" s="72">
        <v>2</v>
      </c>
      <c r="T27" s="175">
        <f t="shared" si="20"/>
        <v>2.5000000000000001E-5</v>
      </c>
      <c r="U27" s="138">
        <v>2</v>
      </c>
      <c r="V27" s="86">
        <f>R27*T25+T26*R26+R25*T27</f>
        <v>8.6887572393499646E-2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4.0329918982763273E-2</v>
      </c>
      <c r="AD27" s="28">
        <v>2</v>
      </c>
      <c r="AE27" s="176">
        <f>((($W$25)^M27)*((1-($W$25))^($U$28-M27))*HLOOKUP($U$28,$AV$24:$BF$34,M27+1))*V28</f>
        <v>7.9675873610679543E-2</v>
      </c>
      <c r="AF27" s="28">
        <v>2</v>
      </c>
      <c r="AG27" s="176">
        <f>((($W$25)^M27)*((1-($W$25))^($U$29-M27))*HLOOKUP($U$29,$AV$24:$BF$34,M27+1))*V29</f>
        <v>6.8904656441813428E-2</v>
      </c>
      <c r="AH27" s="28">
        <v>2</v>
      </c>
      <c r="AI27" s="176">
        <f>((($W$25)^M27)*((1-($W$25))^($U$30-M27))*HLOOKUP($U$30,$AV$24:$BF$34,M27+1))*V30</f>
        <v>3.4079842943264715E-2</v>
      </c>
      <c r="AJ27" s="28">
        <v>2</v>
      </c>
      <c r="AK27" s="176">
        <f>((($W$25)^M27)*((1-($W$25))^($U$31-M27))*HLOOKUP($U$31,$AV$24:$BF$34,M27+1))*V31</f>
        <v>1.0548943745748869E-2</v>
      </c>
      <c r="AL27" s="28">
        <v>2</v>
      </c>
      <c r="AM27" s="176">
        <f>((($W$25)^Q27)*((1-($W$25))^($U$32-Q27))*HLOOKUP($U$32,$AV$24:$BF$34,Q27+1))*V32</f>
        <v>2.09466172273866E-3</v>
      </c>
      <c r="AN27" s="28">
        <v>2</v>
      </c>
      <c r="AO27" s="176">
        <f>((($W$25)^Q27)*((1-($W$25))^($U$33-Q27))*HLOOKUP($U$33,$AV$24:$BF$34,Q27+1))*V33</f>
        <v>2.6116075251468097E-4</v>
      </c>
      <c r="AP27" s="28">
        <v>2</v>
      </c>
      <c r="AQ27" s="176">
        <f>((($W$25)^Q27)*((1-($W$25))^($U$34-Q27))*HLOOKUP($U$34,$AV$24:$BF$34,Q27+1))*V34</f>
        <v>1.8819240051594078E-5</v>
      </c>
      <c r="AR27" s="28">
        <v>2</v>
      </c>
      <c r="AS27" s="176">
        <f>((($W$25)^Q27)*((1-($W$25))^($U$35-Q27))*HLOOKUP($U$35,$AV$24:$BF$34,Q27+1))*V35</f>
        <v>6.2536909200120997E-7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4.8902519409056485E-3</v>
      </c>
      <c r="BQ27" s="31">
        <f>BQ21+1</f>
        <v>7</v>
      </c>
      <c r="BR27" s="31">
        <v>3</v>
      </c>
      <c r="BS27" s="107">
        <f t="shared" si="17"/>
        <v>3.7731364380197241E-3</v>
      </c>
    </row>
    <row r="28" spans="1:71" x14ac:dyDescent="0.25">
      <c r="A28" s="26" t="s">
        <v>111</v>
      </c>
      <c r="B28" s="273">
        <v>0.9</v>
      </c>
      <c r="C28" s="274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0.25834288757963686</v>
      </c>
      <c r="I28" s="138">
        <v>3</v>
      </c>
      <c r="J28" s="86">
        <f t="shared" si="18"/>
        <v>0.26656845328343803</v>
      </c>
      <c r="K28" s="138">
        <v>3</v>
      </c>
      <c r="L28" s="86">
        <f>AE18</f>
        <v>5.2294327087658958E-3</v>
      </c>
      <c r="M28" s="85">
        <v>3</v>
      </c>
      <c r="N28" s="173">
        <f>(($B$24)^M28)*((1-($B$24))^($B$21-M28))*HLOOKUP($B$21,$AV$24:$BF$34,M28+1)</f>
        <v>0.26371971354128354</v>
      </c>
      <c r="O28" s="72">
        <v>3</v>
      </c>
      <c r="P28" s="173">
        <f t="shared" si="19"/>
        <v>0.26371971354128354</v>
      </c>
      <c r="Q28" s="28">
        <v>3</v>
      </c>
      <c r="R28" s="174">
        <f>P25*N28+P26*N27+P27*N26+P28*N25</f>
        <v>0.18046256995183202</v>
      </c>
      <c r="S28" s="72">
        <v>3</v>
      </c>
      <c r="T28" s="175">
        <f t="shared" si="20"/>
        <v>0</v>
      </c>
      <c r="U28" s="138">
        <v>3</v>
      </c>
      <c r="V28" s="86">
        <f>R28*T25+R27*T26+R26*T27+R25*T28</f>
        <v>0.17953381090735476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5.6774168049012357E-2</v>
      </c>
      <c r="AF28" s="28">
        <v>3</v>
      </c>
      <c r="AG28" s="176">
        <f>((($W$25)^M28)*((1-($W$25))^($U$29-M28))*HLOOKUP($U$29,$AV$24:$BF$34,M28+1))*V29</f>
        <v>9.819797052498519E-2</v>
      </c>
      <c r="AH28" s="28">
        <v>3</v>
      </c>
      <c r="AI28" s="176">
        <f>((($W$25)^M28)*((1-($W$25))^($U$30-M28))*HLOOKUP($U$30,$AV$24:$BF$34,M28+1))*V30</f>
        <v>7.2852218971547589E-2</v>
      </c>
      <c r="AJ28" s="28">
        <v>3</v>
      </c>
      <c r="AK28" s="176">
        <f>((($W$25)^M28)*((1-($W$25))^($U$31-M28))*HLOOKUP($U$31,$AV$24:$BF$34,M28+1))*V31</f>
        <v>3.006719488949279E-2</v>
      </c>
      <c r="AL28" s="28">
        <v>3</v>
      </c>
      <c r="AM28" s="176">
        <f>((($W$25)^Q28)*((1-($W$25))^($U$32-Q28))*HLOOKUP($U$32,$AV$24:$BF$34,Q28+1))*V32</f>
        <v>7.4629038417382571E-3</v>
      </c>
      <c r="AN28" s="28">
        <v>3</v>
      </c>
      <c r="AO28" s="176">
        <f>((($W$25)^Q28)*((1-($W$25))^($U$33-Q28))*HLOOKUP($U$33,$AV$24:$BF$34,Q28+1))*V33</f>
        <v>1.1165626766912007E-3</v>
      </c>
      <c r="AP28" s="28">
        <v>3</v>
      </c>
      <c r="AQ28" s="176">
        <f>((($W$25)^Q28)*((1-($W$25))^($U$34-Q28))*HLOOKUP($U$34,$AV$24:$BF$34,Q28+1))*V34</f>
        <v>9.3869405401848788E-5</v>
      </c>
      <c r="AR28" s="28">
        <v>3</v>
      </c>
      <c r="AS28" s="176">
        <f>((($W$25)^Q28)*((1-($W$25))^($U$35-Q28))*HLOOKUP($U$35,$AV$24:$BF$34,Q28+1))*V35</f>
        <v>3.5649245688020675E-6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1.5303508888081221E-3</v>
      </c>
      <c r="BQ28" s="31">
        <f>BQ22+1</f>
        <v>7</v>
      </c>
      <c r="BR28" s="31">
        <v>4</v>
      </c>
      <c r="BS28" s="107">
        <f t="shared" si="17"/>
        <v>3.0813830294301584E-3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0.21007544794189584</v>
      </c>
      <c r="I29" s="138">
        <v>4</v>
      </c>
      <c r="J29" s="86">
        <f t="shared" si="18"/>
        <v>0.19780419491749815</v>
      </c>
      <c r="K29" s="138">
        <v>4</v>
      </c>
      <c r="L29" s="86"/>
      <c r="M29" s="85">
        <v>4</v>
      </c>
      <c r="N29" s="173">
        <f>(($B$24)^M29)*((1-($B$24))^($B$21-M29))*HLOOKUP($B$21,$AV$24:$BF$34,M29+1)</f>
        <v>0.10196998747571252</v>
      </c>
      <c r="O29" s="72">
        <v>4</v>
      </c>
      <c r="P29" s="173">
        <f t="shared" si="19"/>
        <v>0.10196998747571252</v>
      </c>
      <c r="Q29" s="28">
        <v>4</v>
      </c>
      <c r="R29" s="174">
        <f>P25*N29+P26*N28+P27*N27+P28*N26+P29*N25</f>
        <v>0.24422209522193666</v>
      </c>
      <c r="S29" s="72">
        <v>4</v>
      </c>
      <c r="T29" s="175">
        <f t="shared" si="20"/>
        <v>0</v>
      </c>
      <c r="U29" s="138">
        <v>4</v>
      </c>
      <c r="V29" s="86">
        <f>T29*R25+T28*R26+T27*R27+T26*R28+T25*R29</f>
        <v>0.24358377014793148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5.2479262178214137E-2</v>
      </c>
      <c r="AH29" s="28">
        <v>4</v>
      </c>
      <c r="AI29" s="176">
        <f>((($W$25)^M29)*((1-($W$25))^($U$30-M29))*HLOOKUP($U$30,$AV$24:$BF$34,M29+1))*V30</f>
        <v>7.786781497077358E-2</v>
      </c>
      <c r="AJ29" s="28">
        <v>4</v>
      </c>
      <c r="AK29" s="176">
        <f>((($W$25)^M29)*((1-($W$25))^($U$31-M29))*HLOOKUP($U$31,$AV$24:$BF$34,M29+1))*V31</f>
        <v>4.8205808993812403E-2</v>
      </c>
      <c r="AL29" s="28">
        <v>4</v>
      </c>
      <c r="AM29" s="176">
        <f>((($W$25)^Q29)*((1-($W$25))^($U$32-Q29))*HLOOKUP($U$32,$AV$24:$BF$34,Q29+1))*V32</f>
        <v>1.5953392324813225E-2</v>
      </c>
      <c r="AN29" s="28">
        <v>4</v>
      </c>
      <c r="AO29" s="176">
        <f>((($W$25)^Q29)*((1-($W$25))^($U$33-Q29))*HLOOKUP($U$33,$AV$24:$BF$34,Q29+1))*V33</f>
        <v>2.9835843416731798E-3</v>
      </c>
      <c r="AP29" s="28">
        <v>4</v>
      </c>
      <c r="AQ29" s="176">
        <f>((($W$25)^Q29)*((1-($W$25))^($U$34-Q29))*HLOOKUP($U$34,$AV$24:$BF$34,Q29+1))*V34</f>
        <v>3.0099586235399553E-4</v>
      </c>
      <c r="AR29" s="28">
        <v>4</v>
      </c>
      <c r="AS29" s="176">
        <f>((($W$25)^Q29)*((1-($W$25))^($U$35-Q29))*HLOOKUP($U$35,$AV$24:$BF$34,Q29+1))*V35</f>
        <v>1.333624585763548E-5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3.7336485912159006E-4</v>
      </c>
      <c r="BQ29" s="31">
        <f>BQ23+1</f>
        <v>7</v>
      </c>
      <c r="BR29" s="31">
        <v>5</v>
      </c>
      <c r="BS29" s="107">
        <f t="shared" si="17"/>
        <v>1.8901081396465414E-3</v>
      </c>
    </row>
    <row r="30" spans="1:71" x14ac:dyDescent="0.25">
      <c r="A30" s="26" t="s">
        <v>113</v>
      </c>
      <c r="B30" s="273">
        <f>IF(B17="TL",0.55,0.15)</f>
        <v>0.15</v>
      </c>
      <c r="C30" s="274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0.12052028155261965</v>
      </c>
      <c r="I30" s="138">
        <v>5</v>
      </c>
      <c r="J30" s="86">
        <f t="shared" si="18"/>
        <v>0.10075326359790344</v>
      </c>
      <c r="K30" s="138">
        <v>5</v>
      </c>
      <c r="L30" s="86"/>
      <c r="M30" s="85">
        <v>5</v>
      </c>
      <c r="N30" s="173">
        <f>(($B$24)^M30)*((1-($B$24))^($B$21-M30))*HLOOKUP($B$21,$AV$24:$BF$34,M30+1)</f>
        <v>1.5771105172491022E-2</v>
      </c>
      <c r="O30" s="72">
        <v>5</v>
      </c>
      <c r="P30" s="173">
        <f t="shared" si="19"/>
        <v>1.5771105172491022E-2</v>
      </c>
      <c r="Q30" s="28">
        <v>5</v>
      </c>
      <c r="R30" s="174">
        <f>P25*N30+P26*N29+P27*N28+P28*N27+P29*N26+P30*N25</f>
        <v>0.22663447027148115</v>
      </c>
      <c r="S30" s="72">
        <v>5</v>
      </c>
      <c r="T30" s="175">
        <f t="shared" si="20"/>
        <v>0</v>
      </c>
      <c r="U30" s="138">
        <v>5</v>
      </c>
      <c r="V30" s="86">
        <f>T30*R25+T29*R26+T28*R27+T27*R28+T26*R29+T25*R30</f>
        <v>0.22680831284223019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3.329148621095912E-2</v>
      </c>
      <c r="AJ30" s="28">
        <v>5</v>
      </c>
      <c r="AK30" s="176">
        <f>((($W$25)^M30)*((1-($W$25))^($U$31-M30))*HLOOKUP($U$31,$AV$24:$BF$34,M30+1))*V31</f>
        <v>4.121967531792145E-2</v>
      </c>
      <c r="AL30" s="28">
        <v>5</v>
      </c>
      <c r="AM30" s="176">
        <f>((($W$25)^Q30)*((1-($W$25))^($U$32-Q30))*HLOOKUP($U$32,$AV$24:$BF$34,Q30+1))*V32</f>
        <v>2.0462066675386421E-2</v>
      </c>
      <c r="AN30" s="28">
        <v>5</v>
      </c>
      <c r="AO30" s="176">
        <f>((($W$25)^Q30)*((1-($W$25))^($U$33-Q30))*HLOOKUP($U$33,$AV$24:$BF$34,Q30+1))*V33</f>
        <v>5.1023882977750132E-3</v>
      </c>
      <c r="AP30" s="28">
        <v>5</v>
      </c>
      <c r="AQ30" s="176">
        <f>((($W$25)^Q30)*((1-($W$25))^($U$34-Q30))*HLOOKUP($U$34,$AV$24:$BF$34,Q30+1))*V34</f>
        <v>6.4343654723552116E-4</v>
      </c>
      <c r="AR30" s="28">
        <v>5</v>
      </c>
      <c r="AS30" s="176">
        <f>((($W$25)^Q30)*((1-($W$25))^($U$35-Q30))*HLOOKUP($U$35,$AV$24:$BF$34,Q30+1))*V35</f>
        <v>3.4210548625930309E-5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6.7660542418859854E-5</v>
      </c>
      <c r="BQ30" s="31">
        <f>BM10+1</f>
        <v>7</v>
      </c>
      <c r="BR30" s="31">
        <v>6</v>
      </c>
      <c r="BS30" s="107">
        <f t="shared" si="17"/>
        <v>9.1374563496088507E-4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0.68129443748672402</v>
      </c>
      <c r="C31" s="61">
        <f>(C25*E25)+(C26*E26)+(C27*E27)+(C28*E28)+(C29*E29)+(C30*E30)/(C25+C26+C27+C28+C29+C30)</f>
        <v>0.4730413097821316</v>
      </c>
      <c r="G31" s="87">
        <v>6</v>
      </c>
      <c r="H31" s="126">
        <f>J31*L25+J30*L26+J29*L27+J28*L28</f>
        <v>5.0225190570856844E-2</v>
      </c>
      <c r="I31" s="138">
        <v>6</v>
      </c>
      <c r="J31" s="86">
        <f t="shared" si="18"/>
        <v>3.5697955777529509E-2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0.14605098335162298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0.14685524332427233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1.4685830649691953E-2</v>
      </c>
      <c r="AL31" s="28">
        <v>6</v>
      </c>
      <c r="AM31" s="176">
        <f>((($W$25)^Q31)*((1-($W$25))^($U$32-Q31))*HLOOKUP($U$32,$AV$24:$BF$34,Q31+1))*V32</f>
        <v>1.4580534350147008E-2</v>
      </c>
      <c r="AN31" s="28">
        <v>6</v>
      </c>
      <c r="AO31" s="176">
        <f>((($W$25)^Q31)*((1-($W$25))^($U$33-Q31))*HLOOKUP($U$33,$AV$24:$BF$34,Q31+1))*V33</f>
        <v>5.4536681722125021E-3</v>
      </c>
      <c r="AP31" s="28">
        <v>6</v>
      </c>
      <c r="AQ31" s="176">
        <f>((($W$25)^Q31)*((1-($W$25))^($U$34-Q31))*HLOOKUP($U$34,$AV$24:$BF$34,Q31+1))*V34</f>
        <v>9.1697958255532207E-4</v>
      </c>
      <c r="AR31" s="28">
        <v>6</v>
      </c>
      <c r="AS31" s="176">
        <f>((($W$25)^Q31)*((1-($W$25))^($U$35-Q31))*HLOOKUP($U$35,$AV$24:$BF$34,Q31+1))*V35</f>
        <v>6.0943022922723841E-5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5.1426482267422476E-2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9.4606800879060019E-5</v>
      </c>
    </row>
    <row r="32" spans="1:71" x14ac:dyDescent="0.25">
      <c r="A32" s="26" t="s">
        <v>115</v>
      </c>
      <c r="B32" s="275">
        <f>IF(B17&lt;&gt;"TL",0.001,IF(B18&lt;5,0.1,IF(B18&lt;10,0.2,IF(B18&lt;14,0.3,0.35))))</f>
        <v>1E-3</v>
      </c>
      <c r="C32" s="276">
        <f>IF(C17&lt;&gt;"TL",0.001,IF(C18&lt;5,0.1,IF(C18&lt;10,0.2,IF(C18&lt;14,0.3,0.35))))</f>
        <v>1E-3</v>
      </c>
      <c r="G32" s="87">
        <v>7</v>
      </c>
      <c r="H32" s="126">
        <f>J32*L25+J31*L26+J30*L27+J29*L28</f>
        <v>1.547944472309665E-2</v>
      </c>
      <c r="I32" s="138">
        <v>7</v>
      </c>
      <c r="J32" s="86">
        <f t="shared" si="18"/>
        <v>8.6981423101005362E-3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6.4539590128567623E-2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6.5354680863140599E-2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4.452670927451355E-3</v>
      </c>
      <c r="AN32" s="28">
        <v>7</v>
      </c>
      <c r="AO32" s="176">
        <f>((($W$25)^Q32)*((1-($W$25))^($U$33-Q32))*HLOOKUP($U$33,$AV$24:$BF$34,Q32+1))*V33</f>
        <v>3.3309327539333355E-3</v>
      </c>
      <c r="AP32" s="28">
        <v>7</v>
      </c>
      <c r="AQ32" s="176">
        <f>((($W$25)^Q32)*((1-($W$25))^($U$34-Q32))*HLOOKUP($U$34,$AV$24:$BF$34,Q32+1))*V34</f>
        <v>8.4009438137006194E-4</v>
      </c>
      <c r="AR32" s="28">
        <v>7</v>
      </c>
      <c r="AS32" s="176">
        <f>((($W$25)^Q32)*((1-($W$25))^($U$35-Q32))*HLOOKUP($U$35,$AV$24:$BF$34,Q32+1))*V35</f>
        <v>7.4444247345784853E-5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3.1544800434959004E-2</v>
      </c>
      <c r="BQ32" s="31">
        <f t="shared" si="24"/>
        <v>8</v>
      </c>
      <c r="BR32" s="31">
        <v>1</v>
      </c>
      <c r="BS32" s="107">
        <f t="shared" si="25"/>
        <v>3.9166444354317339E-4</v>
      </c>
    </row>
    <row r="33" spans="1:71" x14ac:dyDescent="0.25">
      <c r="A33" s="26" t="s">
        <v>116</v>
      </c>
      <c r="B33" s="275">
        <f>IF(B17&lt;&gt;"CA",0.005,IF((B18-B16)&lt;0,0.1,0.1+0.048*(B18-B16)))</f>
        <v>5.0000000000000001E-3</v>
      </c>
      <c r="C33" s="276">
        <f>IF(C17&lt;&gt;"CA",0.005,IF((C18-C16)&lt;0,0.1,0.1+0.048*(C18-C16)))</f>
        <v>5.0000000000000001E-3</v>
      </c>
      <c r="G33" s="87">
        <v>8</v>
      </c>
      <c r="H33" s="126">
        <f>J33*L25+J32*L26+J31*L27+J30*L28</f>
        <v>3.584632800683349E-3</v>
      </c>
      <c r="I33" s="138">
        <v>8</v>
      </c>
      <c r="J33" s="86">
        <f t="shared" si="18"/>
        <v>1.398706592071882E-3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1.8716181022434546E-2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1.9175307313098799E-2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8.9006367625078114E-4</v>
      </c>
      <c r="AP33" s="28">
        <v>8</v>
      </c>
      <c r="AQ33" s="176">
        <f>((($W$25)^Q33)*((1-($W$25))^($U$34-Q33))*HLOOKUP($U$34,$AV$24:$BF$34,Q33+1))*V34</f>
        <v>4.4896582952441558E-4</v>
      </c>
      <c r="AR33" s="28">
        <v>8</v>
      </c>
      <c r="AS33" s="176">
        <f>((($W$25)^Q33)*((1-($W$25))^($U$35-Q33))*HLOOKUP($U$35,$AV$24:$BF$34,Q33+1))*V35</f>
        <v>5.9677086296685257E-5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1.5249880733568089E-2</v>
      </c>
      <c r="BQ33" s="31">
        <f t="shared" si="24"/>
        <v>8</v>
      </c>
      <c r="BR33" s="31">
        <v>2</v>
      </c>
      <c r="BS33" s="107">
        <f t="shared" si="25"/>
        <v>7.458326864811537E-4</v>
      </c>
    </row>
    <row r="34" spans="1:71" x14ac:dyDescent="0.25">
      <c r="A34" s="40" t="s">
        <v>117</v>
      </c>
      <c r="B34" s="56">
        <f>B23*2</f>
        <v>4.3608628233221074</v>
      </c>
      <c r="C34" s="57">
        <f>C23*2</f>
        <v>5.6391371766778926</v>
      </c>
      <c r="G34" s="87">
        <v>9</v>
      </c>
      <c r="H34" s="126">
        <f>J34*L25+J33*L26+J32*L27+J31*L28</f>
        <v>6.3744785301123573E-4</v>
      </c>
      <c r="I34" s="138">
        <v>9</v>
      </c>
      <c r="J34" s="86">
        <f t="shared" si="18"/>
        <v>1.3498814569435491E-4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3.216358793834109E-3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3.3721151057920519E-3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1.0663897906424228E-4</v>
      </c>
      <c r="AR34" s="28">
        <v>9</v>
      </c>
      <c r="AS34" s="176">
        <f>((($W$25)^Q34)*((1-($W$25))^($U$35-Q34))*HLOOKUP($U$35,$AV$24:$BF$34,Q34+1))*V35</f>
        <v>2.8349166630112631E-5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5.9452791844692493E-3</v>
      </c>
      <c r="BQ34" s="31">
        <f t="shared" si="24"/>
        <v>8</v>
      </c>
      <c r="BR34" s="31">
        <v>3</v>
      </c>
      <c r="BS34" s="107">
        <f t="shared" si="25"/>
        <v>8.7375929040904978E-4</v>
      </c>
    </row>
    <row r="35" spans="1:71" ht="15.75" thickBot="1" x14ac:dyDescent="0.3">
      <c r="G35" s="88">
        <v>10</v>
      </c>
      <c r="H35" s="127">
        <f>J35*L25+J34*L26+J33*L27+J32*L28</f>
        <v>8.9338791713996585E-5</v>
      </c>
      <c r="I35" s="94">
        <v>10</v>
      </c>
      <c r="J35" s="89">
        <f t="shared" si="18"/>
        <v>6.060179615370047E-6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2.4872775836177308E-4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2.8127884185513707E-4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6.060179615370047E-6</v>
      </c>
      <c r="BI35" s="31">
        <f t="shared" si="22"/>
        <v>3</v>
      </c>
      <c r="BJ35" s="31">
        <v>8</v>
      </c>
      <c r="BK35" s="107">
        <f t="shared" si="23"/>
        <v>1.8605101320158112E-3</v>
      </c>
      <c r="BQ35" s="31">
        <f t="shared" si="24"/>
        <v>8</v>
      </c>
      <c r="BR35" s="31">
        <v>4</v>
      </c>
      <c r="BS35" s="107">
        <f t="shared" si="25"/>
        <v>7.135673712044305E-4</v>
      </c>
    </row>
    <row r="36" spans="1:71" ht="15.75" x14ac:dyDescent="0.25">
      <c r="A36" s="281" t="s">
        <v>118</v>
      </c>
      <c r="B36" s="182">
        <f>SUM(BO4:BO14)</f>
        <v>0.17915832012656768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1.0000000000000004</v>
      </c>
      <c r="BI36" s="31">
        <f t="shared" si="22"/>
        <v>3</v>
      </c>
      <c r="BJ36" s="31">
        <v>9</v>
      </c>
      <c r="BK36" s="107">
        <f t="shared" si="23"/>
        <v>4.539149213520471E-4</v>
      </c>
      <c r="BQ36" s="31">
        <f t="shared" si="24"/>
        <v>8</v>
      </c>
      <c r="BR36" s="31">
        <v>5</v>
      </c>
      <c r="BS36" s="107">
        <f t="shared" si="25"/>
        <v>4.3769939784120204E-4</v>
      </c>
    </row>
    <row r="37" spans="1:71" ht="16.5" thickBot="1" x14ac:dyDescent="0.3">
      <c r="A37" s="110" t="s">
        <v>119</v>
      </c>
      <c r="B37" s="182">
        <f>SUM(BK4:BK59)</f>
        <v>0.41862137982487946</v>
      </c>
      <c r="G37" s="157"/>
      <c r="H37" s="229">
        <f>SUM(H39:H49)</f>
        <v>0.9999568834653455</v>
      </c>
      <c r="I37" s="230"/>
      <c r="J37" s="229">
        <f>SUM(J39:J49)</f>
        <v>1.0000000000000002</v>
      </c>
      <c r="K37" s="229"/>
      <c r="L37" s="229">
        <f>SUM(L39:L49)</f>
        <v>0.99999999999999989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0.99662244423673518</v>
      </c>
      <c r="W37" s="157"/>
      <c r="X37" s="157"/>
      <c r="Y37" s="168">
        <f>SUM(Y39:Y49)</f>
        <v>2.4748411956996381E-4</v>
      </c>
      <c r="Z37" s="81"/>
      <c r="AA37" s="168">
        <f>SUM(AA39:AA49)</f>
        <v>3.2015206386567423E-3</v>
      </c>
      <c r="AB37" s="81"/>
      <c r="AC37" s="168">
        <f>SUM(AC39:AC49)</f>
        <v>1.8638681911291526E-2</v>
      </c>
      <c r="AD37" s="81"/>
      <c r="AE37" s="168">
        <f>SUM(AE39:AE49)</f>
        <v>6.4310473083036918E-2</v>
      </c>
      <c r="AF37" s="81"/>
      <c r="AG37" s="168">
        <f>SUM(AG39:AG49)</f>
        <v>0.14564342638550762</v>
      </c>
      <c r="AH37" s="81"/>
      <c r="AI37" s="168">
        <f>SUM(AI39:AI49)</f>
        <v>0.22623155283688184</v>
      </c>
      <c r="AJ37" s="81"/>
      <c r="AK37" s="168">
        <f>SUM(AK39:AK49)</f>
        <v>0.24413415709718431</v>
      </c>
      <c r="AL37" s="81"/>
      <c r="AM37" s="168">
        <f>SUM(AM39:AM49)</f>
        <v>0.18078136757818247</v>
      </c>
      <c r="AN37" s="81"/>
      <c r="AO37" s="168">
        <f>SUM(AO39:AO49)</f>
        <v>8.7974954403303302E-2</v>
      </c>
      <c r="AP37" s="81"/>
      <c r="AQ37" s="168">
        <f>SUM(AQ39:AQ49)</f>
        <v>2.5458826183120793E-2</v>
      </c>
      <c r="AR37" s="81"/>
      <c r="AS37" s="168">
        <f>SUM(AS39:AS49)</f>
        <v>3.3775557632648189E-3</v>
      </c>
      <c r="BI37" s="31">
        <f t="shared" si="22"/>
        <v>3</v>
      </c>
      <c r="BJ37" s="31">
        <v>10</v>
      </c>
      <c r="BK37" s="107">
        <f t="shared" si="23"/>
        <v>8.2257687193566071E-5</v>
      </c>
      <c r="BQ37" s="31">
        <f t="shared" si="24"/>
        <v>8</v>
      </c>
      <c r="BR37" s="31">
        <v>6</v>
      </c>
      <c r="BS37" s="107">
        <f t="shared" si="25"/>
        <v>2.1159948778232227E-4</v>
      </c>
    </row>
    <row r="38" spans="1:71" ht="16.5" thickBot="1" x14ac:dyDescent="0.3">
      <c r="A38" s="111" t="s">
        <v>120</v>
      </c>
      <c r="B38" s="182">
        <f>SUM(BS4:BS47)</f>
        <v>0.40207724139838785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2.5651134210416173E-2</v>
      </c>
      <c r="BQ38" s="31">
        <f>BM11+1</f>
        <v>8</v>
      </c>
      <c r="BR38" s="31">
        <v>7</v>
      </c>
      <c r="BS38" s="107">
        <f t="shared" si="25"/>
        <v>8.24936307460715E-5</v>
      </c>
    </row>
    <row r="39" spans="1:71" x14ac:dyDescent="0.25">
      <c r="G39" s="128">
        <v>0</v>
      </c>
      <c r="H39" s="129">
        <f>L39*J39</f>
        <v>2.6392326952156674E-2</v>
      </c>
      <c r="I39" s="97">
        <v>0</v>
      </c>
      <c r="J39" s="98">
        <f t="shared" ref="J39:J49" si="29">Y39+AA39+AC39+AE39+AG39+AI39+AK39+AM39+AO39+AQ39+AS39</f>
        <v>4.4819382714517034E-2</v>
      </c>
      <c r="K39" s="102">
        <v>0</v>
      </c>
      <c r="L39" s="98">
        <f>AH18</f>
        <v>0.5888596708318381</v>
      </c>
      <c r="M39" s="85">
        <v>0</v>
      </c>
      <c r="N39" s="173">
        <f>(1-$C$24)^$B$21</f>
        <v>1.5771105172491008E-2</v>
      </c>
      <c r="O39" s="72">
        <v>0</v>
      </c>
      <c r="P39" s="173">
        <f t="shared" ref="P39:P44" si="30">N39</f>
        <v>1.5771105172491008E-2</v>
      </c>
      <c r="Q39" s="28">
        <v>0</v>
      </c>
      <c r="R39" s="174">
        <f>P39*N39</f>
        <v>2.4872775836177265E-4</v>
      </c>
      <c r="S39" s="72">
        <v>0</v>
      </c>
      <c r="T39" s="175">
        <f>(1-$C$33)^(INT(B23*2*(1-B31)))</f>
        <v>0.995</v>
      </c>
      <c r="U39" s="138">
        <v>0</v>
      </c>
      <c r="V39" s="86">
        <f>R39*T39</f>
        <v>2.4748411956996381E-4</v>
      </c>
      <c r="W39" s="134">
        <f>C31</f>
        <v>0.4730413097821316</v>
      </c>
      <c r="X39" s="28">
        <v>0</v>
      </c>
      <c r="Y39" s="176">
        <f>V39</f>
        <v>2.4748411956996381E-4</v>
      </c>
      <c r="Z39" s="28">
        <v>0</v>
      </c>
      <c r="AA39" s="176">
        <f>((1-W39)^Z40)*V40</f>
        <v>1.6870691224520305E-3</v>
      </c>
      <c r="AB39" s="28">
        <v>0</v>
      </c>
      <c r="AC39" s="176">
        <f>(((1-$W$39)^AB41))*V41</f>
        <v>5.1756909826249798E-3</v>
      </c>
      <c r="AD39" s="28">
        <v>0</v>
      </c>
      <c r="AE39" s="176">
        <f>(((1-$W$39)^AB42))*V42</f>
        <v>9.4104722265693479E-3</v>
      </c>
      <c r="AF39" s="28">
        <v>0</v>
      </c>
      <c r="AG39" s="176">
        <f>(((1-$W$39)^AB43))*V43</f>
        <v>1.1230450330885917E-2</v>
      </c>
      <c r="AH39" s="28">
        <v>0</v>
      </c>
      <c r="AI39" s="176">
        <f>(((1-$W$39)^AB44))*V44</f>
        <v>9.1925506476646882E-3</v>
      </c>
      <c r="AJ39" s="28">
        <v>0</v>
      </c>
      <c r="AK39" s="176">
        <f>(((1-$W$39)^AB45))*V45</f>
        <v>5.2274269454881568E-3</v>
      </c>
      <c r="AL39" s="28">
        <v>0</v>
      </c>
      <c r="AM39" s="176">
        <f>(((1-$W$39)^AB46))*V46</f>
        <v>2.0398097543613694E-3</v>
      </c>
      <c r="AN39" s="28">
        <v>0</v>
      </c>
      <c r="AO39" s="176">
        <f>(((1-$W$39)^AB47))*V47</f>
        <v>5.2308421933071607E-4</v>
      </c>
      <c r="AP39" s="28">
        <v>0</v>
      </c>
      <c r="AQ39" s="176">
        <f>(((1-$W$39)^AB48))*V48</f>
        <v>7.9767781707049118E-5</v>
      </c>
      <c r="AR39" s="28">
        <v>0</v>
      </c>
      <c r="AS39" s="176">
        <f>(((1-$W$39)^AB49))*V49</f>
        <v>5.5765838628220474E-6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1.2400672440332822E-2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1.6823732151622842E-5</v>
      </c>
    </row>
    <row r="40" spans="1:71" x14ac:dyDescent="0.25">
      <c r="G40" s="91">
        <v>1</v>
      </c>
      <c r="H40" s="130">
        <f>L39*J40+L40*J39</f>
        <v>0.10926208214925369</v>
      </c>
      <c r="I40" s="138">
        <v>1</v>
      </c>
      <c r="J40" s="86">
        <f t="shared" si="29"/>
        <v>0.1631590840059442</v>
      </c>
      <c r="K40" s="95">
        <v>1</v>
      </c>
      <c r="L40" s="86">
        <f>AI18</f>
        <v>0.29416464149602778</v>
      </c>
      <c r="M40" s="85">
        <v>1</v>
      </c>
      <c r="N40" s="173">
        <f>(($C$24)^M26)*((1-($C$24))^($B$21-M26))*HLOOKUP($B$21,$AV$24:$BF$34,M26+1)</f>
        <v>0.10196998747571247</v>
      </c>
      <c r="O40" s="72">
        <v>1</v>
      </c>
      <c r="P40" s="173">
        <f t="shared" si="30"/>
        <v>0.10196998747571247</v>
      </c>
      <c r="Q40" s="28">
        <v>1</v>
      </c>
      <c r="R40" s="174">
        <f>P40*N39+P39*N40</f>
        <v>3.2163587938341042E-3</v>
      </c>
      <c r="S40" s="72">
        <v>1</v>
      </c>
      <c r="T40" s="175">
        <f t="shared" ref="T40:T49" si="33">(($C$33)^S40)*((1-($C$33))^(INT($B$23*2*(1-$B$31))-S40))*HLOOKUP(INT($B$23*2*(1-$B$31)),$AV$24:$BF$34,S40+1)</f>
        <v>5.0000000000000001E-3</v>
      </c>
      <c r="U40" s="138">
        <v>1</v>
      </c>
      <c r="V40" s="86">
        <f>R40*T39+T40*R39</f>
        <v>3.2015206386567423E-3</v>
      </c>
      <c r="W40" s="177"/>
      <c r="X40" s="28">
        <v>1</v>
      </c>
      <c r="Y40" s="174"/>
      <c r="Z40" s="28">
        <v>1</v>
      </c>
      <c r="AA40" s="176">
        <f>(1-((1-W39)^Z40))*V40</f>
        <v>1.5144515162047118E-3</v>
      </c>
      <c r="AB40" s="28">
        <v>1</v>
      </c>
      <c r="AC40" s="176">
        <f>((($W$39)^M40)*((1-($W$39))^($U$27-M40))*HLOOKUP($U$27,$AV$24:$BF$34,M40+1))*V41</f>
        <v>9.2922488494733575E-3</v>
      </c>
      <c r="AD40" s="28">
        <v>1</v>
      </c>
      <c r="AE40" s="176">
        <f>((($W$39)^M40)*((1-($W$39))^($U$28-M40))*HLOOKUP($U$28,$AV$24:$BF$34,M40+1))*V42</f>
        <v>2.5342833453705468E-2</v>
      </c>
      <c r="AF40" s="28">
        <v>1</v>
      </c>
      <c r="AG40" s="176">
        <f>((($W$39)^M40)*((1-($W$39))^($U$29-M40))*HLOOKUP($U$29,$AV$24:$BF$34,M40+1))*V43</f>
        <v>4.0325490651034031E-2</v>
      </c>
      <c r="AH40" s="28">
        <v>1</v>
      </c>
      <c r="AI40" s="176">
        <f>((($W$39)^M40)*((1-($W$39))^($U$30-M40))*HLOOKUP($U$30,$AV$24:$BF$34,M40+1))*V44</f>
        <v>4.1259934405978187E-2</v>
      </c>
      <c r="AJ40" s="28">
        <v>1</v>
      </c>
      <c r="AK40" s="176">
        <f>((($W$39)^M40)*((1-($W$39))^($U$31-M40))*HLOOKUP($U$31,$AV$24:$BF$34,M40+1))*V45</f>
        <v>2.8155401191639097E-2</v>
      </c>
      <c r="AL40" s="28">
        <v>1</v>
      </c>
      <c r="AM40" s="176">
        <f>((($W$39)^Q40)*((1-($W$39))^($U$32-Q40))*HLOOKUP($U$32,$AV$24:$BF$34,Q40+1))*V46</f>
        <v>1.2817702925771505E-2</v>
      </c>
      <c r="AN40" s="28">
        <v>1</v>
      </c>
      <c r="AO40" s="176">
        <f>((($W$39)^Q40)*((1-($W$39))^($U$33-Q40))*HLOOKUP($U$33,$AV$24:$BF$34,Q40+1))*V47</f>
        <v>3.7565061373029097E-3</v>
      </c>
      <c r="AP40" s="28">
        <v>1</v>
      </c>
      <c r="AQ40" s="176">
        <f>((($W$39)^Q40)*((1-($W$39))^($U$34-Q40))*HLOOKUP($U$34,$AV$24:$BF$34,Q40+1))*V48</f>
        <v>6.4445488752382595E-4</v>
      </c>
      <c r="AR40" s="28">
        <v>1</v>
      </c>
      <c r="AS40" s="176">
        <f>((($W$39)^Q40)*((1-($W$39))^($U$35-Q40))*HLOOKUP($U$35,$AV$24:$BF$34,Q40+1))*V49</f>
        <v>5.0059987311122835E-5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4.8344941852986097E-3</v>
      </c>
      <c r="BQ40" s="31">
        <f t="shared" si="31"/>
        <v>9</v>
      </c>
      <c r="BR40" s="31">
        <v>1</v>
      </c>
      <c r="BS40" s="107">
        <f t="shared" si="32"/>
        <v>6.9648879681579026E-5</v>
      </c>
    </row>
    <row r="41" spans="1:71" x14ac:dyDescent="0.25">
      <c r="G41" s="91">
        <v>2</v>
      </c>
      <c r="H41" s="130">
        <f>L39*J41+J40*L40+J39*L41</f>
        <v>0.20806390164676658</v>
      </c>
      <c r="I41" s="138">
        <v>2</v>
      </c>
      <c r="J41" s="86">
        <f t="shared" si="29"/>
        <v>0.26732029375078631</v>
      </c>
      <c r="K41" s="95">
        <v>2</v>
      </c>
      <c r="L41" s="86">
        <f>AJ18</f>
        <v>5.9218307969237889E-2</v>
      </c>
      <c r="M41" s="85">
        <v>2</v>
      </c>
      <c r="N41" s="173">
        <f>(($C$24)^M27)*((1-($C$24))^($B$21-M27))*HLOOKUP($B$21,$AV$24:$BF$34,M27+1)</f>
        <v>0.26371971354128348</v>
      </c>
      <c r="O41" s="72">
        <v>2</v>
      </c>
      <c r="P41" s="173">
        <f t="shared" si="30"/>
        <v>0.26371971354128348</v>
      </c>
      <c r="Q41" s="28">
        <v>2</v>
      </c>
      <c r="R41" s="174">
        <f>P41*N39+P40*N40+P39*N41</f>
        <v>1.8716181022434525E-2</v>
      </c>
      <c r="S41" s="72">
        <v>2</v>
      </c>
      <c r="T41" s="175">
        <f t="shared" si="33"/>
        <v>0</v>
      </c>
      <c r="U41" s="138">
        <v>2</v>
      </c>
      <c r="V41" s="86">
        <f>R41*T39+T40*R40+R39*T41</f>
        <v>1.8638681911291522E-2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4.1707420791931875E-3</v>
      </c>
      <c r="AD41" s="28">
        <v>2</v>
      </c>
      <c r="AE41" s="176">
        <f>((($W$39)^M41)*((1-($W$39))^($U$28-M41))*HLOOKUP($U$28,$AV$24:$BF$34,M41+1))*V42</f>
        <v>2.2749804402266878E-2</v>
      </c>
      <c r="AF41" s="28">
        <v>2</v>
      </c>
      <c r="AG41" s="176">
        <f>((($W$39)^M41)*((1-($W$39))^($U$29-M41))*HLOOKUP($U$29,$AV$24:$BF$34,M41+1))*V43</f>
        <v>5.429919821784944E-2</v>
      </c>
      <c r="AH41" s="28">
        <v>2</v>
      </c>
      <c r="AI41" s="176">
        <f>((($W$39)^M41)*((1-($W$39))^($U$30-M41))*HLOOKUP($U$30,$AV$24:$BF$34,M41+1))*V44</f>
        <v>7.4076597559703528E-2</v>
      </c>
      <c r="AJ41" s="28">
        <v>2</v>
      </c>
      <c r="AK41" s="176">
        <f>((($W$39)^M41)*((1-($W$39))^($U$31-M41))*HLOOKUP($U$31,$AV$24:$BF$34,M41+1))*V45</f>
        <v>6.318648930349649E-2</v>
      </c>
      <c r="AL41" s="28">
        <v>2</v>
      </c>
      <c r="AM41" s="176">
        <f>((($W$39)^Q41)*((1-($W$39))^($U$32-Q41))*HLOOKUP($U$32,$AV$24:$BF$34,Q41+1))*V46</f>
        <v>3.4518662048623035E-2</v>
      </c>
      <c r="AN41" s="28">
        <v>2</v>
      </c>
      <c r="AO41" s="176">
        <f>((($W$39)^Q41)*((1-($W$39))^($U$33-Q41))*HLOOKUP($U$33,$AV$24:$BF$34,Q41+1))*V47</f>
        <v>1.1802517270013989E-2</v>
      </c>
      <c r="AP41" s="28">
        <v>2</v>
      </c>
      <c r="AQ41" s="176">
        <f>((($W$39)^Q41)*((1-($W$39))^($U$34-Q41))*HLOOKUP($U$34,$AV$24:$BF$34,Q41+1))*V48</f>
        <v>2.3140621058073954E-3</v>
      </c>
      <c r="AR41" s="28">
        <v>2</v>
      </c>
      <c r="AS41" s="176">
        <f>((($W$39)^Q41)*((1-($W$39))^($U$35-Q41))*HLOOKUP($U$35,$AV$24:$BF$34,Q41+1))*V49</f>
        <v>2.0222076383241618E-4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1.5129021086875269E-3</v>
      </c>
      <c r="BQ41" s="31">
        <f t="shared" si="31"/>
        <v>9</v>
      </c>
      <c r="BR41" s="31">
        <v>2</v>
      </c>
      <c r="BS41" s="107">
        <f t="shared" si="32"/>
        <v>1.3262988739387227E-4</v>
      </c>
    </row>
    <row r="42" spans="1:71" ht="15" customHeight="1" x14ac:dyDescent="0.25">
      <c r="G42" s="91">
        <v>3</v>
      </c>
      <c r="H42" s="130">
        <f>J42*L39+J41*L40+L42*J39+L41*J40</f>
        <v>0.24375140746424082</v>
      </c>
      <c r="I42" s="138">
        <v>3</v>
      </c>
      <c r="J42" s="86">
        <f t="shared" si="29"/>
        <v>0.2595942321578128</v>
      </c>
      <c r="K42" s="95">
        <v>3</v>
      </c>
      <c r="L42" s="86">
        <f>AK18</f>
        <v>5.7757379702896232E-2</v>
      </c>
      <c r="M42" s="85">
        <v>3</v>
      </c>
      <c r="N42" s="173">
        <f>(($C$24)^M28)*((1-($C$24))^($B$21-M28))*HLOOKUP($B$21,$AV$24:$BF$34,M28+1)</f>
        <v>0.34102233918025038</v>
      </c>
      <c r="O42" s="72">
        <v>3</v>
      </c>
      <c r="P42" s="173">
        <f t="shared" si="30"/>
        <v>0.34102233918025038</v>
      </c>
      <c r="Q42" s="28">
        <v>3</v>
      </c>
      <c r="R42" s="174">
        <f>P42*N39+P41*N40+P40*N41+P39*N42</f>
        <v>6.4539590128567567E-2</v>
      </c>
      <c r="S42" s="72">
        <v>3</v>
      </c>
      <c r="T42" s="175">
        <f t="shared" si="33"/>
        <v>0</v>
      </c>
      <c r="U42" s="138">
        <v>3</v>
      </c>
      <c r="V42" s="86">
        <f>R42*T39+R41*T40+R40*T41+R39*T42</f>
        <v>6.4310473083036904E-2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6.8073630004952257E-3</v>
      </c>
      <c r="AF42" s="28">
        <v>3</v>
      </c>
      <c r="AG42" s="176">
        <f>((($W$39)^M42)*((1-($W$39))^($U$29-M42))*HLOOKUP($U$29,$AV$24:$BF$34,M42+1))*V43</f>
        <v>3.2495607115453941E-2</v>
      </c>
      <c r="AH42" s="28">
        <v>3</v>
      </c>
      <c r="AI42" s="176">
        <f>((($W$39)^M42)*((1-($W$39))^($U$30-M42))*HLOOKUP($U$30,$AV$24:$BF$34,M42+1))*V44</f>
        <v>6.6497225274638444E-2</v>
      </c>
      <c r="AJ42" s="28">
        <v>3</v>
      </c>
      <c r="AK42" s="176">
        <f>((($W$39)^M42)*((1-($W$39))^($U$31-M42))*HLOOKUP($U$31,$AV$24:$BF$34,M42+1))*V45</f>
        <v>7.5628495403318577E-2</v>
      </c>
      <c r="AL42" s="28">
        <v>3</v>
      </c>
      <c r="AM42" s="176">
        <f>((($W$39)^Q42)*((1-($W$39))^($U$32-Q42))*HLOOKUP($U$32,$AV$24:$BF$34,Q42+1))*V46</f>
        <v>5.1644633663966953E-2</v>
      </c>
      <c r="AN42" s="28">
        <v>3</v>
      </c>
      <c r="AO42" s="176">
        <f>((($W$39)^Q42)*((1-($W$39))^($U$33-Q42))*HLOOKUP($U$33,$AV$24:$BF$34,Q42+1))*V47</f>
        <v>2.1189813667653344E-2</v>
      </c>
      <c r="AP42" s="28">
        <v>3</v>
      </c>
      <c r="AQ42" s="176">
        <f>((($W$39)^Q42)*((1-($W$39))^($U$34-Q42))*HLOOKUP($U$34,$AV$24:$BF$34,Q42+1))*V48</f>
        <v>4.8470142147007513E-3</v>
      </c>
      <c r="AR42" s="28">
        <v>3</v>
      </c>
      <c r="AS42" s="176">
        <f>((($W$39)^Q42)*((1-($W$39))^($U$35-Q42))*HLOOKUP($U$35,$AV$24:$BF$34,Q42+1))*V49</f>
        <v>4.8407981758559791E-4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3.6910782148452654E-4</v>
      </c>
      <c r="BQ42" s="31">
        <f t="shared" si="31"/>
        <v>9</v>
      </c>
      <c r="BR42" s="31">
        <v>3</v>
      </c>
      <c r="BS42" s="107">
        <f t="shared" si="32"/>
        <v>1.553788113565472E-4</v>
      </c>
    </row>
    <row r="43" spans="1:71" ht="15" customHeight="1" x14ac:dyDescent="0.25">
      <c r="G43" s="91">
        <v>4</v>
      </c>
      <c r="H43" s="130">
        <f>J43*L39+J42*L40+J41*L41+J40*L42</f>
        <v>0.19906289176074077</v>
      </c>
      <c r="I43" s="138">
        <v>4</v>
      </c>
      <c r="J43" s="86">
        <f t="shared" si="29"/>
        <v>0.16548178743040401</v>
      </c>
      <c r="K43" s="95">
        <v>4</v>
      </c>
      <c r="L43" s="86"/>
      <c r="M43" s="85">
        <v>4</v>
      </c>
      <c r="N43" s="173">
        <f>(($C$24)^M29)*((1-($C$24))^($B$21-M29))*HLOOKUP($B$21,$AV$24:$BF$34,M29+1)</f>
        <v>0.22049211691139731</v>
      </c>
      <c r="O43" s="72">
        <v>4</v>
      </c>
      <c r="P43" s="173">
        <f t="shared" si="30"/>
        <v>0.22049211691139731</v>
      </c>
      <c r="Q43" s="28">
        <v>4</v>
      </c>
      <c r="R43" s="174">
        <f>P43*N39+P42*N40+P41*N41+P40*N42+P39*N43</f>
        <v>0.14605098335162289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0.14564342638550759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7.2926800702843081E-3</v>
      </c>
      <c r="AH43" s="28">
        <v>4</v>
      </c>
      <c r="AI43" s="176">
        <f>((($W$39)^M43)*((1-($W$39))^($U$30-M43))*HLOOKUP($U$30,$AV$24:$BF$34,M43+1))*V44</f>
        <v>2.9846679753765065E-2</v>
      </c>
      <c r="AJ43" s="28">
        <v>4</v>
      </c>
      <c r="AK43" s="176">
        <f>((($W$39)^M43)*((1-($W$39))^($U$31-M43))*HLOOKUP($U$31,$AV$24:$BF$34,M43+1))*V45</f>
        <v>5.0917751979258428E-2</v>
      </c>
      <c r="AL43" s="28">
        <v>4</v>
      </c>
      <c r="AM43" s="176">
        <f>((($W$39)^Q43)*((1-($W$39))^($U$32-Q43))*HLOOKUP($U$32,$AV$24:$BF$34,Q43+1))*V46</f>
        <v>4.636045596196698E-2</v>
      </c>
      <c r="AN43" s="28">
        <v>4</v>
      </c>
      <c r="AO43" s="176">
        <f>((($W$39)^Q43)*((1-($W$39))^($U$33-Q43))*HLOOKUP($U$33,$AV$24:$BF$34,Q43+1))*V47</f>
        <v>2.3777141826909192E-2</v>
      </c>
      <c r="AP43" s="28">
        <v>4</v>
      </c>
      <c r="AQ43" s="176">
        <f>((($W$39)^Q43)*((1-($W$39))^($U$34-Q43))*HLOOKUP($U$34,$AV$24:$BF$34,Q43+1))*V48</f>
        <v>6.5266158293357619E-3</v>
      </c>
      <c r="AR43" s="28">
        <v>4</v>
      </c>
      <c r="AS43" s="176">
        <f>((($W$39)^Q43)*((1-($W$39))^($U$35-Q43))*HLOOKUP($U$35,$AV$24:$BF$34,Q43+1))*V49</f>
        <v>7.6046200888431272E-4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6.6889089325232164E-5</v>
      </c>
      <c r="BQ43" s="31">
        <f t="shared" si="31"/>
        <v>9</v>
      </c>
      <c r="BR43" s="31">
        <v>4</v>
      </c>
      <c r="BS43" s="107">
        <f t="shared" si="32"/>
        <v>1.2689221296709221E-4</v>
      </c>
    </row>
    <row r="44" spans="1:71" ht="15" customHeight="1" thickBot="1" x14ac:dyDescent="0.3">
      <c r="G44" s="91">
        <v>5</v>
      </c>
      <c r="H44" s="130">
        <f>J44*L39+J43*L40+J42*L41+J41*L42</f>
        <v>0.12210438897891079</v>
      </c>
      <c r="I44" s="138">
        <v>5</v>
      </c>
      <c r="J44" s="86">
        <f t="shared" si="29"/>
        <v>7.2365369069535251E-2</v>
      </c>
      <c r="K44" s="95">
        <v>5</v>
      </c>
      <c r="L44" s="86"/>
      <c r="M44" s="85">
        <v>5</v>
      </c>
      <c r="N44" s="173">
        <f>(($C$24)^M30)*((1-($C$24))^($B$21-M30))*HLOOKUP($B$21,$AV$24:$BF$34,M30+1)</f>
        <v>5.7024737718865355E-2</v>
      </c>
      <c r="O44" s="72">
        <v>5</v>
      </c>
      <c r="P44" s="173">
        <f t="shared" si="30"/>
        <v>5.7024737718865355E-2</v>
      </c>
      <c r="Q44" s="28">
        <v>5</v>
      </c>
      <c r="R44" s="174">
        <f>P44*N39+P43*N40+P42*N41+P41*N42+P40*N43+P39*N44</f>
        <v>0.22663447027148101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0.22623155283688173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5.3585651951319159E-3</v>
      </c>
      <c r="AJ44" s="28">
        <v>5</v>
      </c>
      <c r="AK44" s="176">
        <f>((($W$39)^M44)*((1-($W$39))^($U$31-M44))*HLOOKUP($U$31,$AV$24:$BF$34,M44+1))*V45</f>
        <v>1.8283178954670475E-2</v>
      </c>
      <c r="AL44" s="28">
        <v>5</v>
      </c>
      <c r="AM44" s="176">
        <f>((($W$39)^Q44)*((1-($W$39))^($U$32-Q44))*HLOOKUP($U$32,$AV$24:$BF$34,Q44+1))*V46</f>
        <v>2.4970166979820001E-2</v>
      </c>
      <c r="AN44" s="28">
        <v>5</v>
      </c>
      <c r="AO44" s="176">
        <f>((($W$39)^Q44)*((1-($W$39))^($U$33-Q44))*HLOOKUP($U$33,$AV$24:$BF$34,Q44+1))*V47</f>
        <v>1.7075449019392962E-2</v>
      </c>
      <c r="AP44" s="28">
        <v>5</v>
      </c>
      <c r="AQ44" s="176">
        <f>((($W$39)^Q44)*((1-($W$39))^($U$34-Q44))*HLOOKUP($U$34,$AV$24:$BF$34,Q44+1))*V48</f>
        <v>5.858825288709687E-3</v>
      </c>
      <c r="AR44" s="28">
        <v>5</v>
      </c>
      <c r="AS44" s="176">
        <f>((($W$39)^Q44)*((1-($W$39))^($U$35-Q44))*HLOOKUP($U$35,$AV$24:$BF$34,Q44+1))*V49</f>
        <v>8.1918363181020736E-4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7.1142656059650115E-3</v>
      </c>
      <c r="BQ44" s="31">
        <f t="shared" si="31"/>
        <v>9</v>
      </c>
      <c r="BR44" s="31">
        <v>5</v>
      </c>
      <c r="BS44" s="107">
        <f t="shared" si="32"/>
        <v>7.783518059785548E-5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5.9029613226209511E-2</v>
      </c>
      <c r="I45" s="138">
        <v>6</v>
      </c>
      <c r="J45" s="86">
        <f t="shared" si="29"/>
        <v>2.1990377218523545E-2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0.2442220952219365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0.24413415709718422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2.7354133193130898E-3</v>
      </c>
      <c r="AL45" s="28">
        <v>6</v>
      </c>
      <c r="AM45" s="176">
        <f>((($W$39)^Q45)*((1-($W$39))^($U$32-Q45))*HLOOKUP($U$32,$AV$24:$BF$34,Q45+1))*V46</f>
        <v>7.4717561438759749E-3</v>
      </c>
      <c r="AN45" s="28">
        <v>6</v>
      </c>
      <c r="AO45" s="176">
        <f>((($W$39)^Q45)*((1-($W$39))^($U$33-Q45))*HLOOKUP($U$33,$AV$24:$BF$34,Q45+1))*V47</f>
        <v>7.6641612703190311E-3</v>
      </c>
      <c r="AP45" s="28">
        <v>6</v>
      </c>
      <c r="AQ45" s="176">
        <f>((($W$39)^Q45)*((1-($W$39))^($U$34-Q45))*HLOOKUP($U$34,$AV$24:$BF$34,Q45+1))*V48</f>
        <v>3.5062411782981273E-3</v>
      </c>
      <c r="AR45" s="28">
        <v>6</v>
      </c>
      <c r="AS45" s="176">
        <f>((($W$39)^Q45)*((1-($W$39))^($U$35-Q45))*HLOOKUP($U$35,$AV$24:$BF$34,Q45+1))*V49</f>
        <v>6.1280530671732353E-4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2.7735492466394538E-3</v>
      </c>
      <c r="BQ45" s="31">
        <f t="shared" si="31"/>
        <v>9</v>
      </c>
      <c r="BR45" s="31">
        <v>6</v>
      </c>
      <c r="BS45" s="107">
        <f t="shared" si="32"/>
        <v>3.7628300215130899E-5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2.3013132818051962E-2</v>
      </c>
      <c r="I46" s="138">
        <v>7</v>
      </c>
      <c r="J46" s="86">
        <f t="shared" si="29"/>
        <v>4.5871578214682091E-3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0.18046256995183191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0.18078136757818242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9.5818009979667612E-4</v>
      </c>
      <c r="AN46" s="28">
        <v>7</v>
      </c>
      <c r="AO46" s="176">
        <f>((($W$39)^Q46)*((1-($W$39))^($U$33-Q46))*HLOOKUP($U$33,$AV$24:$BF$34,Q46+1))*V47</f>
        <v>1.965708374160774E-3</v>
      </c>
      <c r="AP46" s="28">
        <v>7</v>
      </c>
      <c r="AQ46" s="176">
        <f>((($W$39)^Q46)*((1-($W$39))^($U$34-Q46))*HLOOKUP($U$34,$AV$24:$BF$34,Q46+1))*V48</f>
        <v>1.3489240510960185E-3</v>
      </c>
      <c r="AR46" s="28">
        <v>7</v>
      </c>
      <c r="AS46" s="176">
        <f>((($W$39)^Q46)*((1-($W$39))^($U$35-Q46))*HLOOKUP($U$35,$AV$24:$BF$34,Q46+1))*V49</f>
        <v>3.1434529641474046E-4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8.6795191864117468E-4</v>
      </c>
      <c r="BQ46" s="31">
        <f t="shared" si="31"/>
        <v>9</v>
      </c>
      <c r="BR46" s="31">
        <v>7</v>
      </c>
      <c r="BS46" s="107">
        <f t="shared" si="32"/>
        <v>1.4669672105929632E-5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7.2017083553046904E-3</v>
      </c>
      <c r="I47" s="138">
        <v>8</v>
      </c>
      <c r="J47" s="86">
        <f t="shared" si="29"/>
        <v>6.2911710283684689E-4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8.7510192516124727E-2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8.797495440330326E-2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2.2057261822038419E-4</v>
      </c>
      <c r="AP47" s="28">
        <v>8</v>
      </c>
      <c r="AQ47" s="176">
        <f>((($W$39)^Q47)*((1-($W$39))^($U$34-Q47))*HLOOKUP($U$34,$AV$24:$BF$34,Q47+1))*V48</f>
        <v>3.0272619646108385E-4</v>
      </c>
      <c r="AR47" s="28">
        <v>8</v>
      </c>
      <c r="AS47" s="176">
        <f>((($W$39)^Q47)*((1-($W$39))^($U$35-Q47))*HLOOKUP($U$35,$AV$24:$BF$34,Q47+1))*V49</f>
        <v>1.0581828815537888E-4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2.1175715203469749E-4</v>
      </c>
      <c r="BQ47" s="31">
        <f>BM12+1</f>
        <v>9</v>
      </c>
      <c r="BR47" s="31">
        <v>8</v>
      </c>
      <c r="BS47" s="107">
        <f t="shared" si="32"/>
        <v>4.5907135291020524E-6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1.7570250360080966E-3</v>
      </c>
      <c r="I48" s="138">
        <v>9</v>
      </c>
      <c r="J48" s="86">
        <f t="shared" si="29"/>
        <v>5.1303797991486156E-5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2.5147010271899656E-2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2.5458826183120783E-2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3.019464948109602E-5</v>
      </c>
      <c r="AR48" s="28">
        <v>9</v>
      </c>
      <c r="AS48" s="176">
        <f>((($W$39)^Q48)*((1-($W$39))^($U$35-Q48))*HLOOKUP($U$35,$AV$24:$BF$34,Q48+1))*V49</f>
        <v>2.110914851039014E-5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3.8374269612434723E-5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3.1840507770204934E-4</v>
      </c>
      <c r="I49" s="94">
        <v>10</v>
      </c>
      <c r="J49" s="89">
        <f t="shared" si="29"/>
        <v>1.8949301805065645E-6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3.2518207119053852E-3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3.3775557632648168E-3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1.8949301805065645E-6</v>
      </c>
      <c r="BI49" s="31">
        <f>BQ14+1</f>
        <v>6</v>
      </c>
      <c r="BJ49" s="31">
        <v>0</v>
      </c>
      <c r="BK49" s="107">
        <f>$H$31*H39</f>
        <v>1.3255596507804302E-3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83"/>
      <c r="J50" s="283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83"/>
      <c r="X50" s="157"/>
      <c r="Y50" s="157"/>
      <c r="BI50" s="31">
        <f>BI45+1</f>
        <v>6</v>
      </c>
      <c r="BJ50" s="31">
        <v>7</v>
      </c>
      <c r="BK50" s="107">
        <f>$H$31*H46</f>
        <v>1.1558389814190996E-3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3.6170717458091007E-4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8.8246917271273255E-5</v>
      </c>
    </row>
    <row r="53" spans="1:63" x14ac:dyDescent="0.25">
      <c r="BI53" s="31">
        <f>BI48+1</f>
        <v>6</v>
      </c>
      <c r="BJ53" s="31">
        <v>10</v>
      </c>
      <c r="BK53" s="107">
        <f>$H$31*H49</f>
        <v>1.5991955706313909E-5</v>
      </c>
    </row>
    <row r="54" spans="1:63" x14ac:dyDescent="0.25">
      <c r="BI54" s="31">
        <f>BI51+1</f>
        <v>7</v>
      </c>
      <c r="BJ54" s="31">
        <v>8</v>
      </c>
      <c r="BK54" s="107">
        <f>$H$32*H47</f>
        <v>1.1147844639780225E-4</v>
      </c>
    </row>
    <row r="55" spans="1:63" x14ac:dyDescent="0.25">
      <c r="BI55" s="31">
        <f>BI52+1</f>
        <v>7</v>
      </c>
      <c r="BJ55" s="31">
        <v>9</v>
      </c>
      <c r="BK55" s="107">
        <f>$H$32*H48</f>
        <v>2.7197771921984233E-5</v>
      </c>
    </row>
    <row r="56" spans="1:63" x14ac:dyDescent="0.25">
      <c r="BI56" s="31">
        <f>BI53+1</f>
        <v>7</v>
      </c>
      <c r="BJ56" s="31">
        <v>10</v>
      </c>
      <c r="BK56" s="107">
        <f>$H$32*H49</f>
        <v>4.928733799842167E-6</v>
      </c>
    </row>
    <row r="57" spans="1:63" x14ac:dyDescent="0.25">
      <c r="BI57" s="31">
        <f>BI55+1</f>
        <v>8</v>
      </c>
      <c r="BJ57" s="31">
        <v>9</v>
      </c>
      <c r="BK57" s="107">
        <f>$H$33*H48</f>
        <v>6.2982895756964655E-6</v>
      </c>
    </row>
    <row r="58" spans="1:63" x14ac:dyDescent="0.25">
      <c r="BI58" s="31">
        <f>BI56+1</f>
        <v>8</v>
      </c>
      <c r="BJ58" s="31">
        <v>10</v>
      </c>
      <c r="BK58" s="107">
        <f>$H$33*H49</f>
        <v>1.1413652854348965E-6</v>
      </c>
    </row>
    <row r="59" spans="1:63" x14ac:dyDescent="0.25">
      <c r="BI59" s="31">
        <f>BI58+1</f>
        <v>9</v>
      </c>
      <c r="BJ59" s="31">
        <v>10</v>
      </c>
      <c r="BK59" s="107">
        <f>$H$34*H49</f>
        <v>2.0296663316904704E-7</v>
      </c>
    </row>
  </sheetData>
  <mergeCells count="1">
    <mergeCell ref="B3:C3"/>
  </mergeCells>
  <conditionalFormatting sqref="H49">
    <cfRule type="cellIs" dxfId="13" priority="1" operator="greaterThan">
      <formula>0.15</formula>
    </cfRule>
  </conditionalFormatting>
  <conditionalFormatting sqref="H39:H49">
    <cfRule type="cellIs" dxfId="12" priority="2" operator="greaterThan">
      <formula>0.15</formula>
    </cfRule>
  </conditionalFormatting>
  <conditionalFormatting sqref="H49">
    <cfRule type="cellIs" dxfId="11" priority="3" operator="greaterThan">
      <formula>0.15</formula>
    </cfRule>
  </conditionalFormatting>
  <conditionalFormatting sqref="H39:H49">
    <cfRule type="cellIs" dxfId="10" priority="4" operator="greaterThan">
      <formula>0.15</formula>
    </cfRule>
  </conditionalFormatting>
  <conditionalFormatting sqref="H35">
    <cfRule type="cellIs" dxfId="9" priority="5" operator="greaterThan">
      <formula>0.15</formula>
    </cfRule>
  </conditionalFormatting>
  <conditionalFormatting sqref="H25:H35">
    <cfRule type="cellIs" dxfId="8" priority="6" operator="greaterThan">
      <formula>0.15</formula>
    </cfRule>
  </conditionalFormatting>
  <conditionalFormatting sqref="H35">
    <cfRule type="cellIs" dxfId="7" priority="7" operator="greaterThan">
      <formula>0.15</formula>
    </cfRule>
  </conditionalFormatting>
  <conditionalFormatting sqref="H25:H35">
    <cfRule type="cellIs" dxfId="6" priority="8" operator="greaterThan">
      <formula>0.15</formula>
    </cfRule>
  </conditionalFormatting>
  <conditionalFormatting sqref="V49">
    <cfRule type="cellIs" dxfId="5" priority="9" operator="greaterThan">
      <formula>0.15</formula>
    </cfRule>
  </conditionalFormatting>
  <conditionalFormatting sqref="V35">
    <cfRule type="cellIs" dxfId="4" priority="10" operator="greaterThan">
      <formula>0.15</formula>
    </cfRule>
  </conditionalFormatting>
  <conditionalFormatting sqref="V25:V35 V39:V49">
    <cfRule type="cellIs" dxfId="3" priority="11" operator="greaterThan">
      <formula>0.15</formula>
    </cfRule>
  </conditionalFormatting>
  <conditionalFormatting sqref="V49">
    <cfRule type="cellIs" dxfId="2" priority="12" operator="greaterThan">
      <formula>0.15</formula>
    </cfRule>
  </conditionalFormatting>
  <conditionalFormatting sqref="V35">
    <cfRule type="cellIs" dxfId="1" priority="13" operator="greaterThan">
      <formula>0.15</formula>
    </cfRule>
  </conditionalFormatting>
  <conditionalFormatting sqref="V25:V35 V39:V49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E4B-9FF8-42E7-9FD7-FA9368502228}">
  <sheetPr>
    <tabColor rgb="FFFFFF00"/>
  </sheetPr>
  <dimension ref="A1:BS59"/>
  <sheetViews>
    <sheetView zoomScale="90" zoomScaleNormal="90" workbookViewId="0">
      <selection activeCell="D3" sqref="D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58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58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1.7399999999999998</v>
      </c>
      <c r="S2" s="166">
        <f>SUM(S4:S15)</f>
        <v>3.6700000000000008</v>
      </c>
      <c r="T2" s="219">
        <f>SUM(T4:T16)</f>
        <v>0.96336663017697521</v>
      </c>
      <c r="U2" s="219">
        <f>SUM(U4:U16)</f>
        <v>2.4993965517241388</v>
      </c>
      <c r="V2" s="157"/>
      <c r="W2" s="157"/>
      <c r="X2" s="253">
        <f>SUM(X4:X16)</f>
        <v>0.73591334154351407</v>
      </c>
      <c r="Y2" s="254">
        <f>SUM(Y4:Y16)</f>
        <v>1.4006112068965519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57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84" t="s">
        <v>5</v>
      </c>
      <c r="C3" s="284"/>
      <c r="D3" s="31" t="str">
        <f>IF(B3="Sol","SI",IF(B3="Lluvia","SI","NO"))</f>
        <v>SI</v>
      </c>
      <c r="E3" s="211"/>
      <c r="F3" s="212"/>
      <c r="G3" s="279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79" t="s">
        <v>151</v>
      </c>
      <c r="F4" s="279" t="s">
        <v>151</v>
      </c>
      <c r="G4" s="279" t="s">
        <v>151</v>
      </c>
      <c r="H4" s="279" t="s">
        <v>151</v>
      </c>
      <c r="I4" s="279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4" si="0">IF(P4+Q4=0,0,N4)</f>
        <v>0</v>
      </c>
      <c r="S4" s="221">
        <f t="shared" ref="S4:S16" si="1">R4*$N$2/$R$2</f>
        <v>0</v>
      </c>
      <c r="T4" s="226">
        <f>IF(S4=0,0,S4*(P4^2.7/(P4^2.7+Q4^2.7))*P4/L4)</f>
        <v>0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1.6566769973117212E-3</v>
      </c>
      <c r="BM4" s="31">
        <v>0</v>
      </c>
      <c r="BN4" s="31">
        <v>0</v>
      </c>
      <c r="BO4" s="107">
        <f>H25*H39</f>
        <v>1.992766372486233E-4</v>
      </c>
      <c r="BQ4" s="31">
        <v>1</v>
      </c>
      <c r="BR4" s="31">
        <v>0</v>
      </c>
      <c r="BS4" s="107">
        <f>$H$26*H39</f>
        <v>5.2094492430575256E-4</v>
      </c>
    </row>
    <row r="5" spans="1:71" ht="15.75" x14ac:dyDescent="0.25">
      <c r="A5" s="40" t="s">
        <v>26</v>
      </c>
      <c r="B5" s="154">
        <v>352</v>
      </c>
      <c r="C5" s="154">
        <v>352</v>
      </c>
      <c r="E5" s="279" t="s">
        <v>138</v>
      </c>
      <c r="F5" s="279" t="s">
        <v>138</v>
      </c>
      <c r="G5" s="279" t="s">
        <v>138</v>
      </c>
      <c r="H5" s="279" t="s">
        <v>138</v>
      </c>
      <c r="I5" s="279" t="s">
        <v>138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0"/>
        <v>0</v>
      </c>
      <c r="S5" s="221">
        <f t="shared" si="1"/>
        <v>0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5" si="7">V5*T5</f>
        <v>0</v>
      </c>
      <c r="Y5" s="252">
        <f t="shared" si="7"/>
        <v>0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6.1753205974399254E-3</v>
      </c>
      <c r="BM5" s="31">
        <v>1</v>
      </c>
      <c r="BN5" s="31">
        <v>1</v>
      </c>
      <c r="BO5" s="107">
        <f>$H$26*H40</f>
        <v>4.3308512471880254E-3</v>
      </c>
      <c r="BQ5" s="31">
        <f>BQ4+1</f>
        <v>2</v>
      </c>
      <c r="BR5" s="31">
        <v>0</v>
      </c>
      <c r="BS5" s="107">
        <f>$H$27*H39</f>
        <v>6.2173160705998067E-4</v>
      </c>
    </row>
    <row r="6" spans="1:71" ht="15.75" x14ac:dyDescent="0.25">
      <c r="A6" s="2" t="s">
        <v>31</v>
      </c>
      <c r="B6" s="267">
        <v>10</v>
      </c>
      <c r="C6" s="268">
        <v>10</v>
      </c>
      <c r="E6" s="211"/>
      <c r="F6" s="279" t="s">
        <v>138</v>
      </c>
      <c r="G6" s="279" t="s">
        <v>138</v>
      </c>
      <c r="H6" s="279" t="s">
        <v>138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0"/>
        <v>0</v>
      </c>
      <c r="S6" s="221">
        <f t="shared" si="1"/>
        <v>0</v>
      </c>
      <c r="T6" s="226">
        <f t="shared" si="5"/>
        <v>0</v>
      </c>
      <c r="U6" s="228">
        <f t="shared" si="6"/>
        <v>0</v>
      </c>
      <c r="V6" s="218">
        <f>$G$18</f>
        <v>0.45</v>
      </c>
      <c r="W6" s="216">
        <f>$H$18</f>
        <v>0.45</v>
      </c>
      <c r="X6" s="251">
        <f t="shared" si="7"/>
        <v>0</v>
      </c>
      <c r="Y6" s="252">
        <f t="shared" si="7"/>
        <v>0</v>
      </c>
      <c r="Z6" s="199"/>
      <c r="AA6" s="244">
        <f t="shared" si="8"/>
        <v>0</v>
      </c>
      <c r="AB6" s="245">
        <f t="shared" si="9"/>
        <v>1</v>
      </c>
      <c r="AC6" s="245">
        <f>PRODUCT(AB7:AB16)*AA6*PRODUCT(AB4:AB5)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0"/>
        <v>0</v>
      </c>
      <c r="AH6" s="247">
        <f t="shared" si="2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1.3718823575291415E-2</v>
      </c>
      <c r="BM6" s="31">
        <f>BI14+1</f>
        <v>2</v>
      </c>
      <c r="BN6" s="31">
        <v>2</v>
      </c>
      <c r="BO6" s="107">
        <f>$H$27*H41</f>
        <v>1.9266643858340444E-2</v>
      </c>
      <c r="BQ6" s="31">
        <f>BM5+1</f>
        <v>2</v>
      </c>
      <c r="BR6" s="31">
        <v>1</v>
      </c>
      <c r="BS6" s="107">
        <f>$H$27*H40</f>
        <v>5.1687366172927301E-3</v>
      </c>
    </row>
    <row r="7" spans="1:71" ht="15.75" x14ac:dyDescent="0.25">
      <c r="A7" s="5" t="s">
        <v>36</v>
      </c>
      <c r="B7" s="267">
        <v>10</v>
      </c>
      <c r="C7" s="268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0"/>
        <v>0</v>
      </c>
      <c r="S7" s="221">
        <f t="shared" si="1"/>
        <v>0</v>
      </c>
      <c r="T7" s="226">
        <f t="shared" si="5"/>
        <v>0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0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2.0335404035905388E-2</v>
      </c>
      <c r="BM7" s="31">
        <f>BI23+1</f>
        <v>3</v>
      </c>
      <c r="BN7" s="31">
        <v>3</v>
      </c>
      <c r="BO7" s="107">
        <f>$H$28*H42</f>
        <v>3.1010643646889293E-2</v>
      </c>
      <c r="BQ7" s="31">
        <f>BQ5+1</f>
        <v>3</v>
      </c>
      <c r="BR7" s="31">
        <v>0</v>
      </c>
      <c r="BS7" s="107">
        <f>$H$28*H39</f>
        <v>4.5045384182923378E-4</v>
      </c>
    </row>
    <row r="8" spans="1:71" ht="15.75" x14ac:dyDescent="0.25">
      <c r="A8" s="5" t="s">
        <v>39</v>
      </c>
      <c r="B8" s="267">
        <v>10</v>
      </c>
      <c r="C8" s="268">
        <v>12</v>
      </c>
      <c r="E8" s="213"/>
      <c r="F8" s="214"/>
      <c r="G8" s="280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0</v>
      </c>
      <c r="Q8" s="214">
        <f>COUNTIF(E10:I11,"RAP")</f>
        <v>8</v>
      </c>
      <c r="R8" s="221">
        <f t="shared" si="0"/>
        <v>0.5</v>
      </c>
      <c r="S8" s="221">
        <f t="shared" si="1"/>
        <v>1.0545977011494256</v>
      </c>
      <c r="T8" s="226">
        <f t="shared" si="5"/>
        <v>0</v>
      </c>
      <c r="U8" s="228">
        <f t="shared" si="6"/>
        <v>1.0545977011494256</v>
      </c>
      <c r="V8" s="218">
        <f>$G$17</f>
        <v>0.56999999999999995</v>
      </c>
      <c r="W8" s="216">
        <f>$H$17</f>
        <v>0.56999999999999995</v>
      </c>
      <c r="X8" s="251">
        <f t="shared" si="7"/>
        <v>0</v>
      </c>
      <c r="Y8" s="252">
        <f t="shared" si="7"/>
        <v>0.60112068965517251</v>
      </c>
      <c r="Z8" s="199"/>
      <c r="AA8" s="244">
        <f t="shared" si="8"/>
        <v>0</v>
      </c>
      <c r="AB8" s="245">
        <f t="shared" si="9"/>
        <v>1</v>
      </c>
      <c r="AC8" s="245">
        <f>PRODUCT(AB9:AB$16)*AA8*PRODUCT(AB$4:AB7)</f>
        <v>0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183"/>
      <c r="AF8" s="197"/>
      <c r="AG8" s="246">
        <f t="shared" si="10"/>
        <v>0.60112068965517251</v>
      </c>
      <c r="AH8" s="247">
        <f t="shared" si="2"/>
        <v>0.39887931034482749</v>
      </c>
      <c r="AI8" s="247">
        <f>AG8*PRODUCT(AH3:AH7)*PRODUCT(AH9:AH17)</f>
        <v>0.1945498824483943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0.33607674010290395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2.1300334411523313E-2</v>
      </c>
      <c r="BM8" s="31">
        <f>BI31+1</f>
        <v>4</v>
      </c>
      <c r="BN8" s="31">
        <v>4</v>
      </c>
      <c r="BO8" s="107">
        <f>$H$29*H43</f>
        <v>2.2603744107301923E-2</v>
      </c>
      <c r="BQ8" s="31">
        <f>BQ6+1</f>
        <v>3</v>
      </c>
      <c r="BR8" s="31">
        <v>1</v>
      </c>
      <c r="BS8" s="107">
        <f>$H$28*H40</f>
        <v>3.7448269321111276E-3</v>
      </c>
    </row>
    <row r="9" spans="1:71" ht="15.75" x14ac:dyDescent="0.25">
      <c r="A9" s="5" t="s">
        <v>42</v>
      </c>
      <c r="B9" s="267">
        <v>10</v>
      </c>
      <c r="C9" s="268">
        <v>12</v>
      </c>
      <c r="E9" s="280" t="s">
        <v>151</v>
      </c>
      <c r="F9" s="280" t="s">
        <v>151</v>
      </c>
      <c r="G9" s="280" t="s">
        <v>151</v>
      </c>
      <c r="H9" s="280" t="s">
        <v>151</v>
      </c>
      <c r="I9" s="280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0</v>
      </c>
      <c r="Q9" s="214">
        <f>COUNTIF(E10:I11,"RAP")</f>
        <v>8</v>
      </c>
      <c r="R9" s="221">
        <f t="shared" si="0"/>
        <v>0.5</v>
      </c>
      <c r="S9" s="221">
        <f t="shared" si="1"/>
        <v>1.0545977011494256</v>
      </c>
      <c r="T9" s="226">
        <f t="shared" si="5"/>
        <v>0</v>
      </c>
      <c r="U9" s="228">
        <f t="shared" si="6"/>
        <v>1.0545977011494256</v>
      </c>
      <c r="V9" s="218">
        <f>$G$17</f>
        <v>0.56999999999999995</v>
      </c>
      <c r="W9" s="216">
        <f>$H$17</f>
        <v>0.56999999999999995</v>
      </c>
      <c r="X9" s="251">
        <f t="shared" si="7"/>
        <v>0</v>
      </c>
      <c r="Y9" s="252">
        <f t="shared" si="7"/>
        <v>0.60112068965517251</v>
      </c>
      <c r="Z9" s="199"/>
      <c r="AA9" s="244">
        <f t="shared" si="8"/>
        <v>0</v>
      </c>
      <c r="AB9" s="245">
        <f t="shared" si="9"/>
        <v>1</v>
      </c>
      <c r="AC9" s="245">
        <f>PRODUCT(AB10:AB$16)*AA9*PRODUCT(AB$4:AB8)</f>
        <v>0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E9" s="183"/>
      <c r="AF9" s="197"/>
      <c r="AG9" s="246">
        <f t="shared" si="10"/>
        <v>0.60112068965517251</v>
      </c>
      <c r="AH9" s="247">
        <f t="shared" si="2"/>
        <v>0.39887931034482749</v>
      </c>
      <c r="AI9" s="247">
        <f>AG9*PRODUCT(AH3:AH8)*PRODUCT(AH10:AH17)</f>
        <v>0.1945498824483943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4.2885400074234387E-2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1.6259055841564268E-2</v>
      </c>
      <c r="BM9" s="31">
        <f>BI38+1</f>
        <v>5</v>
      </c>
      <c r="BN9" s="31">
        <v>5</v>
      </c>
      <c r="BO9" s="107">
        <f>$H$30*H44</f>
        <v>8.3518775979923698E-3</v>
      </c>
      <c r="BQ9" s="31">
        <f>BM6+1</f>
        <v>3</v>
      </c>
      <c r="BR9" s="31">
        <v>2</v>
      </c>
      <c r="BS9" s="107">
        <f>$H$28*H41</f>
        <v>1.395897143814951E-2</v>
      </c>
    </row>
    <row r="10" spans="1:71" ht="15.75" x14ac:dyDescent="0.25">
      <c r="A10" s="6" t="s">
        <v>45</v>
      </c>
      <c r="B10" s="267">
        <v>9</v>
      </c>
      <c r="C10" s="268">
        <v>14</v>
      </c>
      <c r="E10" s="280" t="s">
        <v>1</v>
      </c>
      <c r="F10" s="280" t="s">
        <v>1</v>
      </c>
      <c r="G10" s="280" t="s">
        <v>1</v>
      </c>
      <c r="H10" s="280" t="s">
        <v>1</v>
      </c>
      <c r="I10" s="280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0.40074712643678168</v>
      </c>
      <c r="T10" s="226">
        <f>S10*G13</f>
        <v>0.20037356321839084</v>
      </c>
      <c r="U10" s="228">
        <f>S10*G14</f>
        <v>0.20037356321839084</v>
      </c>
      <c r="V10" s="218">
        <f>$G$18</f>
        <v>0.45</v>
      </c>
      <c r="W10" s="216">
        <f>$H$18</f>
        <v>0.45</v>
      </c>
      <c r="X10" s="251">
        <f t="shared" si="7"/>
        <v>9.0168103448275874E-2</v>
      </c>
      <c r="Y10" s="252">
        <f t="shared" si="7"/>
        <v>9.0168103448275874E-2</v>
      </c>
      <c r="Z10" s="199"/>
      <c r="AA10" s="244">
        <f t="shared" si="8"/>
        <v>9.0168103448275874E-2</v>
      </c>
      <c r="AB10" s="245">
        <f t="shared" si="9"/>
        <v>0.90983189655172414</v>
      </c>
      <c r="AC10" s="245">
        <f>PRODUCT(AB11:AB$16)*AA10*PRODUCT(AB$4:AB9)</f>
        <v>4.2779764712484909E-2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3.7229630505900425E-2</v>
      </c>
      <c r="AE10" s="183"/>
      <c r="AF10" s="197"/>
      <c r="AG10" s="246">
        <f t="shared" si="10"/>
        <v>9.0168103448275874E-2</v>
      </c>
      <c r="AH10" s="247">
        <f t="shared" si="2"/>
        <v>0.90983189655172414</v>
      </c>
      <c r="AI10" s="247">
        <f>AG10*PRODUCT(AH3:AH9)*PRODUCT(AH11:AH17)</f>
        <v>1.279388916229391E-2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1.5522802670274495E-3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9.1761730403213861E-3</v>
      </c>
      <c r="BM10" s="31">
        <f>BI44+1</f>
        <v>6</v>
      </c>
      <c r="BN10" s="31">
        <v>6</v>
      </c>
      <c r="BO10" s="107">
        <f>$H$31*H45</f>
        <v>1.6601793173262353E-3</v>
      </c>
      <c r="BQ10" s="31">
        <f>BQ7+1</f>
        <v>4</v>
      </c>
      <c r="BR10" s="31">
        <v>0</v>
      </c>
      <c r="BS10" s="107">
        <f>$H$29*H39</f>
        <v>2.2150521853307078E-4</v>
      </c>
    </row>
    <row r="11" spans="1:71" ht="15.75" x14ac:dyDescent="0.25">
      <c r="A11" s="6" t="s">
        <v>48</v>
      </c>
      <c r="B11" s="267">
        <v>9</v>
      </c>
      <c r="C11" s="268">
        <v>14</v>
      </c>
      <c r="E11" s="213"/>
      <c r="F11" s="280" t="s">
        <v>1</v>
      </c>
      <c r="G11" s="280" t="s">
        <v>1</v>
      </c>
      <c r="H11" s="280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8</v>
      </c>
      <c r="Q11" s="214">
        <f>COUNTIF(E9:I11,"CAB")</f>
        <v>0</v>
      </c>
      <c r="R11" s="221">
        <f t="shared" si="0"/>
        <v>0.19</v>
      </c>
      <c r="S11" s="221">
        <f t="shared" si="1"/>
        <v>0.40074712643678168</v>
      </c>
      <c r="T11" s="226">
        <f>IF(P11&gt;0,IF(Q11&gt;0,G13^2.7/(G14^2.7+G13^2.7),1),0)*P11/L11*S11</f>
        <v>0.35621966794380594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0.9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0.32059770114942537</v>
      </c>
      <c r="Y11" s="252">
        <f t="shared" si="7"/>
        <v>0</v>
      </c>
      <c r="Z11" s="199"/>
      <c r="AA11" s="244">
        <f t="shared" si="8"/>
        <v>0.32059770114942537</v>
      </c>
      <c r="AB11" s="245">
        <f t="shared" si="9"/>
        <v>0.67940229885057457</v>
      </c>
      <c r="AC11" s="245">
        <f>PRODUCT(AB12:AB$16)*AA11*PRODUCT(AB$4:AB10)</f>
        <v>0.20369483014766263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8.1148078882881378E-2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3.8360801090983132E-3</v>
      </c>
      <c r="BM11" s="31">
        <f>BI50+1</f>
        <v>7</v>
      </c>
      <c r="BN11" s="31">
        <v>7</v>
      </c>
      <c r="BO11" s="107">
        <f>$H$32*H46</f>
        <v>1.823804592860626E-4</v>
      </c>
      <c r="BQ11" s="31">
        <f>BQ8+1</f>
        <v>4</v>
      </c>
      <c r="BR11" s="31">
        <v>1</v>
      </c>
      <c r="BS11" s="107">
        <f>$H$29*H40</f>
        <v>1.8414732674880054E-3</v>
      </c>
    </row>
    <row r="12" spans="1:71" ht="15.75" x14ac:dyDescent="0.25">
      <c r="A12" s="6" t="s">
        <v>52</v>
      </c>
      <c r="B12" s="267">
        <v>9</v>
      </c>
      <c r="C12" s="268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1.1754409591755051E-3</v>
      </c>
      <c r="BM12" s="31">
        <f>BI54+1</f>
        <v>8</v>
      </c>
      <c r="BN12" s="31">
        <v>8</v>
      </c>
      <c r="BO12" s="107">
        <f>$H$33*H47</f>
        <v>1.1092886018369055E-5</v>
      </c>
      <c r="BQ12" s="31">
        <f>BQ9+1</f>
        <v>4</v>
      </c>
      <c r="BR12" s="31">
        <v>2</v>
      </c>
      <c r="BS12" s="107">
        <f>$H$29*H41</f>
        <v>6.8641550626986694E-3</v>
      </c>
    </row>
    <row r="13" spans="1:71" ht="15.75" x14ac:dyDescent="0.25">
      <c r="A13" s="7" t="s">
        <v>55</v>
      </c>
      <c r="B13" s="267">
        <v>9</v>
      </c>
      <c r="C13" s="268">
        <v>9</v>
      </c>
      <c r="E13" s="210"/>
      <c r="F13" s="210" t="s">
        <v>152</v>
      </c>
      <c r="G13" s="217">
        <f>B22</f>
        <v>0.5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8</v>
      </c>
      <c r="Q13" s="214">
        <f>COUNTIF(E10:I11,"CAB")</f>
        <v>0</v>
      </c>
      <c r="R13" s="221">
        <f t="shared" si="0"/>
        <v>0.18</v>
      </c>
      <c r="S13" s="221">
        <f t="shared" si="1"/>
        <v>0.37965517241379321</v>
      </c>
      <c r="T13" s="226">
        <f>IF((Q13+P13)=0,0,S13*P14/4*P13/L13)</f>
        <v>0.21694581280788183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0.21694581280788183</v>
      </c>
      <c r="Y13" s="252">
        <f t="shared" si="7"/>
        <v>0</v>
      </c>
      <c r="Z13" s="199"/>
      <c r="AA13" s="244">
        <f t="shared" si="8"/>
        <v>0.21694581280788183</v>
      </c>
      <c r="AB13" s="245">
        <f t="shared" si="9"/>
        <v>0.78305418719211817</v>
      </c>
      <c r="AC13" s="245">
        <f>PRODUCT(AB14:AB$16)*AA13*PRODUCT(AB$4:AB12)</f>
        <v>0.11959308552003856</v>
      </c>
      <c r="AD13" s="245">
        <f>AA13*AA14*PRODUCT(AB3:AB12)*PRODUCT(AB15:AB17)+AA13*AA15*PRODUCT(AB3:AB12)*AB14*PRODUCT(AB16:AB17)+AA13*AA16*PRODUCT(AB3:AB12)*AB14*AB15*AB17+AA13*AA17*PRODUCT(AB3:AB12)*AB14*AB15*AB16</f>
        <v>1.4510207519446488E-2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2.5720764265494718E-4</v>
      </c>
      <c r="BM13" s="31">
        <f>BI57+1</f>
        <v>9</v>
      </c>
      <c r="BN13" s="31">
        <v>9</v>
      </c>
      <c r="BO13" s="107">
        <f>$H$34*H48</f>
        <v>3.6510447233224219E-7</v>
      </c>
      <c r="BQ13" s="31">
        <f>BM7+1</f>
        <v>4</v>
      </c>
      <c r="BR13" s="31">
        <v>3</v>
      </c>
      <c r="BS13" s="107">
        <f>$H$29*H42</f>
        <v>1.5249108254824093E-2</v>
      </c>
    </row>
    <row r="14" spans="1:71" ht="15.75" x14ac:dyDescent="0.25">
      <c r="A14" s="7" t="s">
        <v>58</v>
      </c>
      <c r="B14" s="267">
        <v>4</v>
      </c>
      <c r="C14" s="268">
        <v>4</v>
      </c>
      <c r="E14" s="210"/>
      <c r="F14" s="210" t="s">
        <v>153</v>
      </c>
      <c r="G14" s="215">
        <f>C22</f>
        <v>0.5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0.37965517241379321</v>
      </c>
      <c r="T14" s="226">
        <f>S14*P14^2.7/(Q14^2.7+P14^2.7)</f>
        <v>0.1898275862068966</v>
      </c>
      <c r="U14" s="228">
        <f>S14*Q14^2.7/(Q14^2.7+P14^2.7)</f>
        <v>0.1898275862068966</v>
      </c>
      <c r="V14" s="218">
        <f>$G$17</f>
        <v>0.56999999999999995</v>
      </c>
      <c r="W14" s="216">
        <f>$H$17</f>
        <v>0.56999999999999995</v>
      </c>
      <c r="X14" s="251">
        <f t="shared" si="7"/>
        <v>0.10820172413793105</v>
      </c>
      <c r="Y14" s="252">
        <f t="shared" si="7"/>
        <v>0.10820172413793105</v>
      </c>
      <c r="Z14" s="199"/>
      <c r="AA14" s="244">
        <f t="shared" si="8"/>
        <v>0.10820172413793105</v>
      </c>
      <c r="AB14" s="245">
        <f t="shared" si="9"/>
        <v>0.89179827586206895</v>
      </c>
      <c r="AC14" s="245">
        <f>PRODUCT(AB15:AB$16)*AA14*PRODUCT(AB$4:AB13)</f>
        <v>5.2373809883996661E-2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0.10820172413793105</v>
      </c>
      <c r="AH14" s="247">
        <f t="shared" si="2"/>
        <v>0.89179827586206895</v>
      </c>
      <c r="AI14" s="247">
        <f>AG14*PRODUCT(AH3:AH13)*PRODUCT(AH15:AH17)</f>
        <v>1.5663123048158183E-2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1.6143397267304706E-2</v>
      </c>
      <c r="BM14" s="31">
        <f>BQ39+1</f>
        <v>10</v>
      </c>
      <c r="BN14" s="31">
        <v>10</v>
      </c>
      <c r="BO14" s="107">
        <f>$H$35*H49</f>
        <v>6.1599123512448485E-9</v>
      </c>
      <c r="BQ14" s="31">
        <f>BQ10+1</f>
        <v>5</v>
      </c>
      <c r="BR14" s="31">
        <v>0</v>
      </c>
      <c r="BS14" s="107">
        <f>$H$30*H39</f>
        <v>7.8136523600288505E-5</v>
      </c>
    </row>
    <row r="15" spans="1:71" ht="15.75" x14ac:dyDescent="0.25">
      <c r="A15" s="162" t="s">
        <v>62</v>
      </c>
      <c r="B15" s="269">
        <v>5</v>
      </c>
      <c r="C15" s="270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3.5863469033139417E-2</v>
      </c>
      <c r="BQ15" s="31">
        <f>BQ11+1</f>
        <v>5</v>
      </c>
      <c r="BR15" s="31">
        <v>1</v>
      </c>
      <c r="BS15" s="107">
        <f>$H$30*H40</f>
        <v>6.4958433204089351E-4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77">
        <v>0.7</v>
      </c>
      <c r="H16" s="278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183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ref="X16" si="14">V16*T16</f>
        <v>0</v>
      </c>
      <c r="Y16" s="252">
        <f t="shared" ref="Y16" si="15">W16*U16</f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6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5.3160398842914597E-2</v>
      </c>
      <c r="BQ16" s="31">
        <f>BQ12+1</f>
        <v>5</v>
      </c>
      <c r="BR16" s="31">
        <v>2</v>
      </c>
      <c r="BS16" s="107">
        <f>$H$30*H41</f>
        <v>2.421347982700094E-3</v>
      </c>
    </row>
    <row r="17" spans="1:71" x14ac:dyDescent="0.25">
      <c r="A17" s="161" t="s">
        <v>69</v>
      </c>
      <c r="B17" s="271" t="s">
        <v>70</v>
      </c>
      <c r="C17" s="272" t="s">
        <v>70</v>
      </c>
      <c r="E17" s="210"/>
      <c r="F17" s="210" t="s">
        <v>154</v>
      </c>
      <c r="G17" s="277">
        <v>0.56999999999999995</v>
      </c>
      <c r="H17" s="278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5.5682900167841359E-2</v>
      </c>
      <c r="BQ17" s="31">
        <f>BQ13+1</f>
        <v>5</v>
      </c>
      <c r="BR17" s="31">
        <v>3</v>
      </c>
      <c r="BS17" s="107">
        <f>$H$30*H42</f>
        <v>5.3791613350117262E-3</v>
      </c>
    </row>
    <row r="18" spans="1:71" x14ac:dyDescent="0.25">
      <c r="A18" s="161" t="s">
        <v>73</v>
      </c>
      <c r="B18" s="271">
        <v>20</v>
      </c>
      <c r="C18" s="272">
        <v>20</v>
      </c>
      <c r="E18" s="210"/>
      <c r="F18" s="209" t="s">
        <v>3</v>
      </c>
      <c r="G18" s="277">
        <v>0.45</v>
      </c>
      <c r="H18" s="278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0.43166477916133789</v>
      </c>
      <c r="AC18" s="159">
        <f>SUM(AC4:AC16)</f>
        <v>0.41844149026418276</v>
      </c>
      <c r="AD18" s="159">
        <f>SUM(AD3:AD17)</f>
        <v>0.13288791690822829</v>
      </c>
      <c r="AE18" s="159">
        <f>IF((1-AB18-AC18-AD18)&lt;0,(1-AB18-AC18-AD18)-1,1-AB18-AC18-AD18)</f>
        <v>1.7005813666251007E-2</v>
      </c>
      <c r="AF18" s="197"/>
      <c r="AG18" s="157"/>
      <c r="AH18" s="160">
        <f>PRODUCT(AH3:AH17)</f>
        <v>0.12909541174368569</v>
      </c>
      <c r="AI18" s="159">
        <f>SUM(AI3:AI17)</f>
        <v>0.41755677710724071</v>
      </c>
      <c r="AJ18" s="159">
        <f>SUM(AJ3:AJ17)</f>
        <v>0.38051442044416584</v>
      </c>
      <c r="AK18" s="159">
        <f>IF((1-AH18-AI18-AJ18)&lt;0,(1-AH18-AI18-AJ18)-1,(1-AH18-AI18-AJ18))</f>
        <v>7.2833390704907797E-2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4.2504092459665466E-2</v>
      </c>
      <c r="BQ18" s="31">
        <f>BM8+1</f>
        <v>5</v>
      </c>
      <c r="BR18" s="31">
        <v>4</v>
      </c>
      <c r="BS18" s="107">
        <f>$H$30*H43</f>
        <v>7.9735276513649648E-3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2.3988164573164161E-2</v>
      </c>
      <c r="BQ19" s="31">
        <f>BQ15+1</f>
        <v>6</v>
      </c>
      <c r="BR19" s="31">
        <v>1</v>
      </c>
      <c r="BS19" s="107">
        <f>$H$31*H40</f>
        <v>1.691599385122992E-4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1.0028202450906369E-2</v>
      </c>
      <c r="BQ20" s="31">
        <f>BQ16+1</f>
        <v>6</v>
      </c>
      <c r="BR20" s="31">
        <v>2</v>
      </c>
      <c r="BS20" s="107">
        <f>$H$31*H41</f>
        <v>6.3054950014502858E-4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3.0728138027519584E-3</v>
      </c>
      <c r="BQ21" s="31">
        <f>BQ17+1</f>
        <v>6</v>
      </c>
      <c r="BR21" s="31">
        <v>3</v>
      </c>
      <c r="BS21" s="107">
        <f>$H$31*H42</f>
        <v>1.4008013367863023E-3</v>
      </c>
    </row>
    <row r="22" spans="1:71" x14ac:dyDescent="0.25">
      <c r="A22" s="26" t="s">
        <v>81</v>
      </c>
      <c r="B22" s="169">
        <f>(B6)/((B6)+(C6))</f>
        <v>0.5</v>
      </c>
      <c r="C22" s="170">
        <f>1-B22</f>
        <v>0.5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2"/>
        <v>6.7238697814120299E-4</v>
      </c>
      <c r="BQ22" s="31">
        <f>BQ18+1</f>
        <v>6</v>
      </c>
      <c r="BR22" s="31">
        <v>4</v>
      </c>
      <c r="BS22" s="107">
        <f>$H$31*H43</f>
        <v>2.0764069893639361E-3</v>
      </c>
    </row>
    <row r="23" spans="1:71" ht="15.75" thickBot="1" x14ac:dyDescent="0.3">
      <c r="A23" s="40" t="s">
        <v>82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229">
        <f>SUM(H25:H35)</f>
        <v>0.99999987792235334</v>
      </c>
      <c r="I23" s="81"/>
      <c r="J23" s="229">
        <f>SUM(J25:J35)</f>
        <v>0.99999999999999967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</v>
      </c>
      <c r="V23" s="171">
        <f>SUM(V25:V34)</f>
        <v>0.99897460937500004</v>
      </c>
      <c r="Y23" s="168">
        <f>SUM(Y25:Y35)</f>
        <v>9.716796875E-4</v>
      </c>
      <c r="Z23" s="81"/>
      <c r="AA23" s="168">
        <f>SUM(AA25:AA35)</f>
        <v>9.7216796875000001E-3</v>
      </c>
      <c r="AB23" s="81"/>
      <c r="AC23" s="168">
        <f>SUM(AC25:AC35)</f>
        <v>4.3774414062500003E-2</v>
      </c>
      <c r="AD23" s="81"/>
      <c r="AE23" s="168">
        <f>SUM(AE25:AE35)</f>
        <v>0.11682128906250001</v>
      </c>
      <c r="AF23" s="81"/>
      <c r="AG23" s="168">
        <f>SUM(AG25:AG35)</f>
        <v>0.20463867187499998</v>
      </c>
      <c r="AH23" s="81"/>
      <c r="AI23" s="168">
        <f>SUM(AI25:AI35)</f>
        <v>0.24588867187499996</v>
      </c>
      <c r="AJ23" s="81"/>
      <c r="AK23" s="168">
        <f>SUM(AK25:AK35)</f>
        <v>0.20528320312499998</v>
      </c>
      <c r="AL23" s="81"/>
      <c r="AM23" s="168">
        <f>SUM(AM25:AM35)</f>
        <v>0.11762695312499996</v>
      </c>
      <c r="AN23" s="81"/>
      <c r="AO23" s="168">
        <f>SUM(AO25:AO35)</f>
        <v>4.4311523437499993E-2</v>
      </c>
      <c r="AP23" s="81"/>
      <c r="AQ23" s="168">
        <f>SUM(AQ25:AQ35)</f>
        <v>9.9365234374999972E-3</v>
      </c>
      <c r="AR23" s="81"/>
      <c r="AS23" s="168">
        <f>SUM(AS25:AS35)</f>
        <v>1.0253906249999556E-3</v>
      </c>
      <c r="BI23" s="31">
        <f t="shared" ref="BI23:BI30" si="17">BI15+1</f>
        <v>2</v>
      </c>
      <c r="BJ23" s="31">
        <v>3</v>
      </c>
      <c r="BK23" s="107">
        <f t="shared" ref="BK23:BK30" si="18">$H$27*H42</f>
        <v>4.2801937779573834E-2</v>
      </c>
      <c r="BQ23" s="31">
        <f>BM9+1</f>
        <v>6</v>
      </c>
      <c r="BR23" s="31">
        <v>5</v>
      </c>
      <c r="BS23" s="107">
        <f>$H$31*H44</f>
        <v>2.17493407899761E-3</v>
      </c>
    </row>
    <row r="24" spans="1:71" ht="15.75" thickBot="1" x14ac:dyDescent="0.3">
      <c r="A24" s="26" t="s">
        <v>83</v>
      </c>
      <c r="B24" s="64">
        <f>B23/B21</f>
        <v>0.5</v>
      </c>
      <c r="C24" s="65">
        <f>C23/B21</f>
        <v>0.5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7"/>
        <v>2</v>
      </c>
      <c r="BJ24" s="31">
        <v>4</v>
      </c>
      <c r="BK24" s="107">
        <f t="shared" si="18"/>
        <v>6.3445286943915533E-2</v>
      </c>
      <c r="BQ24" s="31">
        <f>BI49+1</f>
        <v>7</v>
      </c>
      <c r="BR24" s="31">
        <v>0</v>
      </c>
      <c r="BS24" s="107">
        <f t="shared" ref="BS24:BS30" si="19">$H$32*H39</f>
        <v>3.9607104690250144E-6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9.4131602063800252E-2</v>
      </c>
      <c r="I25" s="97">
        <v>0</v>
      </c>
      <c r="J25" s="98">
        <f t="shared" ref="J25:J35" si="20">Y25+AA25+AC25+AE25+AG25+AI25+AK25+AM25+AO25+AQ25+AS25</f>
        <v>0.21806644092363597</v>
      </c>
      <c r="K25" s="97">
        <v>0</v>
      </c>
      <c r="L25" s="98">
        <f>AB18</f>
        <v>0.43166477916133789</v>
      </c>
      <c r="M25" s="85">
        <v>0</v>
      </c>
      <c r="N25" s="173">
        <f>(1-$B$24)^$B$21</f>
        <v>3.125E-2</v>
      </c>
      <c r="O25" s="72">
        <v>0</v>
      </c>
      <c r="P25" s="173">
        <f t="shared" ref="P25:P30" si="21">N25</f>
        <v>3.125E-2</v>
      </c>
      <c r="Q25" s="28">
        <v>0</v>
      </c>
      <c r="R25" s="174">
        <f>P25*N25</f>
        <v>9.765625E-4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0.28228854946744131</v>
      </c>
      <c r="X25" s="28">
        <v>0</v>
      </c>
      <c r="Y25" s="176">
        <f>V25</f>
        <v>9.716796875E-4</v>
      </c>
      <c r="Z25" s="28">
        <v>0</v>
      </c>
      <c r="AA25" s="176">
        <f>((1-W25)^Z26)*V26</f>
        <v>6.9773608301285373E-3</v>
      </c>
      <c r="AB25" s="28">
        <v>0</v>
      </c>
      <c r="AC25" s="176">
        <f>(((1-$W$25)^AB27))*V27</f>
        <v>2.2548626443418214E-2</v>
      </c>
      <c r="AD25" s="28">
        <v>0</v>
      </c>
      <c r="AE25" s="176">
        <f>(((1-$W$25)^AB28))*V28</f>
        <v>4.3188847948569239E-2</v>
      </c>
      <c r="AF25" s="28">
        <v>0</v>
      </c>
      <c r="AG25" s="176">
        <f>(((1-$W$25)^AB29))*V29</f>
        <v>5.4298422067802943E-2</v>
      </c>
      <c r="AH25" s="28">
        <v>0</v>
      </c>
      <c r="AI25" s="176">
        <f>(((1-$W$25)^AB30))*V30</f>
        <v>4.68260901391572E-2</v>
      </c>
      <c r="AJ25" s="28">
        <v>0</v>
      </c>
      <c r="AK25" s="176">
        <f>(((1-$W$25)^AB31))*V31</f>
        <v>2.8057738696930269E-2</v>
      </c>
      <c r="AL25" s="28">
        <v>0</v>
      </c>
      <c r="AM25" s="176">
        <f>(((1-$W$25)^AB32))*V32</f>
        <v>1.153867586134321E-2</v>
      </c>
      <c r="AN25" s="28">
        <v>0</v>
      </c>
      <c r="AO25" s="176">
        <f>(((1-$W$25)^AB33))*V33</f>
        <v>3.1197204687111713E-3</v>
      </c>
      <c r="AP25" s="28">
        <v>0</v>
      </c>
      <c r="AQ25" s="176">
        <f>(((1-$W$25)^AB34))*V34</f>
        <v>5.0209204124622984E-4</v>
      </c>
      <c r="AR25" s="28">
        <v>0</v>
      </c>
      <c r="AS25" s="176">
        <f>(((1-$W$25)^AB35))*V35</f>
        <v>3.7186738828978154E-5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7"/>
        <v>2</v>
      </c>
      <c r="BJ25" s="31">
        <v>5</v>
      </c>
      <c r="BK25" s="107">
        <f t="shared" si="18"/>
        <v>6.6455814025348753E-2</v>
      </c>
      <c r="BQ25" s="31">
        <f>BQ19+1</f>
        <v>7</v>
      </c>
      <c r="BR25" s="31">
        <v>1</v>
      </c>
      <c r="BS25" s="107">
        <f t="shared" si="19"/>
        <v>3.2927181116866173E-5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0.24607691593433095</v>
      </c>
      <c r="I26" s="138">
        <v>1</v>
      </c>
      <c r="J26" s="86">
        <f t="shared" si="20"/>
        <v>0.3586784859270854</v>
      </c>
      <c r="K26" s="138">
        <v>1</v>
      </c>
      <c r="L26" s="86">
        <f>AC18</f>
        <v>0.41844149026418276</v>
      </c>
      <c r="M26" s="85">
        <v>1</v>
      </c>
      <c r="N26" s="173">
        <f>(($B$24)^M26)*((1-($B$24))^($B$21-M26))*HLOOKUP($B$21,$AV$24:$BF$34,M26+1)</f>
        <v>0.15625</v>
      </c>
      <c r="O26" s="72">
        <v>1</v>
      </c>
      <c r="P26" s="173">
        <f t="shared" si="21"/>
        <v>0.15625</v>
      </c>
      <c r="Q26" s="28">
        <v>1</v>
      </c>
      <c r="R26" s="174">
        <f>N26*P25+P26*N25</f>
        <v>9.765625E-3</v>
      </c>
      <c r="S26" s="72">
        <v>1</v>
      </c>
      <c r="T26" s="175">
        <f t="shared" ref="T26:T35" si="22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9.7216796875000001E-3</v>
      </c>
      <c r="W26" s="177"/>
      <c r="X26" s="28">
        <v>1</v>
      </c>
      <c r="Y26" s="174"/>
      <c r="Z26" s="28">
        <v>1</v>
      </c>
      <c r="AA26" s="176">
        <f>(1-((1-W25)^Z26))*V26</f>
        <v>2.7443188573714633E-3</v>
      </c>
      <c r="AB26" s="28">
        <v>1</v>
      </c>
      <c r="AC26" s="176">
        <f>((($W$25)^M26)*((1-($W$25))^($U$27-M26))*HLOOKUP($U$27,$AV$24:$BF$34,M26+1))*V27</f>
        <v>1.7737543539182988E-2</v>
      </c>
      <c r="AD26" s="28">
        <v>1</v>
      </c>
      <c r="AE26" s="176">
        <f>((($W$25)^M26)*((1-($W$25))^($U$28-M26))*HLOOKUP($U$28,$AV$24:$BF$34,M26+1))*V28</f>
        <v>5.0960802833192716E-2</v>
      </c>
      <c r="AF26" s="28">
        <v>1</v>
      </c>
      <c r="AG26" s="176">
        <f>((($W$25)^M26)*((1-($W$25))^($U$29-M26))*HLOOKUP($U$29,$AV$24:$BF$34,M26+1))*V29</f>
        <v>8.5426101492556084E-2</v>
      </c>
      <c r="AH26" s="28">
        <v>1</v>
      </c>
      <c r="AI26" s="176">
        <f>((($W$25)^M26)*((1-($W$25))^($U$30-M26))*HLOOKUP($U$30,$AV$24:$BF$34,M26+1))*V30</f>
        <v>9.2087628341486871E-2</v>
      </c>
      <c r="AJ26" s="28">
        <v>1</v>
      </c>
      <c r="AK26" s="176">
        <f>((($W$25)^M26)*((1-($W$25))^($U$31-M26))*HLOOKUP($U$31,$AV$24:$BF$34,M26+1))*V31</f>
        <v>6.6213615671444306E-2</v>
      </c>
      <c r="AL26" s="28">
        <v>1</v>
      </c>
      <c r="AM26" s="176">
        <f>((($W$25)^Q26)*((1-($W$25))^($U$32-Q26))*HLOOKUP($U$32,$AV$24:$BF$34,Q26+1))*V32</f>
        <v>3.1768550557185977E-2</v>
      </c>
      <c r="AN26" s="28">
        <v>1</v>
      </c>
      <c r="AO26" s="176">
        <f>((($W$25)^Q26)*((1-($W$25))^($U$33-Q26))*HLOOKUP($U$33,$AV$24:$BF$34,Q26+1))*V33</f>
        <v>9.8163278872353665E-3</v>
      </c>
      <c r="AP26" s="28">
        <v>1</v>
      </c>
      <c r="AQ26" s="176">
        <f>((($W$25)^Q26)*((1-($W$25))^($U$34-Q26))*HLOOKUP($U$34,$AV$24:$BF$34,Q26+1))*V34</f>
        <v>1.7773347565464774E-3</v>
      </c>
      <c r="AR26" s="28">
        <v>1</v>
      </c>
      <c r="AS26" s="176">
        <f>((($W$25)^Q26)*((1-($W$25))^($U$35-Q26))*HLOOKUP($U$35,$AV$24:$BF$34,Q26+1))*V35</f>
        <v>1.4626199088320959E-4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7"/>
        <v>2</v>
      </c>
      <c r="BJ26" s="31">
        <v>6</v>
      </c>
      <c r="BK26" s="107">
        <f t="shared" si="18"/>
        <v>5.0727315842055913E-2</v>
      </c>
      <c r="BQ26" s="31">
        <f>BQ20+1</f>
        <v>7</v>
      </c>
      <c r="BR26" s="31">
        <v>2</v>
      </c>
      <c r="BS26" s="107">
        <f t="shared" si="19"/>
        <v>1.2273720230109459E-4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0.29368516567870495</v>
      </c>
      <c r="I27" s="138">
        <v>2</v>
      </c>
      <c r="J27" s="86">
        <f t="shared" si="20"/>
        <v>0.26553199601420585</v>
      </c>
      <c r="K27" s="138">
        <v>2</v>
      </c>
      <c r="L27" s="86">
        <f>AD18</f>
        <v>0.13288791690822829</v>
      </c>
      <c r="M27" s="85">
        <v>2</v>
      </c>
      <c r="N27" s="173">
        <f>(($B$24)^M27)*((1-($B$24))^($B$21-M27))*HLOOKUP($B$21,$AV$24:$BF$34,M27+1)</f>
        <v>0.3125</v>
      </c>
      <c r="O27" s="72">
        <v>2</v>
      </c>
      <c r="P27" s="173">
        <f t="shared" si="21"/>
        <v>0.3125</v>
      </c>
      <c r="Q27" s="28">
        <v>2</v>
      </c>
      <c r="R27" s="174">
        <f>P25*N27+P26*N26+P27*N25</f>
        <v>4.39453125E-2</v>
      </c>
      <c r="S27" s="72">
        <v>2</v>
      </c>
      <c r="T27" s="175">
        <f t="shared" si="22"/>
        <v>0</v>
      </c>
      <c r="U27" s="138">
        <v>2</v>
      </c>
      <c r="V27" s="86">
        <f>R27*T25+T26*R26+R25*T27</f>
        <v>4.3774414062499996E-2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3.4882440798987956E-3</v>
      </c>
      <c r="AD27" s="28">
        <v>2</v>
      </c>
      <c r="AE27" s="176">
        <f>((($W$25)^M27)*((1-($W$25))^($U$28-M27))*HLOOKUP($U$28,$AV$24:$BF$34,M27+1))*V28</f>
        <v>2.0043780966297466E-2</v>
      </c>
      <c r="AF27" s="28">
        <v>2</v>
      </c>
      <c r="AG27" s="176">
        <f>((($W$25)^M27)*((1-($W$25))^($U$29-M27))*HLOOKUP($U$29,$AV$24:$BF$34,M27+1))*V29</f>
        <v>5.0399384583661708E-2</v>
      </c>
      <c r="AH27" s="28">
        <v>2</v>
      </c>
      <c r="AI27" s="176">
        <f>((($W$25)^M27)*((1-($W$25))^($U$30-M27))*HLOOKUP($U$30,$AV$24:$BF$34,M27+1))*V30</f>
        <v>7.2439371028917163E-2</v>
      </c>
      <c r="AJ27" s="28">
        <v>2</v>
      </c>
      <c r="AK27" s="176">
        <f>((($W$25)^M27)*((1-($W$25))^($U$31-M27))*HLOOKUP($U$31,$AV$24:$BF$34,M27+1))*V31</f>
        <v>6.5107451988599449E-2</v>
      </c>
      <c r="AL27" s="28">
        <v>2</v>
      </c>
      <c r="AM27" s="176">
        <f>((($W$25)^Q27)*((1-($W$25))^($U$32-Q27))*HLOOKUP($U$32,$AV$24:$BF$34,Q27+1))*V32</f>
        <v>3.7485390746448508E-2</v>
      </c>
      <c r="AN27" s="28">
        <v>2</v>
      </c>
      <c r="AO27" s="176">
        <f>((($W$25)^Q27)*((1-($W$25))^($U$33-Q27))*HLOOKUP($U$33,$AV$24:$BF$34,Q27+1))*V33</f>
        <v>1.3513271042490706E-2</v>
      </c>
      <c r="AP27" s="28">
        <v>2</v>
      </c>
      <c r="AQ27" s="176">
        <f>((($W$25)^Q27)*((1-($W$25))^($U$34-Q27))*HLOOKUP($U$34,$AV$24:$BF$34,Q27+1))*V34</f>
        <v>2.7962282054788687E-3</v>
      </c>
      <c r="AR27" s="28">
        <v>2</v>
      </c>
      <c r="AS27" s="176">
        <f>((($W$25)^Q27)*((1-($W$25))^($U$35-Q27))*HLOOKUP($U$35,$AV$24:$BF$34,Q27+1))*V35</f>
        <v>2.5887337241313463E-4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7"/>
        <v>2</v>
      </c>
      <c r="BJ27" s="31">
        <v>7</v>
      </c>
      <c r="BK27" s="107">
        <f t="shared" si="18"/>
        <v>2.8629130287368382E-2</v>
      </c>
      <c r="BQ27" s="31">
        <f>BQ21+1</f>
        <v>7</v>
      </c>
      <c r="BR27" s="31">
        <v>3</v>
      </c>
      <c r="BS27" s="107">
        <f t="shared" si="19"/>
        <v>2.7266762881778439E-4</v>
      </c>
    </row>
    <row r="28" spans="1:71" x14ac:dyDescent="0.25">
      <c r="A28" s="26" t="s">
        <v>111</v>
      </c>
      <c r="B28" s="273">
        <v>0.9</v>
      </c>
      <c r="C28" s="274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0.21277929200640597</v>
      </c>
      <c r="I28" s="138">
        <v>3</v>
      </c>
      <c r="J28" s="86">
        <f t="shared" si="20"/>
        <v>0.11651924413027481</v>
      </c>
      <c r="K28" s="138">
        <v>3</v>
      </c>
      <c r="L28" s="86">
        <f>AE18</f>
        <v>1.7005813666251007E-2</v>
      </c>
      <c r="M28" s="85">
        <v>3</v>
      </c>
      <c r="N28" s="173">
        <f>(($B$24)^M28)*((1-($B$24))^($B$21-M28))*HLOOKUP($B$21,$AV$24:$BF$34,M28+1)</f>
        <v>0.3125</v>
      </c>
      <c r="O28" s="72">
        <v>3</v>
      </c>
      <c r="P28" s="173">
        <f t="shared" si="21"/>
        <v>0.3125</v>
      </c>
      <c r="Q28" s="28">
        <v>3</v>
      </c>
      <c r="R28" s="174">
        <f>P25*N28+P26*N27+P27*N26+P28*N25</f>
        <v>0.1171875</v>
      </c>
      <c r="S28" s="72">
        <v>3</v>
      </c>
      <c r="T28" s="175">
        <f t="shared" si="22"/>
        <v>0</v>
      </c>
      <c r="U28" s="138">
        <v>3</v>
      </c>
      <c r="V28" s="86">
        <f>R28*T25+R27*T26+R26*T27+R25*T28</f>
        <v>0.1168212890625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2.6278573144405764E-3</v>
      </c>
      <c r="AF28" s="28">
        <v>3</v>
      </c>
      <c r="AG28" s="176">
        <f>((($W$25)^M28)*((1-($W$25))^($U$29-M28))*HLOOKUP($U$29,$AV$24:$BF$34,M28+1))*V29</f>
        <v>1.3215310189646728E-2</v>
      </c>
      <c r="AH28" s="28">
        <v>3</v>
      </c>
      <c r="AI28" s="176">
        <f>((($W$25)^M28)*((1-($W$25))^($U$30-M28))*HLOOKUP($U$30,$AV$24:$BF$34,M28+1))*V30</f>
        <v>2.8491679987707214E-2</v>
      </c>
      <c r="AJ28" s="28">
        <v>3</v>
      </c>
      <c r="AK28" s="176">
        <f>((($W$25)^M28)*((1-($W$25))^($U$31-M28))*HLOOKUP($U$31,$AV$24:$BF$34,M28+1))*V31</f>
        <v>3.4143876191924771E-2</v>
      </c>
      <c r="AL28" s="28">
        <v>3</v>
      </c>
      <c r="AM28" s="176">
        <f>((($W$25)^Q28)*((1-($W$25))^($U$32-Q28))*HLOOKUP($U$32,$AV$24:$BF$34,Q28+1))*V32</f>
        <v>2.4572773575841499E-2</v>
      </c>
      <c r="AN28" s="28">
        <v>3</v>
      </c>
      <c r="AO28" s="176">
        <f>((($W$25)^Q28)*((1-($W$25))^($U$33-Q28))*HLOOKUP($U$33,$AV$24:$BF$34,Q28+1))*V33</f>
        <v>1.0630014829259102E-2</v>
      </c>
      <c r="AP28" s="28">
        <v>3</v>
      </c>
      <c r="AQ28" s="176">
        <f>((($W$25)^Q28)*((1-($W$25))^($U$34-Q28))*HLOOKUP($U$34,$AV$24:$BF$34,Q28+1))*V34</f>
        <v>2.5662134945885081E-3</v>
      </c>
      <c r="AR28" s="28">
        <v>3</v>
      </c>
      <c r="AS28" s="176">
        <f>((($W$25)^Q28)*((1-($W$25))^($U$35-Q28))*HLOOKUP($U$35,$AV$24:$BF$34,Q28+1))*V35</f>
        <v>2.7151854686642725E-4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3">BE27+BE28</f>
        <v>210</v>
      </c>
      <c r="BI28" s="31">
        <f t="shared" si="17"/>
        <v>2</v>
      </c>
      <c r="BJ28" s="31">
        <v>8</v>
      </c>
      <c r="BK28" s="107">
        <f t="shared" si="18"/>
        <v>1.1968348542859591E-2</v>
      </c>
      <c r="BQ28" s="31">
        <f>BQ22+1</f>
        <v>7</v>
      </c>
      <c r="BR28" s="31">
        <v>4</v>
      </c>
      <c r="BS28" s="107">
        <f t="shared" si="19"/>
        <v>4.0417506421676846E-4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0.10463163857987159</v>
      </c>
      <c r="I29" s="138">
        <v>4</v>
      </c>
      <c r="J29" s="86">
        <f t="shared" si="20"/>
        <v>3.3566646621282149E-2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0.15625</v>
      </c>
      <c r="O29" s="72">
        <v>4</v>
      </c>
      <c r="P29" s="173">
        <f t="shared" si="21"/>
        <v>0.15625</v>
      </c>
      <c r="Q29" s="28">
        <v>4</v>
      </c>
      <c r="R29" s="174">
        <f>P25*N29+P26*N28+P27*N27+P28*N26+P29*N25</f>
        <v>0.205078125</v>
      </c>
      <c r="S29" s="72">
        <v>4</v>
      </c>
      <c r="T29" s="175">
        <f t="shared" si="22"/>
        <v>0</v>
      </c>
      <c r="U29" s="138">
        <v>4</v>
      </c>
      <c r="V29" s="86">
        <f>T29*R25+T28*R26+T27*R27+T26*R28+T25*R29</f>
        <v>0.20463867187499998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1.2994535413324991E-3</v>
      </c>
      <c r="AH29" s="28">
        <v>4</v>
      </c>
      <c r="AI29" s="176">
        <f>((($W$25)^M29)*((1-($W$25))^($U$30-M29))*HLOOKUP($U$30,$AV$24:$BF$34,M29+1))*V30</f>
        <v>5.6031396807535916E-3</v>
      </c>
      <c r="AJ29" s="28">
        <v>4</v>
      </c>
      <c r="AK29" s="176">
        <f>((($W$25)^M29)*((1-($W$25))^($U$31-M29))*HLOOKUP($U$31,$AV$24:$BF$34,M29+1))*V31</f>
        <v>1.0072040730570494E-2</v>
      </c>
      <c r="AL29" s="28">
        <v>4</v>
      </c>
      <c r="AM29" s="176">
        <f>((($W$25)^Q29)*((1-($W$25))^($U$32-Q29))*HLOOKUP($U$32,$AV$24:$BF$34,Q29+1))*V32</f>
        <v>9.6649044737533978E-3</v>
      </c>
      <c r="AN29" s="28">
        <v>4</v>
      </c>
      <c r="AO29" s="176">
        <f>((($W$25)^Q29)*((1-($W$25))^($U$33-Q29))*HLOOKUP($U$33,$AV$24:$BF$34,Q29+1))*V33</f>
        <v>5.2262149794710857E-3</v>
      </c>
      <c r="AP29" s="28">
        <v>4</v>
      </c>
      <c r="AQ29" s="176">
        <f>((($W$25)^Q29)*((1-($W$25))^($U$34-Q29))*HLOOKUP($U$34,$AV$24:$BF$34,Q29+1))*V34</f>
        <v>1.5140054219706935E-3</v>
      </c>
      <c r="AR29" s="28">
        <v>4</v>
      </c>
      <c r="AS29" s="176">
        <f>((($W$25)^Q29)*((1-($W$25))^($U$35-Q29))*HLOOKUP($U$35,$AV$24:$BF$34,Q29+1))*V35</f>
        <v>1.8688779343039037E-4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3"/>
        <v>252</v>
      </c>
      <c r="BI29" s="31">
        <f t="shared" si="17"/>
        <v>2</v>
      </c>
      <c r="BJ29" s="31">
        <v>9</v>
      </c>
      <c r="BK29" s="107">
        <f t="shared" si="18"/>
        <v>3.6673079526153068E-3</v>
      </c>
      <c r="BQ29" s="31">
        <f>BQ23+1</f>
        <v>7</v>
      </c>
      <c r="BR29" s="31">
        <v>5</v>
      </c>
      <c r="BS29" s="107">
        <f t="shared" si="19"/>
        <v>4.2335347817114462E-4</v>
      </c>
    </row>
    <row r="30" spans="1:71" x14ac:dyDescent="0.25">
      <c r="A30" s="26" t="s">
        <v>113</v>
      </c>
      <c r="B30" s="273">
        <f>IF(B17="TL",0.55,0.15)</f>
        <v>0.15</v>
      </c>
      <c r="C30" s="274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3.6909073977471021E-2</v>
      </c>
      <c r="I30" s="138">
        <v>5</v>
      </c>
      <c r="J30" s="86">
        <f t="shared" si="20"/>
        <v>6.6343357195268009E-3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3.125E-2</v>
      </c>
      <c r="O30" s="72">
        <v>5</v>
      </c>
      <c r="P30" s="173">
        <f t="shared" si="21"/>
        <v>3.125E-2</v>
      </c>
      <c r="Q30" s="28">
        <v>5</v>
      </c>
      <c r="R30" s="174">
        <f>P25*N30+P26*N29+P27*N28+P28*N27+P29*N26+P30*N25</f>
        <v>0.24609375</v>
      </c>
      <c r="S30" s="72">
        <v>5</v>
      </c>
      <c r="T30" s="175">
        <f t="shared" si="22"/>
        <v>0</v>
      </c>
      <c r="U30" s="138">
        <v>5</v>
      </c>
      <c r="V30" s="86">
        <f>T30*R25+T29*R26+T28*R27+T27*R28+T26*R29+T25*R30</f>
        <v>0.24588867187500002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4.4076269697793829E-4</v>
      </c>
      <c r="AJ30" s="28">
        <v>5</v>
      </c>
      <c r="AK30" s="176">
        <f>((($W$25)^M30)*((1-($W$25))^($U$31-M30))*HLOOKUP($U$31,$AV$24:$BF$34,M30+1))*V31</f>
        <v>1.5846043787653078E-3</v>
      </c>
      <c r="AL30" s="28">
        <v>5</v>
      </c>
      <c r="AM30" s="176">
        <f>((($W$25)^Q30)*((1-($W$25))^($U$32-Q30))*HLOOKUP($U$32,$AV$24:$BF$34,Q30+1))*V32</f>
        <v>2.2808262534583569E-3</v>
      </c>
      <c r="AN30" s="28">
        <v>5</v>
      </c>
      <c r="AO30" s="176">
        <f>((($W$25)^Q30)*((1-($W$25))^($U$33-Q30))*HLOOKUP($U$33,$AV$24:$BF$34,Q30+1))*V33</f>
        <v>1.6444498910142215E-3</v>
      </c>
      <c r="AP30" s="28">
        <v>5</v>
      </c>
      <c r="AQ30" s="176">
        <f>((($W$25)^Q30)*((1-($W$25))^($U$34-Q30))*HLOOKUP($U$34,$AV$24:$BF$34,Q30+1))*V34</f>
        <v>5.9548498792490743E-4</v>
      </c>
      <c r="AR30" s="28">
        <v>5</v>
      </c>
      <c r="AS30" s="176">
        <f>((($W$25)^Q30)*((1-($W$25))^($U$35-Q30))*HLOOKUP($U$35,$AV$24:$BF$34,Q30+1))*V35</f>
        <v>8.8207511386069115E-5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3"/>
        <v>210</v>
      </c>
      <c r="BI30" s="31">
        <f t="shared" si="17"/>
        <v>2</v>
      </c>
      <c r="BJ30" s="31">
        <v>10</v>
      </c>
      <c r="BK30" s="107">
        <f t="shared" si="18"/>
        <v>8.0247300046746596E-4</v>
      </c>
      <c r="BQ30" s="31">
        <f>BM10+1</f>
        <v>7</v>
      </c>
      <c r="BR30" s="31">
        <v>6</v>
      </c>
      <c r="BS30" s="107">
        <f t="shared" si="19"/>
        <v>3.2315585799353803E-4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9.6115875593222426E-3</v>
      </c>
      <c r="I31" s="138">
        <v>6</v>
      </c>
      <c r="J31" s="86">
        <f t="shared" si="20"/>
        <v>9.1135518025398804E-4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0.205078125</v>
      </c>
      <c r="S31" s="72">
        <v>6</v>
      </c>
      <c r="T31" s="175">
        <f t="shared" si="22"/>
        <v>0</v>
      </c>
      <c r="U31" s="138">
        <v>6</v>
      </c>
      <c r="V31" s="86">
        <f>T31*R25+T30*R26+T29*R27+T28*R28+T27*R29+T26*R30+T25*R31</f>
        <v>0.20528320312499998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1.0387546676534513E-4</v>
      </c>
      <c r="AL31" s="28">
        <v>6</v>
      </c>
      <c r="AM31" s="176">
        <f>((($W$25)^Q31)*((1-($W$25))^($U$32-Q31))*HLOOKUP($U$32,$AV$24:$BF$34,Q31+1))*V32</f>
        <v>2.99029707179334E-4</v>
      </c>
      <c r="AN31" s="28">
        <v>6</v>
      </c>
      <c r="AO31" s="176">
        <f>((($W$25)^Q31)*((1-($W$25))^($U$33-Q31))*HLOOKUP($U$33,$AV$24:$BF$34,Q31+1))*V33</f>
        <v>3.2339554709754341E-4</v>
      </c>
      <c r="AP31" s="28">
        <v>6</v>
      </c>
      <c r="AQ31" s="176">
        <f>((($W$25)^Q31)*((1-($W$25))^($U$34-Q31))*HLOOKUP($U$34,$AV$24:$BF$34,Q31+1))*V34</f>
        <v>1.5614315320939062E-4</v>
      </c>
      <c r="AR31" s="28">
        <v>6</v>
      </c>
      <c r="AS31" s="176">
        <f>((($W$25)^Q31)*((1-($W$25))^($U$35-Q31))*HLOOKUP($U$35,$AV$24:$BF$34,Q31+1))*V35</f>
        <v>2.8911306002374981E-5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3"/>
        <v>120</v>
      </c>
      <c r="BI31" s="31">
        <f t="shared" ref="BI31:BI37" si="24">BI24+1</f>
        <v>3</v>
      </c>
      <c r="BJ31" s="31">
        <v>4</v>
      </c>
      <c r="BK31" s="107">
        <f t="shared" ref="BK31:BK37" si="25">$H$28*H43</f>
        <v>4.5967058655725937E-2</v>
      </c>
      <c r="BQ31" s="31">
        <f t="shared" ref="BQ31:BQ37" si="26">BQ24+1</f>
        <v>8</v>
      </c>
      <c r="BR31" s="31">
        <v>0</v>
      </c>
      <c r="BS31" s="107">
        <f t="shared" ref="BS31:BS38" si="27">$H$33*H39</f>
        <v>5.7625309176414863E-7</v>
      </c>
    </row>
    <row r="32" spans="1:71" x14ac:dyDescent="0.25">
      <c r="A32" s="26" t="s">
        <v>115</v>
      </c>
      <c r="B32" s="275">
        <f>IF(B17&lt;&gt;"TL",0.001,IF(B18&lt;5,0.1,IF(B18&lt;10,0.2,IF(B18&lt;14,0.3,0.35))))</f>
        <v>1E-3</v>
      </c>
      <c r="C32" s="276">
        <f>IF(C17&lt;&gt;"TL",0.001,IF(C18&lt;5,0.1,IF(C18&lt;10,0.2,IF(C18&lt;14,0.3,0.35))))</f>
        <v>1E-3</v>
      </c>
      <c r="G32" s="87">
        <v>7</v>
      </c>
      <c r="H32" s="126">
        <f>J32*L25+J31*L26+J30*L27+J29*L28</f>
        <v>1.8709068303628552E-3</v>
      </c>
      <c r="I32" s="138">
        <v>7</v>
      </c>
      <c r="J32" s="86">
        <f t="shared" si="20"/>
        <v>8.596211849690371E-5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0.1171875</v>
      </c>
      <c r="S32" s="72">
        <v>7</v>
      </c>
      <c r="T32" s="175">
        <f t="shared" si="22"/>
        <v>0</v>
      </c>
      <c r="U32" s="138">
        <v>7</v>
      </c>
      <c r="V32" s="86">
        <f>T32*R25+T31*R26+T30*R27+T29*R28+T28*R29+T27*R30+T26*R31+T25*R32</f>
        <v>0.117626953125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1.6801949789688508E-5</v>
      </c>
      <c r="AN32" s="28">
        <v>7</v>
      </c>
      <c r="AO32" s="176">
        <f>((($W$25)^Q32)*((1-($W$25))^($U$33-Q32))*HLOOKUP($U$33,$AV$24:$BF$34,Q32+1))*V33</f>
        <v>3.6342046385933742E-5</v>
      </c>
      <c r="AP32" s="28">
        <v>7</v>
      </c>
      <c r="AQ32" s="176">
        <f>((($W$25)^Q32)*((1-($W$25))^($U$34-Q32))*HLOOKUP($U$34,$AV$24:$BF$34,Q32+1))*V34</f>
        <v>2.632022194357885E-5</v>
      </c>
      <c r="AR32" s="28">
        <v>7</v>
      </c>
      <c r="AS32" s="176">
        <f>((($W$25)^Q32)*((1-($W$25))^($U$35-Q32))*HLOOKUP($U$35,$AV$24:$BF$34,Q32+1))*V35</f>
        <v>6.497900377702619E-6</v>
      </c>
      <c r="AV32" s="14">
        <v>8</v>
      </c>
      <c r="BD32" s="31">
        <v>1</v>
      </c>
      <c r="BE32" s="31">
        <v>9</v>
      </c>
      <c r="BF32" s="31">
        <f t="shared" si="23"/>
        <v>45</v>
      </c>
      <c r="BI32" s="31">
        <f t="shared" si="24"/>
        <v>3</v>
      </c>
      <c r="BJ32" s="31">
        <v>5</v>
      </c>
      <c r="BK32" s="107">
        <f t="shared" si="25"/>
        <v>4.8148230522112513E-2</v>
      </c>
      <c r="BQ32" s="31">
        <f t="shared" si="26"/>
        <v>8</v>
      </c>
      <c r="BR32" s="31">
        <v>1</v>
      </c>
      <c r="BS32" s="107">
        <f t="shared" si="27"/>
        <v>4.7906531088456568E-6</v>
      </c>
    </row>
    <row r="33" spans="1:71" x14ac:dyDescent="0.25">
      <c r="A33" s="26" t="s">
        <v>116</v>
      </c>
      <c r="B33" s="275">
        <f>IF(B17&lt;&gt;"CA",0.005,IF((B18-B16)&lt;0,0.1,0.1+0.048*(B18-B16)))</f>
        <v>5.0000000000000001E-3</v>
      </c>
      <c r="C33" s="276">
        <f>IF(C17&lt;&gt;"CA",0.005,IF((C18-C16)&lt;0,0.1,0.1+0.048*(C18-C16)))</f>
        <v>5.0000000000000001E-3</v>
      </c>
      <c r="G33" s="87">
        <v>8</v>
      </c>
      <c r="H33" s="126">
        <f>J33*L25+J32*L26+J31*L27+J30*L28</f>
        <v>2.7220263986240138E-4</v>
      </c>
      <c r="I33" s="138">
        <v>8</v>
      </c>
      <c r="J33" s="86">
        <f t="shared" si="20"/>
        <v>5.3331994879499605E-6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4.39453125E-2</v>
      </c>
      <c r="S33" s="72">
        <v>8</v>
      </c>
      <c r="T33" s="175">
        <f t="shared" si="22"/>
        <v>0</v>
      </c>
      <c r="U33" s="138">
        <v>8</v>
      </c>
      <c r="V33" s="86">
        <f>T33*R25+T32*R26+T31*R27+T30*R28+T29*R29+T28*R30+T27*R31+T26*R32+T25*R33</f>
        <v>4.43115234375E-2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1.7867458348601181E-6</v>
      </c>
      <c r="AP33" s="28">
        <v>8</v>
      </c>
      <c r="AQ33" s="176">
        <f>((($W$25)^Q33)*((1-($W$25))^($U$34-Q33))*HLOOKUP($U$34,$AV$24:$BF$34,Q33+1))*V34</f>
        <v>2.5880516705567523E-6</v>
      </c>
      <c r="AR33" s="28">
        <v>8</v>
      </c>
      <c r="AS33" s="176">
        <f>((($W$25)^Q33)*((1-($W$25))^($U$35-Q33))*HLOOKUP($U$35,$AV$24:$BF$34,Q33+1))*V35</f>
        <v>9.5840198253309035E-7</v>
      </c>
      <c r="AV33" s="29">
        <v>9</v>
      </c>
      <c r="BE33" s="31">
        <v>1</v>
      </c>
      <c r="BF33" s="31">
        <f t="shared" si="23"/>
        <v>10</v>
      </c>
      <c r="BI33" s="31">
        <f t="shared" si="24"/>
        <v>3</v>
      </c>
      <c r="BJ33" s="31">
        <v>6</v>
      </c>
      <c r="BK33" s="107">
        <f t="shared" si="25"/>
        <v>3.6752698507307169E-2</v>
      </c>
      <c r="BQ33" s="31">
        <f t="shared" si="26"/>
        <v>8</v>
      </c>
      <c r="BR33" s="31">
        <v>2</v>
      </c>
      <c r="BS33" s="107">
        <f t="shared" si="27"/>
        <v>1.7857324551647464E-5</v>
      </c>
    </row>
    <row r="34" spans="1:71" x14ac:dyDescent="0.25">
      <c r="A34" s="40" t="s">
        <v>117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2.923827745920918E-5</v>
      </c>
      <c r="I34" s="138">
        <v>9</v>
      </c>
      <c r="J34" s="86">
        <f t="shared" si="20"/>
        <v>1.9687100373719795E-7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9.765625E-3</v>
      </c>
      <c r="S34" s="72">
        <v>9</v>
      </c>
      <c r="T34" s="175">
        <f t="shared" si="22"/>
        <v>0</v>
      </c>
      <c r="U34" s="138">
        <v>9</v>
      </c>
      <c r="V34" s="86">
        <f>T34*R25+T33*R26+T32*R27+T31*R28+T30*R29+T29*R30+T28*R31+T27*R32+T26*R33+T25*R34</f>
        <v>9.936523437499999E-3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1.1310292078555903E-7</v>
      </c>
      <c r="AR34" s="28">
        <v>9</v>
      </c>
      <c r="AS34" s="176">
        <f>((($W$25)^Q34)*((1-($W$25))^($U$35-Q34))*HLOOKUP($U$35,$AV$24:$BF$34,Q34+1))*V35</f>
        <v>8.3768082951638928E-8</v>
      </c>
      <c r="AV34" s="14">
        <v>10</v>
      </c>
      <c r="BF34" s="31">
        <f t="shared" si="23"/>
        <v>1</v>
      </c>
      <c r="BI34" s="31">
        <f t="shared" si="24"/>
        <v>3</v>
      </c>
      <c r="BJ34" s="31">
        <v>7</v>
      </c>
      <c r="BK34" s="107">
        <f t="shared" si="25"/>
        <v>2.0742232789414276E-2</v>
      </c>
      <c r="BQ34" s="31">
        <f t="shared" si="26"/>
        <v>8</v>
      </c>
      <c r="BR34" s="31">
        <v>3</v>
      </c>
      <c r="BS34" s="107">
        <f t="shared" si="27"/>
        <v>3.9671055321780746E-5</v>
      </c>
    </row>
    <row r="35" spans="1:71" ht="15.75" thickBot="1" x14ac:dyDescent="0.3">
      <c r="G35" s="88">
        <v>10</v>
      </c>
      <c r="H35" s="127">
        <f>J35*L25+J34*L26+J33*L27+J32*L28</f>
        <v>2.2543747620017132E-6</v>
      </c>
      <c r="I35" s="94">
        <v>10</v>
      </c>
      <c r="J35" s="89">
        <f t="shared" si="20"/>
        <v>3.2947461839350611E-9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9.765625E-4</v>
      </c>
      <c r="S35" s="72">
        <v>10</v>
      </c>
      <c r="T35" s="175">
        <f t="shared" si="22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3.2947461839350611E-9</v>
      </c>
      <c r="BI35" s="31">
        <f t="shared" si="24"/>
        <v>3</v>
      </c>
      <c r="BJ35" s="31">
        <v>8</v>
      </c>
      <c r="BK35" s="107">
        <f t="shared" si="25"/>
        <v>8.6712474004274134E-3</v>
      </c>
      <c r="BQ35" s="31">
        <f t="shared" si="26"/>
        <v>8</v>
      </c>
      <c r="BR35" s="31">
        <v>4</v>
      </c>
      <c r="BS35" s="107">
        <f t="shared" si="27"/>
        <v>5.8804381736648261E-5</v>
      </c>
    </row>
    <row r="36" spans="1:71" ht="15.75" x14ac:dyDescent="0.25">
      <c r="A36" s="281" t="s">
        <v>118</v>
      </c>
      <c r="B36" s="182">
        <f>SUM(BO4:BO14)</f>
        <v>8.7617061021976042E-2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4"/>
        <v>3</v>
      </c>
      <c r="BJ36" s="31">
        <v>9</v>
      </c>
      <c r="BK36" s="107">
        <f t="shared" si="25"/>
        <v>2.6570194239249876E-3</v>
      </c>
      <c r="BQ36" s="31">
        <f t="shared" si="26"/>
        <v>8</v>
      </c>
      <c r="BR36" s="31">
        <v>5</v>
      </c>
      <c r="BS36" s="107">
        <f t="shared" si="27"/>
        <v>6.1594694339089635E-5</v>
      </c>
    </row>
    <row r="37" spans="1:71" ht="16.5" thickBot="1" x14ac:dyDescent="0.3">
      <c r="A37" s="110" t="s">
        <v>119</v>
      </c>
      <c r="B37" s="182">
        <f>SUM(BK4:BK59)</f>
        <v>0.83847230301501652</v>
      </c>
      <c r="G37" s="157"/>
      <c r="H37" s="229">
        <f>SUM(H39:H49)</f>
        <v>0.99955585355662901</v>
      </c>
      <c r="I37" s="230"/>
      <c r="J37" s="229">
        <f>SUM(J39:J49)</f>
        <v>1.0000000000000002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0.99887438476562496</v>
      </c>
      <c r="W37" s="157"/>
      <c r="X37" s="157"/>
      <c r="Y37" s="168">
        <f>SUM(Y39:Y49)</f>
        <v>9.6198718261718752E-4</v>
      </c>
      <c r="Z37" s="81"/>
      <c r="AA37" s="168">
        <f>SUM(AA39:AA49)</f>
        <v>9.6343741455078135E-3</v>
      </c>
      <c r="AB37" s="81"/>
      <c r="AC37" s="168">
        <f>SUM(AC39:AC49)</f>
        <v>4.3434519287109383E-2</v>
      </c>
      <c r="AD37" s="81"/>
      <c r="AE37" s="168">
        <f>SUM(AE39:AE49)</f>
        <v>0.11609179516601563</v>
      </c>
      <c r="AF37" s="81"/>
      <c r="AG37" s="168">
        <f>SUM(AG39:AG49)</f>
        <v>0.20376086730957033</v>
      </c>
      <c r="AH37" s="81"/>
      <c r="AI37" s="168">
        <f>SUM(AI39:AI49)</f>
        <v>0.24547500769042968</v>
      </c>
      <c r="AJ37" s="81"/>
      <c r="AK37" s="168">
        <f>SUM(AK39:AK49)</f>
        <v>0.20568721142578125</v>
      </c>
      <c r="AL37" s="81"/>
      <c r="AM37" s="168">
        <f>SUM(AM39:AM49)</f>
        <v>0.11850233935546876</v>
      </c>
      <c r="AN37" s="81"/>
      <c r="AO37" s="168">
        <f>SUM(AO39:AO49)</f>
        <v>4.504503625488282E-2</v>
      </c>
      <c r="AP37" s="81"/>
      <c r="AQ37" s="168">
        <f>SUM(AQ39:AQ49)</f>
        <v>1.0281246948242189E-2</v>
      </c>
      <c r="AR37" s="81"/>
      <c r="AS37" s="168">
        <f>SUM(AS39:AS49)</f>
        <v>1.1256152343750436E-3</v>
      </c>
      <c r="BI37" s="31">
        <f t="shared" si="24"/>
        <v>3</v>
      </c>
      <c r="BJ37" s="31">
        <v>10</v>
      </c>
      <c r="BK37" s="107">
        <f t="shared" si="25"/>
        <v>5.8140368274686987E-4</v>
      </c>
      <c r="BQ37" s="31">
        <f t="shared" si="26"/>
        <v>8</v>
      </c>
      <c r="BR37" s="31">
        <v>6</v>
      </c>
      <c r="BS37" s="107">
        <f t="shared" si="27"/>
        <v>4.7016706660790856E-5</v>
      </c>
    </row>
    <row r="38" spans="1:71" ht="16.5" thickBot="1" x14ac:dyDescent="0.3">
      <c r="A38" s="111" t="s">
        <v>120</v>
      </c>
      <c r="B38" s="182">
        <f>SUM(BS4:BS47)</f>
        <v>7.3464120282633147E-2</v>
      </c>
      <c r="G38" s="103" t="str">
        <f t="shared" ref="G38:AS38" si="28">G24</f>
        <v>G</v>
      </c>
      <c r="H38" s="104" t="str">
        <f t="shared" si="28"/>
        <v>p</v>
      </c>
      <c r="I38" s="103" t="str">
        <f t="shared" si="28"/>
        <v>GT</v>
      </c>
      <c r="J38" s="105" t="str">
        <f t="shared" si="28"/>
        <v>p(x)</v>
      </c>
      <c r="K38" s="106" t="str">
        <f t="shared" si="28"/>
        <v>EE(x)</v>
      </c>
      <c r="L38" s="105" t="str">
        <f t="shared" si="28"/>
        <v>p</v>
      </c>
      <c r="M38" s="90" t="str">
        <f t="shared" si="28"/>
        <v>OcaS</v>
      </c>
      <c r="N38" s="30" t="str">
        <f t="shared" si="28"/>
        <v>P</v>
      </c>
      <c r="O38" s="30" t="str">
        <f t="shared" si="28"/>
        <v>O_CA</v>
      </c>
      <c r="P38" s="30" t="str">
        <f t="shared" si="28"/>
        <v>p</v>
      </c>
      <c r="Q38" s="30" t="str">
        <f t="shared" si="28"/>
        <v>TotalN</v>
      </c>
      <c r="R38" s="30" t="str">
        <f t="shared" si="28"/>
        <v>p</v>
      </c>
      <c r="S38" s="30" t="str">
        <f t="shared" si="28"/>
        <v>OcaCA</v>
      </c>
      <c r="T38" s="139" t="str">
        <f t="shared" si="28"/>
        <v>p</v>
      </c>
      <c r="U38" s="140" t="str">
        <f t="shared" si="28"/>
        <v>Total</v>
      </c>
      <c r="V38" s="141" t="str">
        <f t="shared" si="28"/>
        <v>P</v>
      </c>
      <c r="W38" s="90" t="str">
        <f t="shared" si="28"/>
        <v>E(x)</v>
      </c>
      <c r="X38" s="30" t="str">
        <f t="shared" si="28"/>
        <v>G0</v>
      </c>
      <c r="Y38" s="30" t="str">
        <f t="shared" si="28"/>
        <v>p</v>
      </c>
      <c r="Z38" s="30" t="str">
        <f t="shared" si="28"/>
        <v>G1</v>
      </c>
      <c r="AA38" s="30" t="str">
        <f t="shared" si="28"/>
        <v>p</v>
      </c>
      <c r="AB38" s="30" t="str">
        <f t="shared" si="28"/>
        <v>G2</v>
      </c>
      <c r="AC38" s="30" t="str">
        <f t="shared" si="28"/>
        <v>p</v>
      </c>
      <c r="AD38" s="30" t="str">
        <f t="shared" si="28"/>
        <v>G3</v>
      </c>
      <c r="AE38" s="30" t="str">
        <f t="shared" si="28"/>
        <v>p</v>
      </c>
      <c r="AF38" s="30" t="str">
        <f t="shared" si="28"/>
        <v>G4</v>
      </c>
      <c r="AG38" s="30" t="str">
        <f t="shared" si="28"/>
        <v>p</v>
      </c>
      <c r="AH38" s="30" t="str">
        <f t="shared" si="28"/>
        <v>G5</v>
      </c>
      <c r="AI38" s="30" t="str">
        <f t="shared" si="28"/>
        <v>p</v>
      </c>
      <c r="AJ38" s="30" t="str">
        <f t="shared" si="28"/>
        <v>G6</v>
      </c>
      <c r="AK38" s="30" t="str">
        <f t="shared" si="28"/>
        <v>p</v>
      </c>
      <c r="AL38" s="30" t="str">
        <f t="shared" si="28"/>
        <v>G7</v>
      </c>
      <c r="AM38" s="30" t="str">
        <f t="shared" si="28"/>
        <v>p</v>
      </c>
      <c r="AN38" s="30" t="str">
        <f t="shared" si="28"/>
        <v>G8</v>
      </c>
      <c r="AO38" s="30" t="str">
        <f t="shared" si="28"/>
        <v>p</v>
      </c>
      <c r="AP38" s="30" t="str">
        <f t="shared" si="28"/>
        <v>G9</v>
      </c>
      <c r="AQ38" s="30" t="str">
        <f t="shared" si="28"/>
        <v>p</v>
      </c>
      <c r="AR38" s="30" t="str">
        <f t="shared" si="28"/>
        <v>G10</v>
      </c>
      <c r="AS38" s="30" t="str">
        <f t="shared" si="28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9">BI32+1</f>
        <v>4</v>
      </c>
      <c r="BJ38" s="31">
        <v>5</v>
      </c>
      <c r="BK38" s="107">
        <f t="shared" ref="BK38:BK43" si="30">$H$29*H44</f>
        <v>2.3676308943157628E-2</v>
      </c>
      <c r="BQ38" s="31">
        <f>BM11+1</f>
        <v>8</v>
      </c>
      <c r="BR38" s="31">
        <v>7</v>
      </c>
      <c r="BS38" s="107">
        <f t="shared" si="27"/>
        <v>2.6534962442440337E-5</v>
      </c>
    </row>
    <row r="39" spans="1:71" x14ac:dyDescent="0.25">
      <c r="G39" s="128">
        <v>0</v>
      </c>
      <c r="H39" s="129">
        <f>L39*J39</f>
        <v>2.1170003790391047E-3</v>
      </c>
      <c r="I39" s="97">
        <v>0</v>
      </c>
      <c r="J39" s="98">
        <f t="shared" ref="J39:J49" si="31">Y39+AA39+AC39+AE39+AG39+AI39+AK39+AM39+AO39+AQ39+AS39</f>
        <v>1.6398726728122089E-2</v>
      </c>
      <c r="K39" s="102">
        <v>0</v>
      </c>
      <c r="L39" s="98">
        <f>AH18</f>
        <v>0.12909541174368569</v>
      </c>
      <c r="M39" s="85">
        <v>0</v>
      </c>
      <c r="N39" s="173">
        <f>(1-$C$24)^$B$21</f>
        <v>3.125E-2</v>
      </c>
      <c r="O39" s="72">
        <v>0</v>
      </c>
      <c r="P39" s="173">
        <f t="shared" ref="P39:P44" si="32">N39</f>
        <v>3.125E-2</v>
      </c>
      <c r="Q39" s="28">
        <v>0</v>
      </c>
      <c r="R39" s="174">
        <f>P39*N39</f>
        <v>9.765625E-4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9.6198718261718752E-4</v>
      </c>
      <c r="W39" s="134">
        <f>C31</f>
        <v>0.67275832555955561</v>
      </c>
      <c r="X39" s="28">
        <v>0</v>
      </c>
      <c r="Y39" s="176">
        <f>V39</f>
        <v>9.6198718261718752E-4</v>
      </c>
      <c r="Z39" s="28">
        <v>0</v>
      </c>
      <c r="AA39" s="176">
        <f>((1-W39)^Z40)*V40</f>
        <v>3.1527687275617025E-3</v>
      </c>
      <c r="AB39" s="28">
        <v>0</v>
      </c>
      <c r="AC39" s="176">
        <f>(((1-$W$39)^AB41))*V41</f>
        <v>4.6512772963077202E-3</v>
      </c>
      <c r="AD39" s="28">
        <v>0</v>
      </c>
      <c r="AE39" s="176">
        <f>(((1-$W$39)^AB42))*V42</f>
        <v>4.0682473058697476E-3</v>
      </c>
      <c r="AF39" s="28">
        <v>0</v>
      </c>
      <c r="AG39" s="176">
        <f>(((1-$W$39)^AB43))*V43</f>
        <v>2.3366582846844099E-3</v>
      </c>
      <c r="AH39" s="28">
        <v>0</v>
      </c>
      <c r="AI39" s="176">
        <f>(((1-$W$39)^AB44))*V44</f>
        <v>9.2119233008251561E-4</v>
      </c>
      <c r="AJ39" s="28">
        <v>0</v>
      </c>
      <c r="AK39" s="176">
        <f>(((1-$W$39)^AB45))*V45</f>
        <v>2.5259161377901013E-4</v>
      </c>
      <c r="AL39" s="28">
        <v>0</v>
      </c>
      <c r="AM39" s="176">
        <f>(((1-$W$39)^AB46))*V46</f>
        <v>4.7621949186226034E-5</v>
      </c>
      <c r="AN39" s="28">
        <v>0</v>
      </c>
      <c r="AO39" s="176">
        <f>(((1-$W$39)^AB47))*V47</f>
        <v>5.9237372977568796E-6</v>
      </c>
      <c r="AP39" s="28">
        <v>0</v>
      </c>
      <c r="AQ39" s="176">
        <f>(((1-$W$39)^AB48))*V48</f>
        <v>4.4244902924754704E-7</v>
      </c>
      <c r="AR39" s="28">
        <v>0</v>
      </c>
      <c r="AS39" s="176">
        <f>(((1-$W$39)^AB49))*V49</f>
        <v>1.5851706564575541E-8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9"/>
        <v>4</v>
      </c>
      <c r="BJ39" s="31">
        <v>6</v>
      </c>
      <c r="BK39" s="107">
        <f t="shared" si="30"/>
        <v>1.8072694155480962E-2</v>
      </c>
      <c r="BQ39" s="31">
        <f t="shared" ref="BQ39:BQ46" si="33">BQ31+1</f>
        <v>9</v>
      </c>
      <c r="BR39" s="31">
        <v>0</v>
      </c>
      <c r="BS39" s="107">
        <f t="shared" ref="BS39:BS47" si="34">$H$34*H39</f>
        <v>6.189744446359635E-8</v>
      </c>
    </row>
    <row r="40" spans="1:71" x14ac:dyDescent="0.25">
      <c r="G40" s="91">
        <v>1</v>
      </c>
      <c r="H40" s="130">
        <f>L39*J40+L40*J39</f>
        <v>1.7599583572250936E-2</v>
      </c>
      <c r="I40" s="138">
        <v>1</v>
      </c>
      <c r="J40" s="86">
        <f t="shared" si="31"/>
        <v>8.3288661818144122E-2</v>
      </c>
      <c r="K40" s="95">
        <v>1</v>
      </c>
      <c r="L40" s="86">
        <f>AI18</f>
        <v>0.41755677710724071</v>
      </c>
      <c r="M40" s="85">
        <v>1</v>
      </c>
      <c r="N40" s="173">
        <f>(($C$24)^M26)*((1-($C$24))^($B$21-M26))*HLOOKUP($B$21,$AV$24:$BF$34,M26+1)</f>
        <v>0.15625</v>
      </c>
      <c r="O40" s="72">
        <v>1</v>
      </c>
      <c r="P40" s="173">
        <f t="shared" si="32"/>
        <v>0.15625</v>
      </c>
      <c r="Q40" s="28">
        <v>1</v>
      </c>
      <c r="R40" s="174">
        <f>P40*N39+P39*N40</f>
        <v>9.765625E-3</v>
      </c>
      <c r="S40" s="72">
        <v>1</v>
      </c>
      <c r="T40" s="175">
        <f t="shared" ref="T40:T49" si="35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9.6343741455078135E-3</v>
      </c>
      <c r="W40" s="177"/>
      <c r="X40" s="28">
        <v>1</v>
      </c>
      <c r="Y40" s="174"/>
      <c r="Z40" s="28">
        <v>1</v>
      </c>
      <c r="AA40" s="176">
        <f>(1-((1-W39)^Z40))*V40</f>
        <v>6.4816054179461114E-3</v>
      </c>
      <c r="AB40" s="28">
        <v>1</v>
      </c>
      <c r="AC40" s="176">
        <f>((($W$39)^M40)*((1-($W$39))^($U$27-M40))*HLOOKUP($U$27,$AV$24:$BF$34,M40+1))*V41</f>
        <v>1.912461504744346E-2</v>
      </c>
      <c r="AD40" s="28">
        <v>1</v>
      </c>
      <c r="AE40" s="176">
        <f>((($W$39)^M40)*((1-($W$39))^($U$28-M40))*HLOOKUP($U$28,$AV$24:$BF$34,M40+1))*V42</f>
        <v>2.5091063815197618E-2</v>
      </c>
      <c r="AF40" s="28">
        <v>1</v>
      </c>
      <c r="AG40" s="176">
        <f>((($W$39)^M40)*((1-($W$39))^($U$29-M40))*HLOOKUP($U$29,$AV$24:$BF$34,M40+1))*V43</f>
        <v>1.9215233728370876E-2</v>
      </c>
      <c r="AH40" s="28">
        <v>1</v>
      </c>
      <c r="AI40" s="176">
        <f>((($W$39)^M40)*((1-($W$39))^($U$30-M40))*HLOOKUP($U$30,$AV$24:$BF$34,M40+1))*V44</f>
        <v>9.4691455567864537E-3</v>
      </c>
      <c r="AJ40" s="28">
        <v>1</v>
      </c>
      <c r="AK40" s="176">
        <f>((($W$39)^M40)*((1-($W$39))^($U$31-M40))*HLOOKUP($U$31,$AV$24:$BF$34,M40+1))*V45</f>
        <v>3.1157360032506394E-3</v>
      </c>
      <c r="AL40" s="28">
        <v>1</v>
      </c>
      <c r="AM40" s="176">
        <f>((($W$39)^Q40)*((1-($W$39))^($U$32-Q40))*HLOOKUP($U$32,$AV$24:$BF$34,Q40+1))*V46</f>
        <v>6.8532359133148416E-4</v>
      </c>
      <c r="AN40" s="28">
        <v>1</v>
      </c>
      <c r="AO40" s="176">
        <f>((($W$39)^Q40)*((1-($W$39))^($U$33-Q40))*HLOOKUP($U$33,$AV$24:$BF$34,Q40+1))*V47</f>
        <v>9.7426309587445657E-5</v>
      </c>
      <c r="AP40" s="28">
        <v>1</v>
      </c>
      <c r="AQ40" s="176">
        <f>((($W$39)^Q40)*((1-($W$39))^($U$34-Q40))*HLOOKUP($U$34,$AV$24:$BF$34,Q40+1))*V48</f>
        <v>8.1864616331005381E-6</v>
      </c>
      <c r="AR40" s="28">
        <v>1</v>
      </c>
      <c r="AS40" s="176">
        <f>((($W$39)^Q40)*((1-($W$39))^($U$35-Q40))*HLOOKUP($U$35,$AV$24:$BF$34,Q40+1))*V49</f>
        <v>3.2588659692810904E-7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9"/>
        <v>4</v>
      </c>
      <c r="BJ40" s="31">
        <v>7</v>
      </c>
      <c r="BK40" s="107">
        <f t="shared" si="30"/>
        <v>1.0199741638844335E-2</v>
      </c>
      <c r="BQ40" s="31">
        <f t="shared" si="33"/>
        <v>9</v>
      </c>
      <c r="BR40" s="31">
        <v>1</v>
      </c>
      <c r="BS40" s="107">
        <f t="shared" si="34"/>
        <v>5.1458150765201267E-7</v>
      </c>
    </row>
    <row r="41" spans="1:71" x14ac:dyDescent="0.25">
      <c r="G41" s="91">
        <v>2</v>
      </c>
      <c r="H41" s="130">
        <f>L39*J41+J40*L40+J39*L41</f>
        <v>6.5603054256469936E-2</v>
      </c>
      <c r="I41" s="138">
        <v>2</v>
      </c>
      <c r="J41" s="86">
        <f t="shared" si="31"/>
        <v>0.19044330645887322</v>
      </c>
      <c r="K41" s="95">
        <v>2</v>
      </c>
      <c r="L41" s="86">
        <f>AJ18</f>
        <v>0.38051442044416584</v>
      </c>
      <c r="M41" s="85">
        <v>2</v>
      </c>
      <c r="N41" s="173">
        <f>(($C$24)^M27)*((1-($C$24))^($B$21-M27))*HLOOKUP($B$21,$AV$24:$BF$34,M27+1)</f>
        <v>0.3125</v>
      </c>
      <c r="O41" s="72">
        <v>2</v>
      </c>
      <c r="P41" s="173">
        <f t="shared" si="32"/>
        <v>0.3125</v>
      </c>
      <c r="Q41" s="28">
        <v>2</v>
      </c>
      <c r="R41" s="174">
        <f>P41*N39+P40*N40+P39*N41</f>
        <v>4.39453125E-2</v>
      </c>
      <c r="S41" s="72">
        <v>2</v>
      </c>
      <c r="T41" s="175">
        <f t="shared" si="35"/>
        <v>7.4625000000000011E-5</v>
      </c>
      <c r="U41" s="138">
        <v>2</v>
      </c>
      <c r="V41" s="86">
        <f>R41*T39+T40*R40+R39*T41</f>
        <v>4.3434519287109383E-2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1.9658626943358203E-2</v>
      </c>
      <c r="AD41" s="28">
        <v>2</v>
      </c>
      <c r="AE41" s="176">
        <f>((($W$39)^M41)*((1-($W$39))^($U$28-M41))*HLOOKUP($U$28,$AV$24:$BF$34,M41+1))*V42</f>
        <v>5.158335076876764E-2</v>
      </c>
      <c r="AF41" s="28">
        <v>2</v>
      </c>
      <c r="AG41" s="176">
        <f>((($W$39)^M41)*((1-($W$39))^($U$29-M41))*HLOOKUP($U$29,$AV$24:$BF$34,M41+1))*V43</f>
        <v>5.9255327841901816E-2</v>
      </c>
      <c r="AH41" s="28">
        <v>2</v>
      </c>
      <c r="AI41" s="176">
        <f>((($W$39)^M41)*((1-($W$39))^($U$30-M41))*HLOOKUP($U$30,$AV$24:$BF$34,M41+1))*V44</f>
        <v>3.8934200664730655E-2</v>
      </c>
      <c r="AJ41" s="28">
        <v>2</v>
      </c>
      <c r="AK41" s="176">
        <f>((($W$39)^M41)*((1-($W$39))^($U$31-M41))*HLOOKUP($U$31,$AV$24:$BF$34,M41+1))*V45</f>
        <v>1.6013679645301444E-2</v>
      </c>
      <c r="AL41" s="28">
        <v>2</v>
      </c>
      <c r="AM41" s="176">
        <f>((($W$39)^Q41)*((1-($W$39))^($U$32-Q41))*HLOOKUP($U$32,$AV$24:$BF$34,Q41+1))*V46</f>
        <v>4.2267582748346392E-3</v>
      </c>
      <c r="AN41" s="28">
        <v>2</v>
      </c>
      <c r="AO41" s="176">
        <f>((($W$39)^Q41)*((1-($W$39))^($U$33-Q41))*HLOOKUP($U$33,$AV$24:$BF$34,Q41+1))*V47</f>
        <v>7.0102704233653153E-4</v>
      </c>
      <c r="AP41" s="28">
        <v>2</v>
      </c>
      <c r="AQ41" s="176">
        <f>((($W$39)^Q41)*((1-($W$39))^($U$34-Q41))*HLOOKUP($U$34,$AV$24:$BF$34,Q41+1))*V48</f>
        <v>6.732040141231574E-5</v>
      </c>
      <c r="AR41" s="28">
        <v>2</v>
      </c>
      <c r="AS41" s="176">
        <f>((($W$39)^Q41)*((1-($W$39))^($U$35-Q41))*HLOOKUP($U$35,$AV$24:$BF$34,Q41+1))*V49</f>
        <v>3.0148762299589279E-6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9"/>
        <v>4</v>
      </c>
      <c r="BJ41" s="31">
        <v>8</v>
      </c>
      <c r="BK41" s="107">
        <f t="shared" si="30"/>
        <v>4.2639808389382987E-3</v>
      </c>
      <c r="BQ41" s="31">
        <f t="shared" si="33"/>
        <v>9</v>
      </c>
      <c r="BR41" s="31">
        <v>2</v>
      </c>
      <c r="BS41" s="107">
        <f t="shared" si="34"/>
        <v>1.9181203025222217E-6</v>
      </c>
    </row>
    <row r="42" spans="1:71" ht="15" customHeight="1" x14ac:dyDescent="0.25">
      <c r="G42" s="91">
        <v>3</v>
      </c>
      <c r="H42" s="130">
        <f>J42*L39+J41*L40+L42*J39+L41*J40</f>
        <v>0.14574089120456177</v>
      </c>
      <c r="I42" s="138">
        <v>3</v>
      </c>
      <c r="J42" s="86">
        <f t="shared" si="31"/>
        <v>0.2582050418025405</v>
      </c>
      <c r="K42" s="95">
        <v>3</v>
      </c>
      <c r="L42" s="86">
        <f>AK18</f>
        <v>7.2833390704907797E-2</v>
      </c>
      <c r="M42" s="85">
        <v>3</v>
      </c>
      <c r="N42" s="173">
        <f>(($C$24)^M28)*((1-($C$24))^($B$21-M28))*HLOOKUP($B$21,$AV$24:$BF$34,M28+1)</f>
        <v>0.3125</v>
      </c>
      <c r="O42" s="72">
        <v>3</v>
      </c>
      <c r="P42" s="173">
        <f t="shared" si="32"/>
        <v>0.3125</v>
      </c>
      <c r="Q42" s="28">
        <v>3</v>
      </c>
      <c r="R42" s="174">
        <f>P42*N39+P41*N40+P40*N41+P39*N42</f>
        <v>0.1171875</v>
      </c>
      <c r="S42" s="72">
        <v>3</v>
      </c>
      <c r="T42" s="175">
        <f t="shared" si="35"/>
        <v>1.2500000000000002E-7</v>
      </c>
      <c r="U42" s="138">
        <v>3</v>
      </c>
      <c r="V42" s="86">
        <f>R42*T39+R41*T40+R40*T41+R39*T42</f>
        <v>0.11609179516601563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3.5349133276180625E-2</v>
      </c>
      <c r="AF42" s="28">
        <v>3</v>
      </c>
      <c r="AG42" s="176">
        <f>((($W$39)^M42)*((1-($W$39))^($U$29-M42))*HLOOKUP($U$29,$AV$24:$BF$34,M42+1))*V43</f>
        <v>8.1213199607630113E-2</v>
      </c>
      <c r="AH42" s="28">
        <v>3</v>
      </c>
      <c r="AI42" s="176">
        <f>((($W$39)^M42)*((1-($W$39))^($U$30-M42))*HLOOKUP($U$30,$AV$24:$BF$34,M42+1))*V44</f>
        <v>8.00427014407388E-2</v>
      </c>
      <c r="AJ42" s="28">
        <v>3</v>
      </c>
      <c r="AK42" s="176">
        <f>((($W$39)^M42)*((1-($W$39))^($U$31-M42))*HLOOKUP($U$31,$AV$24:$BF$34,M42+1))*V45</f>
        <v>4.3895535097077241E-2</v>
      </c>
      <c r="AL42" s="28">
        <v>3</v>
      </c>
      <c r="AM42" s="176">
        <f>((($W$39)^Q42)*((1-($W$39))^($U$32-Q42))*HLOOKUP($U$32,$AV$24:$BF$34,Q42+1))*V46</f>
        <v>1.4482603335822276E-2</v>
      </c>
      <c r="AN42" s="28">
        <v>3</v>
      </c>
      <c r="AO42" s="176">
        <f>((($W$39)^Q42)*((1-($W$39))^($U$33-Q42))*HLOOKUP($U$33,$AV$24:$BF$34,Q42+1))*V47</f>
        <v>2.8824065882239857E-3</v>
      </c>
      <c r="AP42" s="28">
        <v>3</v>
      </c>
      <c r="AQ42" s="176">
        <f>((($W$39)^Q42)*((1-($W$39))^($U$34-Q42))*HLOOKUP($U$34,$AV$24:$BF$34,Q42+1))*V48</f>
        <v>3.2293413754337739E-4</v>
      </c>
      <c r="AR42" s="28">
        <v>3</v>
      </c>
      <c r="AS42" s="176">
        <f>((($W$39)^Q42)*((1-($W$39))^($U$35-Q42))*HLOOKUP($U$35,$AV$24:$BF$34,Q42+1))*V49</f>
        <v>1.652831932407686E-5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6">BE41+BE42</f>
        <v>210</v>
      </c>
      <c r="BI42" s="31">
        <f t="shared" si="29"/>
        <v>4</v>
      </c>
      <c r="BJ42" s="31">
        <v>9</v>
      </c>
      <c r="BK42" s="107">
        <f t="shared" si="30"/>
        <v>1.306557106391012E-3</v>
      </c>
      <c r="BQ42" s="31">
        <f t="shared" si="33"/>
        <v>9</v>
      </c>
      <c r="BR42" s="31">
        <v>3</v>
      </c>
      <c r="BS42" s="107">
        <f t="shared" si="34"/>
        <v>4.2612126141913958E-6</v>
      </c>
    </row>
    <row r="43" spans="1:71" ht="15" customHeight="1" x14ac:dyDescent="0.25">
      <c r="G43" s="91">
        <v>4</v>
      </c>
      <c r="H43" s="130">
        <f>J43*L39+J42*L40+J41*L41+J40*L42</f>
        <v>0.21603163645427509</v>
      </c>
      <c r="I43" s="138">
        <v>4</v>
      </c>
      <c r="J43" s="86">
        <f t="shared" si="31"/>
        <v>0.22993653247059839</v>
      </c>
      <c r="K43" s="95">
        <v>4</v>
      </c>
      <c r="L43" s="86"/>
      <c r="M43" s="85">
        <v>4</v>
      </c>
      <c r="N43" s="173">
        <f>(($C$24)^M29)*((1-($C$24))^($B$21-M29))*HLOOKUP($B$21,$AV$24:$BF$34,M29+1)</f>
        <v>0.15625</v>
      </c>
      <c r="O43" s="72">
        <v>4</v>
      </c>
      <c r="P43" s="173">
        <f t="shared" si="32"/>
        <v>0.15625</v>
      </c>
      <c r="Q43" s="28">
        <v>4</v>
      </c>
      <c r="R43" s="174">
        <f>P43*N39+P42*N40+P41*N41+P40*N42+P39*N43</f>
        <v>0.205078125</v>
      </c>
      <c r="S43" s="72">
        <v>4</v>
      </c>
      <c r="T43" s="175">
        <f t="shared" si="35"/>
        <v>0</v>
      </c>
      <c r="U43" s="138">
        <v>4</v>
      </c>
      <c r="V43" s="86">
        <f>T43*R39+T42*R40+T41*R41+T40*R42+T39*R43</f>
        <v>0.20376086730957033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4.1740447846983122E-2</v>
      </c>
      <c r="AH43" s="28">
        <v>4</v>
      </c>
      <c r="AI43" s="176">
        <f>((($W$39)^M43)*((1-($W$39))^($U$30-M43))*HLOOKUP($U$30,$AV$24:$BF$34,M43+1))*V44</f>
        <v>8.2277713996257926E-2</v>
      </c>
      <c r="AJ43" s="28">
        <v>4</v>
      </c>
      <c r="AK43" s="176">
        <f>((($W$39)^M43)*((1-($W$39))^($U$31-M43))*HLOOKUP($U$31,$AV$24:$BF$34,M43+1))*V45</f>
        <v>6.7681828900489349E-2</v>
      </c>
      <c r="AL43" s="28">
        <v>4</v>
      </c>
      <c r="AM43" s="176">
        <f>((($W$39)^Q43)*((1-($W$39))^($U$32-Q43))*HLOOKUP($U$32,$AV$24:$BF$34,Q43+1))*V46</f>
        <v>2.9773994973626861E-2</v>
      </c>
      <c r="AN43" s="28">
        <v>4</v>
      </c>
      <c r="AO43" s="176">
        <f>((($W$39)^Q43)*((1-($W$39))^($U$33-Q43))*HLOOKUP($U$33,$AV$24:$BF$34,Q43+1))*V47</f>
        <v>7.407228286216927E-3</v>
      </c>
      <c r="AP43" s="28">
        <v>4</v>
      </c>
      <c r="AQ43" s="176">
        <f>((($W$39)^Q43)*((1-($W$39))^($U$34-Q43))*HLOOKUP($U$34,$AV$24:$BF$34,Q43+1))*V48</f>
        <v>9.9585404278592694E-4</v>
      </c>
      <c r="AR43" s="28">
        <v>4</v>
      </c>
      <c r="AS43" s="176">
        <f>((($W$39)^Q43)*((1-($W$39))^($U$35-Q43))*HLOOKUP($U$35,$AV$24:$BF$34,Q43+1))*V49</f>
        <v>5.9464424238257363E-5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6"/>
        <v>252</v>
      </c>
      <c r="BI43" s="31">
        <f t="shared" si="29"/>
        <v>4</v>
      </c>
      <c r="BJ43" s="31">
        <v>10</v>
      </c>
      <c r="BK43" s="107">
        <f t="shared" si="30"/>
        <v>2.858982160742661E-4</v>
      </c>
      <c r="BQ43" s="31">
        <f t="shared" si="33"/>
        <v>9</v>
      </c>
      <c r="BR43" s="31">
        <v>4</v>
      </c>
      <c r="BS43" s="107">
        <f t="shared" si="34"/>
        <v>6.3163929266171035E-6</v>
      </c>
    </row>
    <row r="44" spans="1:71" ht="15" customHeight="1" thickBot="1" x14ac:dyDescent="0.3">
      <c r="G44" s="91">
        <v>5</v>
      </c>
      <c r="H44" s="130">
        <f>J44*L39+J43*L40+J42*L41+J41*L42</f>
        <v>0.22628250177965134</v>
      </c>
      <c r="I44" s="138">
        <v>5</v>
      </c>
      <c r="J44" s="86">
        <f t="shared" si="31"/>
        <v>0.14059036268725228</v>
      </c>
      <c r="K44" s="95">
        <v>5</v>
      </c>
      <c r="L44" s="86"/>
      <c r="M44" s="85">
        <v>5</v>
      </c>
      <c r="N44" s="173">
        <f>(($C$24)^M30)*((1-($C$24))^($B$21-M30))*HLOOKUP($B$21,$AV$24:$BF$34,M30+1)</f>
        <v>3.125E-2</v>
      </c>
      <c r="O44" s="72">
        <v>5</v>
      </c>
      <c r="P44" s="173">
        <f t="shared" si="32"/>
        <v>3.125E-2</v>
      </c>
      <c r="Q44" s="28">
        <v>5</v>
      </c>
      <c r="R44" s="174">
        <f>P44*N39+P43*N40+P42*N41+P41*N42+P40*N43+P39*N44</f>
        <v>0.24609375</v>
      </c>
      <c r="S44" s="72">
        <v>5</v>
      </c>
      <c r="T44" s="175">
        <f t="shared" si="35"/>
        <v>0</v>
      </c>
      <c r="U44" s="138">
        <v>5</v>
      </c>
      <c r="V44" s="86">
        <f>T44*R39+T43*R40+T42*R41+T41*R42+T40*R43+T39*R44</f>
        <v>0.24547500769042968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3.3830053701833347E-2</v>
      </c>
      <c r="AJ44" s="28">
        <v>5</v>
      </c>
      <c r="AK44" s="176">
        <f>((($W$39)^M44)*((1-($W$39))^($U$31-M44))*HLOOKUP($U$31,$AV$24:$BF$34,M44+1))*V45</f>
        <v>5.5657353495406743E-2</v>
      </c>
      <c r="AL44" s="28">
        <v>5</v>
      </c>
      <c r="AM44" s="176">
        <f>((($W$39)^Q44)*((1-($W$39))^($U$32-Q44))*HLOOKUP($U$32,$AV$24:$BF$34,Q44+1))*V46</f>
        <v>3.672644024559521E-2</v>
      </c>
      <c r="AN44" s="28">
        <v>5</v>
      </c>
      <c r="AO44" s="176">
        <f>((($W$39)^Q44)*((1-($W$39))^($U$33-Q44))*HLOOKUP($U$33,$AV$24:$BF$34,Q44+1))*V47</f>
        <v>1.2182493583419421E-2</v>
      </c>
      <c r="AP44" s="28">
        <v>5</v>
      </c>
      <c r="AQ44" s="176">
        <f>((($W$39)^Q44)*((1-($W$39))^($U$34-Q44))*HLOOKUP($U$34,$AV$24:$BF$34,Q44+1))*V48</f>
        <v>2.0473220578398669E-3</v>
      </c>
      <c r="AR44" s="28">
        <v>5</v>
      </c>
      <c r="AS44" s="176">
        <f>((($W$39)^Q44)*((1-($W$39))^($U$35-Q44))*HLOOKUP($U$35,$AV$24:$BF$34,Q44+1))*V49</f>
        <v>1.466996031576916E-4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6"/>
        <v>210</v>
      </c>
      <c r="BI44" s="31">
        <f>BI39+1</f>
        <v>5</v>
      </c>
      <c r="BJ44" s="31">
        <v>6</v>
      </c>
      <c r="BK44" s="107">
        <f>$H$30*H45</f>
        <v>6.375188371418445E-3</v>
      </c>
      <c r="BQ44" s="31">
        <f t="shared" si="33"/>
        <v>9</v>
      </c>
      <c r="BR44" s="31">
        <v>5</v>
      </c>
      <c r="BS44" s="107">
        <f t="shared" si="34"/>
        <v>6.6161105711974412E-6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0.17272685777242217</v>
      </c>
      <c r="I45" s="138">
        <v>6</v>
      </c>
      <c r="J45" s="86">
        <f t="shared" si="31"/>
        <v>5.9818423044771037E-2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0.205078125</v>
      </c>
      <c r="S45" s="72">
        <v>6</v>
      </c>
      <c r="T45" s="175">
        <f t="shared" si="35"/>
        <v>0</v>
      </c>
      <c r="U45" s="138">
        <v>6</v>
      </c>
      <c r="V45" s="86">
        <f>T45*R39+T44*R40+T43*R41+T42*R42+T41*R43+T40*R44+T39*R45</f>
        <v>0.20568721142578125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1.9070486670476849E-2</v>
      </c>
      <c r="AL45" s="28">
        <v>6</v>
      </c>
      <c r="AM45" s="176">
        <f>((($W$39)^Q45)*((1-($W$39))^($U$32-Q45))*HLOOKUP($U$32,$AV$24:$BF$34,Q45+1))*V46</f>
        <v>2.5167962368727769E-2</v>
      </c>
      <c r="AN45" s="28">
        <v>6</v>
      </c>
      <c r="AO45" s="176">
        <f>((($W$39)^Q45)*((1-($W$39))^($U$33-Q45))*HLOOKUP($U$33,$AV$24:$BF$34,Q45+1))*V47</f>
        <v>1.2522662338676046E-2</v>
      </c>
      <c r="AP45" s="28">
        <v>6</v>
      </c>
      <c r="AQ45" s="176">
        <f>((($W$39)^Q45)*((1-($W$39))^($U$34-Q45))*HLOOKUP($U$34,$AV$24:$BF$34,Q45+1))*V48</f>
        <v>2.8059852337341601E-3</v>
      </c>
      <c r="AR45" s="28">
        <v>6</v>
      </c>
      <c r="AS45" s="176">
        <f>((($W$39)^Q45)*((1-($W$39))^($U$35-Q45))*HLOOKUP($U$35,$AV$24:$BF$34,Q45+1))*V49</f>
        <v>2.5132643315621203E-4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6"/>
        <v>120</v>
      </c>
      <c r="BI45" s="31">
        <f>BI40+1</f>
        <v>5</v>
      </c>
      <c r="BJ45" s="31">
        <v>7</v>
      </c>
      <c r="BK45" s="107">
        <f>$H$30*H46</f>
        <v>3.5979845466323295E-3</v>
      </c>
      <c r="BQ45" s="31">
        <f t="shared" si="33"/>
        <v>9</v>
      </c>
      <c r="BR45" s="31">
        <v>6</v>
      </c>
      <c r="BS45" s="107">
        <f t="shared" si="34"/>
        <v>5.0502357922074407E-6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9.7482384652308213E-2</v>
      </c>
      <c r="I46" s="138">
        <v>7</v>
      </c>
      <c r="J46" s="86">
        <f t="shared" si="31"/>
        <v>1.7514790020947545E-2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0.1171875</v>
      </c>
      <c r="S46" s="72">
        <v>7</v>
      </c>
      <c r="T46" s="175">
        <f t="shared" si="35"/>
        <v>0</v>
      </c>
      <c r="U46" s="138">
        <v>7</v>
      </c>
      <c r="V46" s="86">
        <f>T46*R39+T45*R40+T44*R41+T43*R42+T42*R43+T41*R44+T40*R45+T39*R46</f>
        <v>0.11850233935546875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7.3916346163442909E-3</v>
      </c>
      <c r="AN46" s="28">
        <v>7</v>
      </c>
      <c r="AO46" s="176">
        <f>((($W$39)^Q46)*((1-($W$39))^($U$33-Q46))*HLOOKUP($U$33,$AV$24:$BF$34,Q46+1))*V47</f>
        <v>7.3556168811156585E-3</v>
      </c>
      <c r="AP46" s="28">
        <v>7</v>
      </c>
      <c r="AQ46" s="176">
        <f>((($W$39)^Q46)*((1-($W$39))^($U$34-Q46))*HLOOKUP($U$34,$AV$24:$BF$34,Q46+1))*V48</f>
        <v>2.4722880560714361E-3</v>
      </c>
      <c r="AR46" s="28">
        <v>7</v>
      </c>
      <c r="AS46" s="176">
        <f>((($W$39)^Q46)*((1-($W$39))^($U$35-Q46))*HLOOKUP($U$35,$AV$24:$BF$34,Q46+1))*V49</f>
        <v>2.9525046741615943E-4</v>
      </c>
      <c r="AV46" s="14">
        <v>8</v>
      </c>
      <c r="BD46" s="31">
        <v>1</v>
      </c>
      <c r="BE46" s="31">
        <v>9</v>
      </c>
      <c r="BF46" s="31">
        <f t="shared" si="36"/>
        <v>45</v>
      </c>
      <c r="BI46" s="31">
        <f>BI41+1</f>
        <v>5</v>
      </c>
      <c r="BJ46" s="31">
        <v>8</v>
      </c>
      <c r="BK46" s="107">
        <f>$H$30*H47</f>
        <v>1.5041299778819324E-3</v>
      </c>
      <c r="BQ46" s="31">
        <f t="shared" si="33"/>
        <v>9</v>
      </c>
      <c r="BR46" s="31">
        <v>7</v>
      </c>
      <c r="BS46" s="107">
        <f t="shared" si="34"/>
        <v>2.8502170098495423E-6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4.0752308735787855E-2</v>
      </c>
      <c r="I47" s="138">
        <v>8</v>
      </c>
      <c r="J47" s="86">
        <f t="shared" si="31"/>
        <v>3.3885330649019887E-3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4.39453125E-2</v>
      </c>
      <c r="S47" s="72">
        <v>8</v>
      </c>
      <c r="T47" s="175">
        <f t="shared" si="35"/>
        <v>0</v>
      </c>
      <c r="U47" s="138">
        <v>8</v>
      </c>
      <c r="V47" s="86">
        <f>T47*R39+T46*R40+T45*R41+T44*R42+T43*R43+T42*R44+T41*R45+T40*R46+T39*R47</f>
        <v>4.5045036254882813E-2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1.890251488009045E-3</v>
      </c>
      <c r="AP47" s="28">
        <v>8</v>
      </c>
      <c r="AQ47" s="176">
        <f>((($W$39)^Q47)*((1-($W$39))^($U$34-Q47))*HLOOKUP($U$34,$AV$24:$BF$34,Q47+1))*V48</f>
        <v>1.2706605719973848E-3</v>
      </c>
      <c r="AR47" s="28">
        <v>8</v>
      </c>
      <c r="AS47" s="176">
        <f>((($W$39)^Q47)*((1-($W$39))^($U$35-Q47))*HLOOKUP($U$35,$AV$24:$BF$34,Q47+1))*V49</f>
        <v>2.2762100489555909E-4</v>
      </c>
      <c r="AV47" s="29">
        <v>9</v>
      </c>
      <c r="BE47" s="31">
        <v>1</v>
      </c>
      <c r="BF47" s="31">
        <f t="shared" si="36"/>
        <v>10</v>
      </c>
      <c r="BI47" s="31">
        <f>BI42+1</f>
        <v>5</v>
      </c>
      <c r="BJ47" s="31">
        <v>9</v>
      </c>
      <c r="BK47" s="107">
        <f>$H$30*H48</f>
        <v>4.6089130926458931E-4</v>
      </c>
      <c r="BQ47" s="31">
        <f>BM12+1</f>
        <v>9</v>
      </c>
      <c r="BR47" s="31">
        <v>8</v>
      </c>
      <c r="BS47" s="107">
        <f t="shared" si="34"/>
        <v>1.1915273099203193E-6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1.2487208688733653E-2</v>
      </c>
      <c r="I48" s="138">
        <v>9</v>
      </c>
      <c r="J48" s="86">
        <f t="shared" si="31"/>
        <v>3.9424322949234403E-4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9.765625E-3</v>
      </c>
      <c r="S48" s="72">
        <v>9</v>
      </c>
      <c r="T48" s="175">
        <f t="shared" si="35"/>
        <v>0</v>
      </c>
      <c r="U48" s="138">
        <v>9</v>
      </c>
      <c r="V48" s="86">
        <f>T48*R39+T47*R40+T46*R41+T45*R42+T44*R43+T43*R44+T42*R45+T41*R46+T40*R47+T39*R48</f>
        <v>1.0281246948242189E-2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2.9025353619537367E-4</v>
      </c>
      <c r="AR48" s="28">
        <v>9</v>
      </c>
      <c r="AS48" s="176">
        <f>((($W$39)^Q48)*((1-($W$39))^($U$35-Q48))*HLOOKUP($U$35,$AV$24:$BF$34,Q48+1))*V49</f>
        <v>1.0398969329697035E-4</v>
      </c>
      <c r="AV48" s="14">
        <v>10</v>
      </c>
      <c r="BF48" s="31">
        <f t="shared" si="36"/>
        <v>1</v>
      </c>
      <c r="BI48" s="31">
        <f>BI43+1</f>
        <v>5</v>
      </c>
      <c r="BJ48" s="31">
        <v>10</v>
      </c>
      <c r="BK48" s="107">
        <f>$H$30*H49</f>
        <v>1.0085131562817805E-4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2.732426061128947E-3</v>
      </c>
      <c r="I49" s="94">
        <v>10</v>
      </c>
      <c r="J49" s="89">
        <f t="shared" si="31"/>
        <v>2.1378674356665328E-5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9.765625E-4</v>
      </c>
      <c r="S49" s="72">
        <v>10</v>
      </c>
      <c r="T49" s="175">
        <f t="shared" si="35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2.1378674356665328E-5</v>
      </c>
      <c r="BI49" s="31">
        <f>BQ14+1</f>
        <v>6</v>
      </c>
      <c r="BJ49" s="31">
        <v>0</v>
      </c>
      <c r="BK49" s="107">
        <f>$H$31*H39</f>
        <v>2.0347734506252732E-5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58"/>
      <c r="J50" s="258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58"/>
      <c r="X50" s="157"/>
      <c r="Y50" s="157"/>
      <c r="BI50" s="31">
        <f>BI45+1</f>
        <v>6</v>
      </c>
      <c r="BJ50" s="31">
        <v>7</v>
      </c>
      <c r="BK50" s="107">
        <f>$H$31*H46</f>
        <v>9.3696047557719115E-4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3.9169438365855772E-4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1.2002189968329299E-4</v>
      </c>
    </row>
    <row r="53" spans="1:63" x14ac:dyDescent="0.25">
      <c r="BI53" s="31">
        <f>BI48+1</f>
        <v>6</v>
      </c>
      <c r="BJ53" s="31">
        <v>10</v>
      </c>
      <c r="BK53" s="107">
        <f>$H$31*H49</f>
        <v>2.6262952335914864E-5</v>
      </c>
    </row>
    <row r="54" spans="1:63" x14ac:dyDescent="0.25">
      <c r="BI54" s="31">
        <f>BI51+1</f>
        <v>7</v>
      </c>
      <c r="BJ54" s="31">
        <v>8</v>
      </c>
      <c r="BK54" s="107">
        <f>$H$32*H47</f>
        <v>7.6243772766841343E-5</v>
      </c>
    </row>
    <row r="55" spans="1:63" x14ac:dyDescent="0.25">
      <c r="BI55" s="31">
        <f>BI52+1</f>
        <v>7</v>
      </c>
      <c r="BJ55" s="31">
        <v>9</v>
      </c>
      <c r="BK55" s="107">
        <f>$H$32*H48</f>
        <v>2.3362404027918185E-5</v>
      </c>
    </row>
    <row r="56" spans="1:63" x14ac:dyDescent="0.25">
      <c r="BI56" s="31">
        <f>BI53+1</f>
        <v>7</v>
      </c>
      <c r="BJ56" s="31">
        <v>10</v>
      </c>
      <c r="BK56" s="107">
        <f>$H$32*H49</f>
        <v>5.1121145812276198E-6</v>
      </c>
    </row>
    <row r="57" spans="1:63" x14ac:dyDescent="0.25">
      <c r="BI57" s="31">
        <f>BI55+1</f>
        <v>8</v>
      </c>
      <c r="BJ57" s="31">
        <v>9</v>
      </c>
      <c r="BK57" s="107">
        <f>$H$33*H48</f>
        <v>3.3990511695860159E-6</v>
      </c>
    </row>
    <row r="58" spans="1:63" x14ac:dyDescent="0.25">
      <c r="BI58" s="31">
        <f>BI56+1</f>
        <v>8</v>
      </c>
      <c r="BJ58" s="31">
        <v>10</v>
      </c>
      <c r="BK58" s="107">
        <f>$H$33*H49</f>
        <v>7.4377358706812271E-7</v>
      </c>
    </row>
    <row r="59" spans="1:63" x14ac:dyDescent="0.25">
      <c r="BI59" s="31">
        <f>BI58+1</f>
        <v>9</v>
      </c>
      <c r="BJ59" s="31">
        <v>10</v>
      </c>
      <c r="BK59" s="107">
        <f>$H$34*H49</f>
        <v>7.989143131206221E-8</v>
      </c>
    </row>
  </sheetData>
  <mergeCells count="1"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AJ4" sqref="AJ4:AJ14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181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3"/>
      <c r="Q1" s="285"/>
      <c r="R1" s="285"/>
      <c r="S1" s="186"/>
      <c r="T1" s="186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7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181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3.5750000000000002</v>
      </c>
      <c r="O2" s="208"/>
      <c r="P2" s="210"/>
      <c r="Q2" s="210"/>
      <c r="R2" s="166">
        <f>SUM(R4:R15)</f>
        <v>1.6799999999999997</v>
      </c>
      <c r="S2" s="166">
        <f>SUM(S4:S15)</f>
        <v>3.5750000000000006</v>
      </c>
      <c r="T2" s="219">
        <f t="shared" ref="T2:U2" si="0">SUM(T4:T15)</f>
        <v>1.6724879535147399</v>
      </c>
      <c r="U2" s="219">
        <f t="shared" si="0"/>
        <v>0.83852395124716561</v>
      </c>
      <c r="V2" s="157"/>
      <c r="W2" s="157"/>
      <c r="X2" s="253">
        <f t="shared" ref="X2:Y2" si="1">SUM(X4:X15)</f>
        <v>0.83719143282312936</v>
      </c>
      <c r="Y2" s="254">
        <f t="shared" si="1"/>
        <v>0.50404156037414971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191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84" t="s">
        <v>5</v>
      </c>
      <c r="C3" s="284"/>
      <c r="D3" s="31" t="str">
        <f>IF(B3="Sol","SI",IF(B3="Lluvia","SI","NO"))</f>
        <v>SI</v>
      </c>
      <c r="E3" s="211"/>
      <c r="F3" s="212"/>
      <c r="G3" s="242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42" t="s">
        <v>151</v>
      </c>
      <c r="F4" s="242" t="s">
        <v>151</v>
      </c>
      <c r="G4" s="242" t="s">
        <v>151</v>
      </c>
      <c r="H4" s="242" t="s">
        <v>151</v>
      </c>
      <c r="I4" s="242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5" si="2">IF(P4+Q4=0,0,N4)</f>
        <v>0</v>
      </c>
      <c r="S4" s="221">
        <f t="shared" ref="S4:S15" si="3">R4*$N$2/$R$2</f>
        <v>0</v>
      </c>
      <c r="T4" s="226">
        <f t="shared" ref="T4:T9" si="4">IF(S4=0,0,IF(Q4=0,S4*P4/L4,S4*P4/(L4*2)))</f>
        <v>0</v>
      </c>
      <c r="U4" s="228">
        <f t="shared" ref="U4:U9" si="5">IF(S4=0,0,IF(P4=0,S4*Q4/L4,S4*Q4/(L4*2)))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 t="shared" ref="AA4:AA14" si="6">X5</f>
        <v>0</v>
      </c>
      <c r="AB4" s="245">
        <f t="shared" ref="AB4:AB15" si="7">(1-AA4)</f>
        <v>1</v>
      </c>
      <c r="AC4" s="245">
        <f>AA4*AB3*PRODUCT(AB5:AB17)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5" si="8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42" t="s">
        <v>1</v>
      </c>
      <c r="F5" s="242" t="s">
        <v>151</v>
      </c>
      <c r="G5" s="242" t="s">
        <v>138</v>
      </c>
      <c r="H5" s="242" t="s">
        <v>151</v>
      </c>
      <c r="I5" s="242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10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2"/>
        <v>0</v>
      </c>
      <c r="S5" s="221">
        <f t="shared" si="3"/>
        <v>0</v>
      </c>
      <c r="T5" s="226">
        <f t="shared" si="4"/>
        <v>0</v>
      </c>
      <c r="U5" s="228">
        <f t="shared" si="5"/>
        <v>0</v>
      </c>
      <c r="V5" s="218">
        <f>$G$17</f>
        <v>0.56999999999999995</v>
      </c>
      <c r="W5" s="216">
        <f>$H$17</f>
        <v>0.56999999999999995</v>
      </c>
      <c r="X5" s="251">
        <f t="shared" ref="X5:Y15" si="11">V5*T5</f>
        <v>0</v>
      </c>
      <c r="Y5" s="252">
        <f t="shared" si="11"/>
        <v>0</v>
      </c>
      <c r="Z5" s="199"/>
      <c r="AA5" s="244">
        <f t="shared" si="6"/>
        <v>0</v>
      </c>
      <c r="AB5" s="245">
        <f t="shared" si="7"/>
        <v>1</v>
      </c>
      <c r="AC5" s="245">
        <f>AA5*PRODUCT(AB3:AB4)*PRODUCT(AB6:AB17)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5" si="12">Y5</f>
        <v>0</v>
      </c>
      <c r="AH5" s="247">
        <f t="shared" si="8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31</v>
      </c>
      <c r="B6" s="232">
        <v>10</v>
      </c>
      <c r="C6" s="233">
        <v>11</v>
      </c>
      <c r="E6" s="211"/>
      <c r="F6" s="242" t="s">
        <v>1</v>
      </c>
      <c r="G6" s="242" t="s">
        <v>151</v>
      </c>
      <c r="H6" s="242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10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2"/>
        <v>0</v>
      </c>
      <c r="S6" s="221">
        <f t="shared" si="3"/>
        <v>0</v>
      </c>
      <c r="T6" s="226">
        <f t="shared" si="4"/>
        <v>0</v>
      </c>
      <c r="U6" s="228">
        <f t="shared" si="5"/>
        <v>0</v>
      </c>
      <c r="V6" s="218">
        <f>$G$18</f>
        <v>0.45</v>
      </c>
      <c r="W6" s="216">
        <f>$H$18</f>
        <v>0.45</v>
      </c>
      <c r="X6" s="251">
        <f t="shared" si="11"/>
        <v>0</v>
      </c>
      <c r="Y6" s="252">
        <f t="shared" si="11"/>
        <v>0</v>
      </c>
      <c r="Z6" s="199"/>
      <c r="AA6" s="244">
        <f t="shared" si="6"/>
        <v>0</v>
      </c>
      <c r="AB6" s="245">
        <f t="shared" si="7"/>
        <v>1</v>
      </c>
      <c r="AC6" s="245">
        <f>AA6*PRODUCT(AB3:AB5)*PRODUCT(AB7:AB17)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2"/>
        <v>0</v>
      </c>
      <c r="AH6" s="247">
        <f t="shared" si="8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36</v>
      </c>
      <c r="B7" s="232">
        <v>10</v>
      </c>
      <c r="C7" s="233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0.02</v>
      </c>
      <c r="N7" s="222">
        <f t="shared" si="10"/>
        <v>0.02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2"/>
        <v>0</v>
      </c>
      <c r="S7" s="221">
        <f t="shared" si="3"/>
        <v>0</v>
      </c>
      <c r="T7" s="226">
        <f t="shared" si="4"/>
        <v>0</v>
      </c>
      <c r="U7" s="228">
        <f t="shared" si="5"/>
        <v>0</v>
      </c>
      <c r="V7" s="218">
        <f>$G$18</f>
        <v>0.45</v>
      </c>
      <c r="W7" s="216">
        <f>$H$18</f>
        <v>0.45</v>
      </c>
      <c r="X7" s="251">
        <f t="shared" si="11"/>
        <v>0</v>
      </c>
      <c r="Y7" s="252">
        <f t="shared" si="11"/>
        <v>0</v>
      </c>
      <c r="Z7" s="199"/>
      <c r="AA7" s="244">
        <f t="shared" si="6"/>
        <v>0.30323660714285722</v>
      </c>
      <c r="AB7" s="245">
        <f t="shared" si="7"/>
        <v>0.69676339285714284</v>
      </c>
      <c r="AC7" s="245">
        <f>AA7*PRODUCT(AB3:AB6)*PRODUCT(AB8:AB17)</f>
        <v>0.16651377767806427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183"/>
      <c r="AF7" s="197"/>
      <c r="AG7" s="246">
        <f t="shared" si="12"/>
        <v>0</v>
      </c>
      <c r="AH7" s="247">
        <f t="shared" si="8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39</v>
      </c>
      <c r="B8" s="232">
        <v>10</v>
      </c>
      <c r="C8" s="233">
        <v>12</v>
      </c>
      <c r="E8" s="213"/>
      <c r="F8" s="214"/>
      <c r="G8" s="243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10"/>
        <v>0.5</v>
      </c>
      <c r="O8" s="209" t="s">
        <v>170</v>
      </c>
      <c r="P8" s="212">
        <f>COUNTIF(E5:I6,"RAP")</f>
        <v>4</v>
      </c>
      <c r="Q8" s="214">
        <f>COUNTIF(E10:I11,"RAP")</f>
        <v>0</v>
      </c>
      <c r="R8" s="221">
        <f t="shared" si="2"/>
        <v>0.5</v>
      </c>
      <c r="S8" s="221">
        <f t="shared" si="3"/>
        <v>1.0639880952380956</v>
      </c>
      <c r="T8" s="226">
        <f t="shared" si="4"/>
        <v>0.53199404761904778</v>
      </c>
      <c r="U8" s="228">
        <f t="shared" si="5"/>
        <v>0</v>
      </c>
      <c r="V8" s="218">
        <f>$G$17</f>
        <v>0.56999999999999995</v>
      </c>
      <c r="W8" s="216">
        <f>$H$17</f>
        <v>0.56999999999999995</v>
      </c>
      <c r="X8" s="251">
        <f t="shared" si="11"/>
        <v>0.30323660714285722</v>
      </c>
      <c r="Y8" s="252">
        <f t="shared" si="11"/>
        <v>0</v>
      </c>
      <c r="Z8" s="199"/>
      <c r="AA8" s="244">
        <f t="shared" si="6"/>
        <v>0.30323660714285722</v>
      </c>
      <c r="AB8" s="245">
        <f t="shared" si="7"/>
        <v>0.69676339285714284</v>
      </c>
      <c r="AC8" s="245">
        <f>AA8*PRODUCT(AB3:AB7)*PRODUCT(AB9:AB17)</f>
        <v>0.16651377767806425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183"/>
      <c r="AF8" s="197"/>
      <c r="AG8" s="246">
        <f t="shared" si="12"/>
        <v>0</v>
      </c>
      <c r="AH8" s="247">
        <f t="shared" si="8"/>
        <v>1</v>
      </c>
      <c r="AI8" s="247">
        <f>AG8*PRODUCT(AH3:AH7)*PRODUCT(AH9:AH17)</f>
        <v>0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42</v>
      </c>
      <c r="B9" s="232">
        <v>10</v>
      </c>
      <c r="C9" s="233">
        <v>12</v>
      </c>
      <c r="E9" s="243" t="s">
        <v>151</v>
      </c>
      <c r="F9" s="243" t="s">
        <v>151</v>
      </c>
      <c r="G9" s="243" t="s">
        <v>151</v>
      </c>
      <c r="H9" s="243" t="s">
        <v>151</v>
      </c>
      <c r="I9" s="243" t="s">
        <v>151</v>
      </c>
      <c r="J9" s="208"/>
      <c r="K9" s="209">
        <v>16</v>
      </c>
      <c r="L9" s="209">
        <v>8</v>
      </c>
      <c r="M9" s="222">
        <v>0.5</v>
      </c>
      <c r="N9" s="222">
        <f t="shared" si="10"/>
        <v>0.5</v>
      </c>
      <c r="O9" s="209" t="s">
        <v>171</v>
      </c>
      <c r="P9" s="212">
        <f>COUNTIF(E5:I6,"RAP")</f>
        <v>4</v>
      </c>
      <c r="Q9" s="214">
        <f>COUNTIF(E10:I11,"RAP")</f>
        <v>0</v>
      </c>
      <c r="R9" s="221">
        <f t="shared" si="2"/>
        <v>0.5</v>
      </c>
      <c r="S9" s="221">
        <f t="shared" si="3"/>
        <v>1.0639880952380956</v>
      </c>
      <c r="T9" s="226">
        <f t="shared" si="4"/>
        <v>0.53199404761904778</v>
      </c>
      <c r="U9" s="228">
        <f t="shared" si="5"/>
        <v>0</v>
      </c>
      <c r="V9" s="218">
        <f>$G$17</f>
        <v>0.56999999999999995</v>
      </c>
      <c r="W9" s="216">
        <f>$H$17</f>
        <v>0.56999999999999995</v>
      </c>
      <c r="X9" s="251">
        <f t="shared" si="11"/>
        <v>0.30323660714285722</v>
      </c>
      <c r="Y9" s="252">
        <f t="shared" si="11"/>
        <v>0</v>
      </c>
      <c r="Z9" s="199"/>
      <c r="AA9" s="244">
        <f t="shared" si="6"/>
        <v>6.8399234693877556E-2</v>
      </c>
      <c r="AB9" s="245">
        <f t="shared" si="7"/>
        <v>0.93160076530612246</v>
      </c>
      <c r="AC9" s="245">
        <f>AA9*PRODUCT(AB3:AB8)*PRODUCT(AB10:AB17)</f>
        <v>2.8091522398663849E-2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183"/>
      <c r="AF9" s="197"/>
      <c r="AG9" s="246">
        <f t="shared" si="12"/>
        <v>0</v>
      </c>
      <c r="AH9" s="247">
        <f t="shared" si="8"/>
        <v>1</v>
      </c>
      <c r="AI9" s="247">
        <f>AG9*PRODUCT(AH3:AH8)*PRODUCT(AH10:AH17)</f>
        <v>0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45</v>
      </c>
      <c r="B10" s="232">
        <v>9</v>
      </c>
      <c r="C10" s="233">
        <v>14</v>
      </c>
      <c r="E10" s="243" t="s">
        <v>151</v>
      </c>
      <c r="F10" s="243" t="s">
        <v>138</v>
      </c>
      <c r="G10" s="243" t="s">
        <v>151</v>
      </c>
      <c r="H10" s="243" t="s">
        <v>138</v>
      </c>
      <c r="I10" s="243" t="s">
        <v>151</v>
      </c>
      <c r="J10" s="208"/>
      <c r="K10" s="209">
        <v>18</v>
      </c>
      <c r="L10" s="209" t="s">
        <v>172</v>
      </c>
      <c r="M10" s="222">
        <v>0.15</v>
      </c>
      <c r="N10" s="222">
        <f t="shared" si="10"/>
        <v>0.15</v>
      </c>
      <c r="O10" s="209" t="s">
        <v>173</v>
      </c>
      <c r="P10" s="212">
        <v>1</v>
      </c>
      <c r="Q10" s="214">
        <v>1</v>
      </c>
      <c r="R10" s="221">
        <f t="shared" si="2"/>
        <v>0.15</v>
      </c>
      <c r="S10" s="221">
        <f t="shared" si="3"/>
        <v>0.3191964285714286</v>
      </c>
      <c r="T10" s="226">
        <f>S10*G13</f>
        <v>0.15199829931972789</v>
      </c>
      <c r="U10" s="228">
        <f>S10*G14</f>
        <v>0.16719812925170072</v>
      </c>
      <c r="V10" s="218">
        <f>$G$18</f>
        <v>0.45</v>
      </c>
      <c r="W10" s="216">
        <f>$H$18</f>
        <v>0.45</v>
      </c>
      <c r="X10" s="251">
        <f t="shared" si="11"/>
        <v>6.8399234693877556E-2</v>
      </c>
      <c r="Y10" s="252">
        <f t="shared" si="11"/>
        <v>7.5239158163265318E-2</v>
      </c>
      <c r="Z10" s="199"/>
      <c r="AA10" s="244">
        <f t="shared" si="6"/>
        <v>3.4959608843537417E-2</v>
      </c>
      <c r="AB10" s="245">
        <f t="shared" si="7"/>
        <v>0.96504039115646256</v>
      </c>
      <c r="AC10" s="245">
        <f>AA10*PRODUCT(AB3:AB9)*PRODUCT(AB11:AB17)</f>
        <v>1.3860373838941585E-2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183"/>
      <c r="AF10" s="197"/>
      <c r="AG10" s="246">
        <f t="shared" si="12"/>
        <v>7.5239158163265318E-2</v>
      </c>
      <c r="AH10" s="247">
        <f t="shared" si="8"/>
        <v>0.92476084183673468</v>
      </c>
      <c r="AI10" s="247">
        <f>AG10*PRODUCT(AH3:AH9)*PRODUCT(AH11:AH17)</f>
        <v>4.7122411477524759E-2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48</v>
      </c>
      <c r="B11" s="232">
        <v>9</v>
      </c>
      <c r="C11" s="233">
        <v>14</v>
      </c>
      <c r="E11" s="213"/>
      <c r="F11" s="243" t="s">
        <v>138</v>
      </c>
      <c r="G11" s="243" t="s">
        <v>151</v>
      </c>
      <c r="H11" s="243" t="s">
        <v>151</v>
      </c>
      <c r="I11" s="213"/>
      <c r="J11" s="208"/>
      <c r="K11" s="209">
        <v>19</v>
      </c>
      <c r="L11" s="209" t="s">
        <v>172</v>
      </c>
      <c r="M11" s="222">
        <v>0.23</v>
      </c>
      <c r="N11" s="222">
        <f t="shared" si="10"/>
        <v>0.23</v>
      </c>
      <c r="O11" s="209" t="s">
        <v>174</v>
      </c>
      <c r="P11" s="212">
        <f>COUNTIF(E4:I6,"CAB")</f>
        <v>1</v>
      </c>
      <c r="Q11" s="214">
        <f>COUNTIF(E9:I11,"CAB")</f>
        <v>3</v>
      </c>
      <c r="R11" s="221">
        <f t="shared" si="2"/>
        <v>0.23</v>
      </c>
      <c r="S11" s="221">
        <f t="shared" si="3"/>
        <v>0.4894345238095239</v>
      </c>
      <c r="T11" s="226">
        <f>IF(P11&gt;0,S11*G13,0)</f>
        <v>0.23306405895691612</v>
      </c>
      <c r="U11" s="228">
        <f>IF(Q11&gt;0,S11*G14,0)</f>
        <v>0.25637046485260778</v>
      </c>
      <c r="V11" s="218">
        <f>IF(P11-Q11&gt;2,0.9,IF(P11-Q11&gt;1,0.75,IF(P11-Q11&gt;0,0.5,0.15)))</f>
        <v>0.15</v>
      </c>
      <c r="W11" s="216">
        <f>IF(Q11-P11&gt;2,0.9,IF(Q11-P11&gt;1,0.75,IF(Q11-P11&gt;0,0.5,0.15)))</f>
        <v>0.75</v>
      </c>
      <c r="X11" s="251">
        <f t="shared" si="11"/>
        <v>3.4959608843537417E-2</v>
      </c>
      <c r="Y11" s="252">
        <f t="shared" si="11"/>
        <v>0.19227784863945585</v>
      </c>
      <c r="Z11" s="199"/>
      <c r="AA11" s="244">
        <f t="shared" si="6"/>
        <v>0</v>
      </c>
      <c r="AB11" s="245">
        <f t="shared" si="7"/>
        <v>1</v>
      </c>
      <c r="AC11" s="245">
        <f>AA11*PRODUCT(AB3:AB10)*PRODUCT(AB12:AB17)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2"/>
        <v>0.19227784863945585</v>
      </c>
      <c r="AH11" s="247">
        <f t="shared" si="8"/>
        <v>0.80772215136054415</v>
      </c>
      <c r="AI11" s="247">
        <f>AG11*PRODUCT(AH3:AH10)*PRODUCT(AH12:AH17)</f>
        <v>0.1378733322509218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52</v>
      </c>
      <c r="B12" s="232">
        <v>9</v>
      </c>
      <c r="C12" s="233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2.5000000000000001E-2</v>
      </c>
      <c r="N12" s="222">
        <f t="shared" si="10"/>
        <v>2.5000000000000001E-2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2"/>
        <v>0</v>
      </c>
      <c r="S12" s="221">
        <f t="shared" si="3"/>
        <v>0</v>
      </c>
      <c r="T12" s="226">
        <f>IF(S12=0,0,IF(Q12=0,S12*P12/L12,S12*P12/(L12*2)))</f>
        <v>0</v>
      </c>
      <c r="U12" s="228">
        <f>IF(S12=0,0,IF(P12=0,S12*Q12/L12,S12*Q12/(L12*2)))</f>
        <v>0</v>
      </c>
      <c r="V12" s="218">
        <f>$G$18</f>
        <v>0.45</v>
      </c>
      <c r="W12" s="216">
        <f>$H$18</f>
        <v>0.45</v>
      </c>
      <c r="X12" s="251">
        <f t="shared" si="11"/>
        <v>0</v>
      </c>
      <c r="Y12" s="252">
        <f t="shared" si="11"/>
        <v>0</v>
      </c>
      <c r="Z12" s="199"/>
      <c r="AA12" s="244">
        <f t="shared" si="6"/>
        <v>5.4582589285714286E-2</v>
      </c>
      <c r="AB12" s="245">
        <f t="shared" si="7"/>
        <v>0.94541741071428576</v>
      </c>
      <c r="AC12" s="245">
        <f>AA12*PRODUCT(AB3:AB11)*PRODUCT(AB13:AB17)</f>
        <v>2.2089424848711934E-2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183"/>
      <c r="AF12" s="197"/>
      <c r="AG12" s="246">
        <f t="shared" si="12"/>
        <v>0</v>
      </c>
      <c r="AH12" s="247">
        <f t="shared" si="8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55</v>
      </c>
      <c r="B13" s="232">
        <v>9</v>
      </c>
      <c r="C13" s="233">
        <v>9</v>
      </c>
      <c r="E13" s="210"/>
      <c r="F13" s="210" t="s">
        <v>152</v>
      </c>
      <c r="G13" s="217">
        <f>B22</f>
        <v>0.47619047619047616</v>
      </c>
      <c r="H13" s="210"/>
      <c r="I13" s="210"/>
      <c r="J13" s="208"/>
      <c r="K13" s="209">
        <v>37</v>
      </c>
      <c r="L13" s="209">
        <v>2</v>
      </c>
      <c r="M13" s="222">
        <v>0.18</v>
      </c>
      <c r="N13" s="222">
        <f t="shared" si="10"/>
        <v>0.18</v>
      </c>
      <c r="O13" s="209" t="s">
        <v>175</v>
      </c>
      <c r="P13" s="212">
        <f>COUNTIF(E5:I6,"CAB")</f>
        <v>1</v>
      </c>
      <c r="Q13" s="214">
        <f>COUNTIF(E10:I11,"CAB")</f>
        <v>3</v>
      </c>
      <c r="R13" s="221">
        <f t="shared" si="2"/>
        <v>0.18</v>
      </c>
      <c r="S13" s="221">
        <f t="shared" si="3"/>
        <v>0.38303571428571431</v>
      </c>
      <c r="T13" s="226">
        <f>IF((Q13+P13)=0,0,S13*P13/(Q13+P13))</f>
        <v>9.5758928571428578E-2</v>
      </c>
      <c r="U13" s="228">
        <f>IF(P13+Q13=0,0,S13*Q13/(Q13+P13))</f>
        <v>0.28727678571428572</v>
      </c>
      <c r="V13" s="218">
        <f>$G$17</f>
        <v>0.56999999999999995</v>
      </c>
      <c r="W13" s="216">
        <f>$H$17</f>
        <v>0.56999999999999995</v>
      </c>
      <c r="X13" s="251">
        <f t="shared" si="11"/>
        <v>5.4582589285714286E-2</v>
      </c>
      <c r="Y13" s="252">
        <f t="shared" si="11"/>
        <v>0.16374776785714285</v>
      </c>
      <c r="Z13" s="199"/>
      <c r="AA13" s="244">
        <f t="shared" si="6"/>
        <v>7.2776785714285724E-2</v>
      </c>
      <c r="AB13" s="245">
        <f t="shared" si="7"/>
        <v>0.9272232142857143</v>
      </c>
      <c r="AC13" s="245">
        <f>AA13*PRODUCT(AB3:AB12)*PRODUCT(AB14:AB17)</f>
        <v>3.0030491792241279E-2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2"/>
        <v>0.16374776785714285</v>
      </c>
      <c r="AH13" s="247">
        <f t="shared" si="8"/>
        <v>0.83625223214285715</v>
      </c>
      <c r="AI13" s="247">
        <f>AG13*PRODUCT(AH3:AH12)*PRODUCT(AH14:AH17)</f>
        <v>0.11340993716565342</v>
      </c>
      <c r="AJ13" s="247">
        <f>AG13*AG14*PRODUCT(AH3:AH12)*PRODUCT(AH15:AH17)+AG13*AG15*PRODUCT(AH3:AH12)*AH14*PRODUCT(AH16:AH17)+AG13*AG16*PRODUCT(AH3:AH12)*AH14*AH15*AH17+AG13*AG17*PRODUCT(AH3:AH12)*AH14*AH15*AH16</f>
        <v>8.9014280141093433E-3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58</v>
      </c>
      <c r="B14" s="232">
        <v>4</v>
      </c>
      <c r="C14" s="233">
        <v>4</v>
      </c>
      <c r="E14" s="210"/>
      <c r="F14" s="210" t="s">
        <v>153</v>
      </c>
      <c r="G14" s="215">
        <f>C22</f>
        <v>0.52380952380952384</v>
      </c>
      <c r="H14" s="210"/>
      <c r="I14" s="210"/>
      <c r="J14" s="208"/>
      <c r="K14" s="209">
        <v>38</v>
      </c>
      <c r="L14" s="209">
        <v>2</v>
      </c>
      <c r="M14" s="222">
        <v>0.12</v>
      </c>
      <c r="N14" s="222">
        <f t="shared" si="10"/>
        <v>0.12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2"/>
        <v>0.12</v>
      </c>
      <c r="S14" s="221">
        <f t="shared" si="3"/>
        <v>0.25535714285714289</v>
      </c>
      <c r="T14" s="226">
        <f>S14*P14/(Q14+P14)</f>
        <v>0.12767857142857145</v>
      </c>
      <c r="U14" s="228">
        <f>S14*Q14/(Q14+P14)</f>
        <v>0.12767857142857145</v>
      </c>
      <c r="V14" s="218">
        <f>$G$17</f>
        <v>0.56999999999999995</v>
      </c>
      <c r="W14" s="216">
        <f>$H$17</f>
        <v>0.56999999999999995</v>
      </c>
      <c r="X14" s="251">
        <f t="shared" si="11"/>
        <v>7.2776785714285724E-2</v>
      </c>
      <c r="Y14" s="252">
        <f t="shared" si="11"/>
        <v>7.2776785714285724E-2</v>
      </c>
      <c r="Z14" s="199"/>
      <c r="AA14" s="244">
        <f t="shared" si="6"/>
        <v>0</v>
      </c>
      <c r="AB14" s="245">
        <f t="shared" si="7"/>
        <v>1</v>
      </c>
      <c r="AC14" s="245">
        <f>AA14*PRODUCT(AB3:AB13)*PRODUCT(AB15:AB17)</f>
        <v>0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2"/>
        <v>7.2776785714285724E-2</v>
      </c>
      <c r="AH14" s="247">
        <f t="shared" si="8"/>
        <v>0.9272232142857143</v>
      </c>
      <c r="AI14" s="247">
        <f>AG14*PRODUCT(AH3:AH13)*PRODUCT(AH15:AH17)</f>
        <v>4.5459178732451901E-2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62" t="s">
        <v>62</v>
      </c>
      <c r="B15" s="234">
        <v>5</v>
      </c>
      <c r="C15" s="235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10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 t="shared" si="2"/>
        <v>0</v>
      </c>
      <c r="S15" s="221">
        <f t="shared" si="3"/>
        <v>0</v>
      </c>
      <c r="T15" s="226">
        <f>IF(COUNTIF(F10:H10,"CAB") + COUNTIF(E9:I9,"CAB") =0,0, IF(S15=0,0,IF(Q15=0,S15*P15/L15,S15*P15/(L15*2))))</f>
        <v>0</v>
      </c>
      <c r="U15" s="228">
        <f>IF( COUNTIF(F5:H5,"CAB") + COUNTIF(E4:I4,"CAB") =0,0,IF(S15=0,0,IF(P15=0,S15*Q15/L15,S15*Q15/(L15*2))))</f>
        <v>0</v>
      </c>
      <c r="V15" s="218">
        <f>$G$17</f>
        <v>0.56999999999999995</v>
      </c>
      <c r="W15" s="216">
        <f>$H$17</f>
        <v>0.56999999999999995</v>
      </c>
      <c r="X15" s="251">
        <f t="shared" si="11"/>
        <v>0</v>
      </c>
      <c r="Y15" s="252">
        <f t="shared" si="11"/>
        <v>0</v>
      </c>
      <c r="Z15" s="199"/>
      <c r="AA15" s="244">
        <f>X16</f>
        <v>0</v>
      </c>
      <c r="AB15" s="245">
        <f t="shared" si="7"/>
        <v>1</v>
      </c>
      <c r="AC15" s="245">
        <f>AA15*PRODUCT(AB3:AB14)*PRODUCT(AB16:AB17)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2"/>
        <v>0</v>
      </c>
      <c r="AH15" s="247">
        <f t="shared" si="8"/>
        <v>1</v>
      </c>
      <c r="AI15" s="247">
        <f>AG15*PRODUCT(AH3:AH14)*PRODUCT(AH16:AH17)</f>
        <v>0</v>
      </c>
      <c r="AJ15" s="247">
        <f>AG15*AG16*PRODUCT(AH3:AH14)*AH17+AG15*AG17*PRODUCT(AH3:AH14)*AH16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40">
        <v>0.7</v>
      </c>
      <c r="H16" s="241">
        <v>0.7</v>
      </c>
      <c r="I16" s="210"/>
      <c r="J16" s="208"/>
      <c r="K16" s="208"/>
      <c r="L16" s="208"/>
      <c r="M16" s="208"/>
      <c r="N16" s="208"/>
      <c r="O16" s="208"/>
      <c r="P16" s="210"/>
      <c r="Q16" s="210"/>
      <c r="V16" s="157"/>
      <c r="W16" s="157"/>
      <c r="X16" s="157"/>
      <c r="Y16" s="157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61" t="s">
        <v>69</v>
      </c>
      <c r="B17" s="236" t="s">
        <v>70</v>
      </c>
      <c r="C17" s="237" t="s">
        <v>70</v>
      </c>
      <c r="E17" s="210"/>
      <c r="F17" s="210" t="s">
        <v>154</v>
      </c>
      <c r="G17" s="240">
        <v>0.56999999999999995</v>
      </c>
      <c r="H17" s="241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61" t="s">
        <v>73</v>
      </c>
      <c r="B18" s="236">
        <v>20</v>
      </c>
      <c r="C18" s="237">
        <v>20</v>
      </c>
      <c r="E18" s="210"/>
      <c r="F18" s="209" t="s">
        <v>3</v>
      </c>
      <c r="G18" s="240">
        <v>0.45</v>
      </c>
      <c r="H18" s="241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0.38260784469788545</v>
      </c>
      <c r="AC18" s="159">
        <f>SUM(AC3:AC17)</f>
        <v>0.42709936823468714</v>
      </c>
      <c r="AD18" s="159">
        <f>SUM(AD3:AD17)</f>
        <v>0.16281576428542216</v>
      </c>
      <c r="AE18" s="159">
        <f>1-AB18-AC18-AD18</f>
        <v>2.7477022782005256E-2</v>
      </c>
      <c r="AF18" s="197"/>
      <c r="AG18" s="157"/>
      <c r="AH18" s="160">
        <f>PRODUCT(AH3:AH17)</f>
        <v>0.57917927275014069</v>
      </c>
      <c r="AI18" s="159">
        <f>SUM(AI3:AI17)</f>
        <v>0.34386485962655194</v>
      </c>
      <c r="AJ18" s="159">
        <f>SUM(AJ3:AJ17)</f>
        <v>7.0863303781438375E-2</v>
      </c>
      <c r="AK18" s="159">
        <f>1-AH18-AI18-AJ18</f>
        <v>6.0925638418689865E-3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81</v>
      </c>
      <c r="B22" s="169">
        <f>(B6)/((B6)+(C6))</f>
        <v>0.47619047619047616</v>
      </c>
      <c r="C22" s="170">
        <f>1-B22</f>
        <v>0.52380952380952384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82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29">
        <f>SUM(H25:H35)</f>
        <v>0.99999993956596989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0.99999999999999989</v>
      </c>
      <c r="O23" s="81"/>
      <c r="P23" s="229">
        <f>SUM(P25:P35)</f>
        <v>0.99999999999999989</v>
      </c>
      <c r="Q23" s="81"/>
      <c r="R23" s="229">
        <f>SUM(R25:R35)</f>
        <v>0.99999999999999989</v>
      </c>
      <c r="S23" s="81"/>
      <c r="T23" s="229">
        <f>SUM(T25:T35)</f>
        <v>1</v>
      </c>
      <c r="V23" s="171">
        <f>SUM(V25:V34)</f>
        <v>0.99974931781276</v>
      </c>
      <c r="Y23" s="168">
        <f>SUM(Y25:Y35)</f>
        <v>3.3765445915655752E-3</v>
      </c>
      <c r="Z23" s="81"/>
      <c r="AA23" s="168">
        <f>SUM(AA25:AA35)</f>
        <v>2.5873660086668103E-2</v>
      </c>
      <c r="AB23" s="81"/>
      <c r="AC23" s="168">
        <f>SUM(AC25:AC35)</f>
        <v>8.9231628252390352E-2</v>
      </c>
      <c r="AD23" s="81"/>
      <c r="AE23" s="168">
        <f>SUM(AE25:AE35)</f>
        <v>0.18239905448332949</v>
      </c>
      <c r="AF23" s="81"/>
      <c r="AG23" s="168">
        <f>SUM(AG25:AG35)</f>
        <v>0.24474801787537889</v>
      </c>
      <c r="AH23" s="81"/>
      <c r="AI23" s="168">
        <f>SUM(AI25:AI35)</f>
        <v>0.22529102499748441</v>
      </c>
      <c r="AJ23" s="81"/>
      <c r="AK23" s="168">
        <f>SUM(AK25:AK35)</f>
        <v>0.14411233921871039</v>
      </c>
      <c r="AL23" s="81"/>
      <c r="AM23" s="168">
        <f>SUM(AM25:AM35)</f>
        <v>6.3287220894066035E-2</v>
      </c>
      <c r="AN23" s="81"/>
      <c r="AO23" s="168">
        <f>SUM(AO25:AO35)</f>
        <v>1.8281965297063971E-2</v>
      </c>
      <c r="AP23" s="81"/>
      <c r="AQ23" s="168">
        <f>SUM(AQ25:AQ35)</f>
        <v>3.1478621161027897E-3</v>
      </c>
      <c r="AR23" s="81"/>
      <c r="AS23" s="168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83</v>
      </c>
      <c r="B24" s="64">
        <f>B23/B21</f>
        <v>0.43367603379824315</v>
      </c>
      <c r="C24" s="65">
        <f>C23/B21</f>
        <v>0.56632396620175685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173">
        <f>(1-$B$24)^$B$21</f>
        <v>5.8253859548764761E-2</v>
      </c>
      <c r="O25" s="72">
        <v>0</v>
      </c>
      <c r="P25" s="173">
        <f t="shared" ref="P25:P30" si="18">N25</f>
        <v>5.8253859548764761E-2</v>
      </c>
      <c r="Q25" s="28">
        <v>0</v>
      </c>
      <c r="R25" s="174">
        <f>P25*N25</f>
        <v>3.3935121523272112E-3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176">
        <f>V25</f>
        <v>3.3765445915655752E-3</v>
      </c>
      <c r="Z25" s="28">
        <v>0</v>
      </c>
      <c r="AA25" s="176">
        <f>((1-W25)^Z26)*V26</f>
        <v>1.8569822111388933E-2</v>
      </c>
      <c r="AB25" s="28">
        <v>0</v>
      </c>
      <c r="AC25" s="176">
        <f>(((1-$W$25)^AB27))*V27</f>
        <v>4.596407959974879E-2</v>
      </c>
      <c r="AD25" s="28">
        <v>0</v>
      </c>
      <c r="AE25" s="176">
        <f>(((1-$W$25)^AB28))*V28</f>
        <v>6.7432957582147166E-2</v>
      </c>
      <c r="AF25" s="28">
        <v>0</v>
      </c>
      <c r="AG25" s="176">
        <f>(((1-$W$25)^AB29))*V29</f>
        <v>6.4940956922224E-2</v>
      </c>
      <c r="AH25" s="28">
        <v>0</v>
      </c>
      <c r="AI25" s="176">
        <f>(((1-$W$25)^AB30))*V30</f>
        <v>4.290355372466393E-2</v>
      </c>
      <c r="AJ25" s="28">
        <v>0</v>
      </c>
      <c r="AK25" s="176">
        <f>(((1-$W$25)^AB31))*V31</f>
        <v>1.9697015124709574E-2</v>
      </c>
      <c r="AL25" s="28">
        <v>0</v>
      </c>
      <c r="AM25" s="176">
        <f>(((1-$W$25)^AB32))*V32</f>
        <v>6.2081921588654221E-3</v>
      </c>
      <c r="AN25" s="28">
        <v>0</v>
      </c>
      <c r="AO25" s="176">
        <f>(((1-$W$25)^AB33))*V33</f>
        <v>1.2871284244145504E-3</v>
      </c>
      <c r="AP25" s="28">
        <v>0</v>
      </c>
      <c r="AQ25" s="176">
        <f>(((1-$W$25)^AB34))*V34</f>
        <v>1.5906131811362984E-4</v>
      </c>
      <c r="AR25" s="28">
        <v>0</v>
      </c>
      <c r="AS25" s="176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173">
        <f>(($B$24)^M26)*((1-($B$24))^($B$21-M26))*HLOOKUP($B$21,$AV$24:$BF$34,M26+1)</f>
        <v>0.22304638572851768</v>
      </c>
      <c r="O26" s="72">
        <v>1</v>
      </c>
      <c r="P26" s="173">
        <f t="shared" si="18"/>
        <v>0.22304638572851768</v>
      </c>
      <c r="Q26" s="28">
        <v>1</v>
      </c>
      <c r="R26" s="174">
        <f>N26*P25+P26*N25</f>
        <v>2.5986625654177354E-2</v>
      </c>
      <c r="S26" s="72">
        <v>1</v>
      </c>
      <c r="T26" s="175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177"/>
      <c r="X26" s="28">
        <v>1</v>
      </c>
      <c r="Y26" s="174"/>
      <c r="Z26" s="28">
        <v>1</v>
      </c>
      <c r="AA26" s="176">
        <f>(1-((1-W25)^Z26))*V26</f>
        <v>7.3038379752791704E-3</v>
      </c>
      <c r="AB26" s="28">
        <v>1</v>
      </c>
      <c r="AC26" s="176">
        <f>((($W$25)^M26)*((1-($W$25))^($U$27-M26))*HLOOKUP($U$27,$AV$24:$BF$34,M26+1))*V27</f>
        <v>3.6156963493312655E-2</v>
      </c>
      <c r="AD26" s="28">
        <v>1</v>
      </c>
      <c r="AE26" s="176">
        <f>((($W$25)^M26)*((1-($W$25))^($U$28-M26))*HLOOKUP($U$28,$AV$24:$BF$34,M26+1))*V28</f>
        <v>7.9567708309679325E-2</v>
      </c>
      <c r="AF26" s="28">
        <v>1</v>
      </c>
      <c r="AG26" s="176">
        <f>((($W$25)^M26)*((1-($W$25))^($U$29-M26))*HLOOKUP($U$29,$AV$24:$BF$34,M26+1))*V29</f>
        <v>0.10216968681215476</v>
      </c>
      <c r="AH26" s="28">
        <v>1</v>
      </c>
      <c r="AI26" s="176">
        <f>((($W$25)^M26)*((1-($W$25))^($U$30-M26))*HLOOKUP($U$30,$AV$24:$BF$34,M26+1))*V30</f>
        <v>8.4373615183003139E-2</v>
      </c>
      <c r="AJ26" s="28">
        <v>1</v>
      </c>
      <c r="AK26" s="176">
        <f>((($W$25)^M26)*((1-($W$25))^($U$31-M26))*HLOOKUP($U$31,$AV$24:$BF$34,M26+1))*V31</f>
        <v>4.6483096996153724E-2</v>
      </c>
      <c r="AL26" s="28">
        <v>1</v>
      </c>
      <c r="AM26" s="176">
        <f>((($W$25)^Q26)*((1-($W$25))^($U$32-Q26))*HLOOKUP($U$32,$AV$24:$BF$34,Q26+1))*V32</f>
        <v>1.7092538939271571E-2</v>
      </c>
      <c r="AN26" s="28">
        <v>1</v>
      </c>
      <c r="AO26" s="176">
        <f>((($W$25)^Q26)*((1-($W$25))^($U$33-Q26))*HLOOKUP($U$33,$AV$24:$BF$34,Q26+1))*V33</f>
        <v>4.0500021632558728E-3</v>
      </c>
      <c r="AP26" s="28">
        <v>1</v>
      </c>
      <c r="AQ26" s="176">
        <f>((($W$25)^Q26)*((1-($W$25))^($U$34-Q26))*HLOOKUP($U$34,$AV$24:$BF$34,Q26+1))*V34</f>
        <v>5.6305455151958738E-4</v>
      </c>
      <c r="AR26" s="28">
        <v>1</v>
      </c>
      <c r="AS26" s="176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173">
        <f>(($B$24)^M27)*((1-($B$24))^($B$21-M27))*HLOOKUP($B$21,$AV$24:$BF$34,M27+1)</f>
        <v>0.34160613955481417</v>
      </c>
      <c r="O27" s="72">
        <v>2</v>
      </c>
      <c r="P27" s="173">
        <f t="shared" si="18"/>
        <v>0.34160613955481417</v>
      </c>
      <c r="Q27" s="28">
        <v>2</v>
      </c>
      <c r="R27" s="174">
        <f>P25*N27+P26*N26+P27*N25</f>
        <v>8.9549442335798451E-2</v>
      </c>
      <c r="S27" s="72">
        <v>2</v>
      </c>
      <c r="T27" s="175">
        <f t="shared" si="19"/>
        <v>0</v>
      </c>
      <c r="U27" s="138">
        <v>2</v>
      </c>
      <c r="V27" s="86">
        <f>R27*T25+T26*R26+R25*T27</f>
        <v>8.9231628252390352E-2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7.1105851593288999E-3</v>
      </c>
      <c r="AD27" s="28">
        <v>2</v>
      </c>
      <c r="AE27" s="176">
        <f>((($W$25)^M27)*((1-($W$25))^($U$28-M27))*HLOOKUP($U$28,$AV$24:$BF$34,M27+1))*V28</f>
        <v>3.1295380541192741E-2</v>
      </c>
      <c r="AF27" s="28">
        <v>2</v>
      </c>
      <c r="AG27" s="176">
        <f>((($W$25)^M27)*((1-($W$25))^($U$29-M27))*HLOOKUP($U$29,$AV$24:$BF$34,M27+1))*V29</f>
        <v>6.0277704922385572E-2</v>
      </c>
      <c r="AH27" s="28">
        <v>2</v>
      </c>
      <c r="AI27" s="176">
        <f>((($W$25)^M27)*((1-($W$25))^($U$30-M27))*HLOOKUP($U$30,$AV$24:$BF$34,M27+1))*V30</f>
        <v>6.6371256653800767E-2</v>
      </c>
      <c r="AJ27" s="28">
        <v>2</v>
      </c>
      <c r="AK27" s="176">
        <f>((($W$25)^M27)*((1-($W$25))^($U$31-M27))*HLOOKUP($U$31,$AV$24:$BF$34,M27+1))*V31</f>
        <v>4.5706551066107569E-2</v>
      </c>
      <c r="AL27" s="28">
        <v>2</v>
      </c>
      <c r="AM27" s="176">
        <f>((($W$25)^Q27)*((1-($W$25))^($U$32-Q27))*HLOOKUP($U$32,$AV$24:$BF$34,Q27+1))*V32</f>
        <v>2.0168389484252112E-2</v>
      </c>
      <c r="AN27" s="28">
        <v>2</v>
      </c>
      <c r="AO27" s="176">
        <f>((($W$25)^Q27)*((1-($W$25))^($U$33-Q27))*HLOOKUP($U$33,$AV$24:$BF$34,Q27+1))*V33</f>
        <v>5.5752800419306189E-3</v>
      </c>
      <c r="AP27" s="28">
        <v>2</v>
      </c>
      <c r="AQ27" s="176">
        <f>((($W$25)^Q27)*((1-($W$25))^($U$34-Q27))*HLOOKUP($U$34,$AV$24:$BF$34,Q27+1))*V34</f>
        <v>8.8583707283234779E-4</v>
      </c>
      <c r="AR27" s="28">
        <v>2</v>
      </c>
      <c r="AS27" s="176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111</v>
      </c>
      <c r="B28" s="238">
        <v>0.9</v>
      </c>
      <c r="C28" s="239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173">
        <f>(($B$24)^M28)*((1-($B$24))^($B$21-M28))*HLOOKUP($B$21,$AV$24:$BF$34,M28+1)</f>
        <v>0.26159301842169036</v>
      </c>
      <c r="O28" s="72">
        <v>3</v>
      </c>
      <c r="P28" s="173">
        <f t="shared" si="18"/>
        <v>0.26159301842169036</v>
      </c>
      <c r="Q28" s="28">
        <v>3</v>
      </c>
      <c r="R28" s="174">
        <f>P25*N28+P26*N27+P27*N26+P28*N25</f>
        <v>0.182865635448895</v>
      </c>
      <c r="S28" s="72">
        <v>3</v>
      </c>
      <c r="T28" s="175">
        <f t="shared" si="19"/>
        <v>0</v>
      </c>
      <c r="U28" s="138">
        <v>3</v>
      </c>
      <c r="V28" s="86">
        <f>R28*T25+R27*T26+R26*T27+R25*T28</f>
        <v>0.18239905448332952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4.1030080503102872E-3</v>
      </c>
      <c r="AF28" s="28">
        <v>3</v>
      </c>
      <c r="AG28" s="176">
        <f>((($W$25)^M28)*((1-($W$25))^($U$29-M28))*HLOOKUP($U$29,$AV$24:$BF$34,M28+1))*V29</f>
        <v>1.5805521727095772E-2</v>
      </c>
      <c r="AH28" s="28">
        <v>3</v>
      </c>
      <c r="AI28" s="176">
        <f>((($W$25)^M28)*((1-($W$25))^($U$30-M28))*HLOOKUP($U$30,$AV$24:$BF$34,M28+1))*V30</f>
        <v>2.6104983769215672E-2</v>
      </c>
      <c r="AJ28" s="28">
        <v>3</v>
      </c>
      <c r="AK28" s="176">
        <f>((($W$25)^M28)*((1-($W$25))^($U$31-M28))*HLOOKUP($U$31,$AV$24:$BF$34,M28+1))*V31</f>
        <v>2.3969588320463385E-2</v>
      </c>
      <c r="AL28" s="28">
        <v>3</v>
      </c>
      <c r="AM28" s="176">
        <f>((($W$25)^Q28)*((1-($W$25))^($U$32-Q28))*HLOOKUP($U$32,$AV$24:$BF$34,Q28+1))*V32</f>
        <v>1.3220971112135571E-2</v>
      </c>
      <c r="AN28" s="28">
        <v>3</v>
      </c>
      <c r="AO28" s="176">
        <f>((($W$25)^Q28)*((1-($W$25))^($U$33-Q28))*HLOOKUP($U$33,$AV$24:$BF$34,Q28+1))*V33</f>
        <v>4.3857115968918853E-3</v>
      </c>
      <c r="AP28" s="28">
        <v>3</v>
      </c>
      <c r="AQ28" s="176">
        <f>((($W$25)^Q28)*((1-($W$25))^($U$34-Q28))*HLOOKUP($U$34,$AV$24:$BF$34,Q28+1))*V34</f>
        <v>8.12969072357901E-4</v>
      </c>
      <c r="AR28" s="28">
        <v>3</v>
      </c>
      <c r="AS28" s="176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0.10016053484306656</v>
      </c>
      <c r="O29" s="72">
        <v>4</v>
      </c>
      <c r="P29" s="173">
        <f t="shared" si="18"/>
        <v>0.10016053484306656</v>
      </c>
      <c r="Q29" s="28">
        <v>4</v>
      </c>
      <c r="R29" s="174">
        <f>P25*N29+P26*N28+P27*N27+P28*N26+P29*N25</f>
        <v>0.24505898462124065</v>
      </c>
      <c r="S29" s="72">
        <v>4</v>
      </c>
      <c r="T29" s="175">
        <f t="shared" si="19"/>
        <v>0</v>
      </c>
      <c r="U29" s="138">
        <v>4</v>
      </c>
      <c r="V29" s="86">
        <f>T29*R25+T28*R26+T27*R27+T26*R28+T25*R29</f>
        <v>0.24474801787537892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1.5541474915188043E-3</v>
      </c>
      <c r="AH29" s="28">
        <v>4</v>
      </c>
      <c r="AI29" s="176">
        <f>((($W$25)^M29)*((1-($W$25))^($U$30-M29))*HLOOKUP($U$30,$AV$24:$BF$34,M29+1))*V30</f>
        <v>5.1337748593915551E-3</v>
      </c>
      <c r="AJ29" s="28">
        <v>4</v>
      </c>
      <c r="AK29" s="176">
        <f>((($W$25)^M29)*((1-($W$25))^($U$31-M29))*HLOOKUP($U$31,$AV$24:$BF$34,M29+1))*V31</f>
        <v>7.0707458198847354E-3</v>
      </c>
      <c r="AL29" s="28">
        <v>4</v>
      </c>
      <c r="AM29" s="176">
        <f>((($W$25)^Q29)*((1-($W$25))^($U$32-Q29))*HLOOKUP($U$32,$AV$24:$BF$34,Q29+1))*V32</f>
        <v>5.2000407058106265E-3</v>
      </c>
      <c r="AN29" s="28">
        <v>4</v>
      </c>
      <c r="AO29" s="176">
        <f>((($W$25)^Q29)*((1-($W$25))^($U$33-Q29))*HLOOKUP($U$33,$AV$24:$BF$34,Q29+1))*V33</f>
        <v>2.1562219819512675E-3</v>
      </c>
      <c r="AP29" s="28">
        <v>4</v>
      </c>
      <c r="AQ29" s="176">
        <f>((($W$25)^Q29)*((1-($W$25))^($U$34-Q29))*HLOOKUP($U$34,$AV$24:$BF$34,Q29+1))*V34</f>
        <v>4.7963257384464505E-4</v>
      </c>
      <c r="AR29" s="28">
        <v>4</v>
      </c>
      <c r="AS29" s="176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113</v>
      </c>
      <c r="B30" s="238">
        <v>0.15</v>
      </c>
      <c r="C30" s="239"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173">
        <f>(($B$24)^M30)*((1-($B$24))^($B$21-M30))*HLOOKUP($B$21,$AV$24:$BF$34,M30+1)</f>
        <v>1.5340061903146452E-2</v>
      </c>
      <c r="O30" s="72">
        <v>5</v>
      </c>
      <c r="P30" s="173">
        <f t="shared" si="18"/>
        <v>1.5340061903146452E-2</v>
      </c>
      <c r="Q30" s="28">
        <v>5</v>
      </c>
      <c r="R30" s="174">
        <f>P25*N30+P26*N29+P27*N28+P28*N27+P29*N26+P30*N25</f>
        <v>0.22519168851696308</v>
      </c>
      <c r="S30" s="72">
        <v>5</v>
      </c>
      <c r="T30" s="175">
        <f t="shared" si="19"/>
        <v>0</v>
      </c>
      <c r="U30" s="138">
        <v>5</v>
      </c>
      <c r="V30" s="86">
        <f>T30*R25+T29*R26+T28*R27+T27*R28+T26*R29+T25*R30</f>
        <v>0.22529102499748446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4.0384080740936065E-4</v>
      </c>
      <c r="AJ30" s="28">
        <v>5</v>
      </c>
      <c r="AK30" s="176">
        <f>((($W$25)^M30)*((1-($W$25))^($U$31-M30))*HLOOKUP($U$31,$AV$24:$BF$34,M30+1))*V31</f>
        <v>1.1124195271886297E-3</v>
      </c>
      <c r="AL30" s="28">
        <v>5</v>
      </c>
      <c r="AM30" s="176">
        <f>((($W$25)^Q30)*((1-($W$25))^($U$32-Q30))*HLOOKUP($U$32,$AV$24:$BF$34,Q30+1))*V32</f>
        <v>1.2271605366689132E-3</v>
      </c>
      <c r="AN30" s="28">
        <v>5</v>
      </c>
      <c r="AO30" s="176">
        <f>((($W$25)^Q30)*((1-($W$25))^($U$33-Q30))*HLOOKUP($U$33,$AV$24:$BF$34,Q30+1))*V33</f>
        <v>6.7846405422478052E-4</v>
      </c>
      <c r="AP30" s="28">
        <v>5</v>
      </c>
      <c r="AQ30" s="176">
        <f>((($W$25)^Q30)*((1-($W$25))^($U$34-Q30))*HLOOKUP($U$34,$AV$24:$BF$34,Q30+1))*V34</f>
        <v>1.8864793566756416E-4</v>
      </c>
      <c r="AR30" s="28">
        <v>5</v>
      </c>
      <c r="AS30" s="176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0.14370490530263877</v>
      </c>
      <c r="S31" s="72">
        <v>6</v>
      </c>
      <c r="T31" s="175">
        <f t="shared" si="19"/>
        <v>0</v>
      </c>
      <c r="U31" s="138">
        <v>6</v>
      </c>
      <c r="V31" s="86">
        <f>T31*R25+T30*R26+T29*R27+T28*R28+T27*R29+T26*R30+T25*R31</f>
        <v>0.14411233921871039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7.2922364202754575E-5</v>
      </c>
      <c r="AL31" s="28">
        <v>6</v>
      </c>
      <c r="AM31" s="176">
        <f>((($W$25)^Q31)*((1-($W$25))^($U$32-Q31))*HLOOKUP($U$32,$AV$24:$BF$34,Q31+1))*V32</f>
        <v>1.6088794812219105E-4</v>
      </c>
      <c r="AN31" s="28">
        <v>6</v>
      </c>
      <c r="AO31" s="176">
        <f>((($W$25)^Q31)*((1-($W$25))^($U$33-Q31))*HLOOKUP($U$33,$AV$24:$BF$34,Q31+1))*V33</f>
        <v>1.3342592875646505E-4</v>
      </c>
      <c r="AP31" s="28">
        <v>6</v>
      </c>
      <c r="AQ31" s="176">
        <f>((($W$25)^Q31)*((1-($W$25))^($U$34-Q31))*HLOOKUP($U$34,$AV$24:$BF$34,Q31+1))*V34</f>
        <v>4.9465702946134123E-5</v>
      </c>
      <c r="AR31" s="28">
        <v>6</v>
      </c>
      <c r="AS31" s="176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115</v>
      </c>
      <c r="B32" s="178">
        <f>IF(B17&lt;&gt;"TL",0.001,IF(B18&lt;5,0.1,IF(B18&lt;10,0.2,IF(B18&lt;14,0.3,0.35))))</f>
        <v>1E-3</v>
      </c>
      <c r="C32" s="179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6.2883111927188803E-2</v>
      </c>
      <c r="S32" s="72">
        <v>7</v>
      </c>
      <c r="T32" s="175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9.0400089396264658E-6</v>
      </c>
      <c r="AN32" s="28">
        <v>7</v>
      </c>
      <c r="AO32" s="176">
        <f>((($W$25)^Q32)*((1-($W$25))^($U$33-Q32))*HLOOKUP($U$33,$AV$24:$BF$34,Q32+1))*V33</f>
        <v>1.4993933390465591E-5</v>
      </c>
      <c r="AP32" s="28">
        <v>7</v>
      </c>
      <c r="AQ32" s="176">
        <f>((($W$25)^Q32)*((1-($W$25))^($U$34-Q32))*HLOOKUP($U$34,$AV$24:$BF$34,Q32+1))*V34</f>
        <v>8.3381707963298113E-6</v>
      </c>
      <c r="AR32" s="28">
        <v>7</v>
      </c>
      <c r="AS32" s="176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116</v>
      </c>
      <c r="B33" s="255">
        <f>IF(B17&lt;&gt;"CA",0.005,IF((B18-B16)&lt;0,0.1,0.1+0.055*(B18-B16)))</f>
        <v>5.0000000000000001E-3</v>
      </c>
      <c r="C33" s="256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1.8057838932088472E-2</v>
      </c>
      <c r="S33" s="72">
        <v>8</v>
      </c>
      <c r="T33" s="175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7.3717224806453664E-7</v>
      </c>
      <c r="AP33" s="28">
        <v>8</v>
      </c>
      <c r="AQ33" s="176">
        <f>((($W$25)^Q33)*((1-($W$25))^($U$34-Q33))*HLOOKUP($U$34,$AV$24:$BF$34,Q33+1))*V34</f>
        <v>8.1988734384869092E-7</v>
      </c>
      <c r="AR33" s="28">
        <v>8</v>
      </c>
      <c r="AS33" s="176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117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3.0729376094897963E-3</v>
      </c>
      <c r="S34" s="72">
        <v>9</v>
      </c>
      <c r="T34" s="175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3.5830680801072293E-8</v>
      </c>
      <c r="AR34" s="28">
        <v>9</v>
      </c>
      <c r="AS34" s="176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2.3531749919236515E-4</v>
      </c>
      <c r="S35" s="72">
        <v>10</v>
      </c>
      <c r="T35" s="175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118</v>
      </c>
      <c r="B36" s="182">
        <f>SUM(BO4:BO14)</f>
        <v>0.10587961634117178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119</v>
      </c>
      <c r="B37" s="182">
        <f>SUM(BK4:BK59)</f>
        <v>0.79888201282353499</v>
      </c>
      <c r="G37" s="157"/>
      <c r="H37" s="229">
        <f>SUM(H39:H49)</f>
        <v>0.999836051776825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0.99999999999999989</v>
      </c>
      <c r="O37" s="230"/>
      <c r="P37" s="231">
        <f>SUM(P39:P49)</f>
        <v>0.99999999999999989</v>
      </c>
      <c r="Q37" s="230"/>
      <c r="R37" s="229">
        <f>SUM(R39:R49)</f>
        <v>0.99999999999999989</v>
      </c>
      <c r="S37" s="230"/>
      <c r="T37" s="229">
        <f>SUM(T39:T49)</f>
        <v>1</v>
      </c>
      <c r="U37" s="230"/>
      <c r="V37" s="171">
        <f>SUM(V39:V48)</f>
        <v>0.99621191753243699</v>
      </c>
      <c r="W37" s="157"/>
      <c r="X37" s="157"/>
      <c r="Y37" s="168">
        <f>SUM(Y39:Y49)</f>
        <v>2.3180535610223171E-4</v>
      </c>
      <c r="Z37" s="81"/>
      <c r="AA37" s="168">
        <f>SUM(AA39:AA49)</f>
        <v>3.0305681846580289E-3</v>
      </c>
      <c r="AB37" s="81"/>
      <c r="AC37" s="168">
        <f>SUM(AC39:AC49)</f>
        <v>1.7833975265218092E-2</v>
      </c>
      <c r="AD37" s="81"/>
      <c r="AE37" s="168">
        <f>SUM(AE39:AE49)</f>
        <v>6.2212968648501427E-2</v>
      </c>
      <c r="AF37" s="81"/>
      <c r="AG37" s="168">
        <f>SUM(AG39:AG49)</f>
        <v>0.14249527737151696</v>
      </c>
      <c r="AH37" s="81"/>
      <c r="AI37" s="168">
        <f>SUM(AI39:AI49)</f>
        <v>0.22396944105942748</v>
      </c>
      <c r="AJ37" s="81"/>
      <c r="AK37" s="168">
        <f>SUM(AK39:AK49)</f>
        <v>0.24475636150370289</v>
      </c>
      <c r="AL37" s="81"/>
      <c r="AM37" s="168">
        <f>SUM(AM39:AM49)</f>
        <v>0.18379238369322923</v>
      </c>
      <c r="AN37" s="81"/>
      <c r="AO37" s="168">
        <f>SUM(AO39:AO49)</f>
        <v>9.0946844651974182E-2</v>
      </c>
      <c r="AP37" s="81"/>
      <c r="AQ37" s="168">
        <f>SUM(AQ39:AQ49)</f>
        <v>2.6942291798106491E-2</v>
      </c>
      <c r="AR37" s="81"/>
      <c r="AS37" s="168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120</v>
      </c>
      <c r="B38" s="182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173">
        <f>(1-$C$24)^$B$21</f>
        <v>1.5340061903146452E-2</v>
      </c>
      <c r="O39" s="72">
        <v>0</v>
      </c>
      <c r="P39" s="173">
        <f t="shared" ref="P39:P44" si="30">N39</f>
        <v>1.5340061903146452E-2</v>
      </c>
      <c r="Q39" s="28">
        <v>0</v>
      </c>
      <c r="R39" s="174">
        <f>P39*N39</f>
        <v>2.3531749919236515E-4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176">
        <f>V39</f>
        <v>2.3180535610223171E-4</v>
      </c>
      <c r="Z39" s="28">
        <v>0</v>
      </c>
      <c r="AA39" s="176">
        <f>((1-W39)^Z40)*V40</f>
        <v>9.9172820725343131E-4</v>
      </c>
      <c r="AB39" s="28">
        <v>0</v>
      </c>
      <c r="AC39" s="176">
        <f>(((1-$W$39)^AB41))*V41</f>
        <v>1.9097889332147097E-3</v>
      </c>
      <c r="AD39" s="28">
        <v>0</v>
      </c>
      <c r="AE39" s="176">
        <f>(((1-$W$39)^AB42))*V42</f>
        <v>2.1801518508046645E-3</v>
      </c>
      <c r="AF39" s="28">
        <v>0</v>
      </c>
      <c r="AG39" s="176">
        <f>(((1-$W$39)^AB43))*V43</f>
        <v>1.6340859498438114E-3</v>
      </c>
      <c r="AH39" s="28">
        <v>0</v>
      </c>
      <c r="AI39" s="176">
        <f>(((1-$W$39)^AB44))*V44</f>
        <v>8.4048854186004514E-4</v>
      </c>
      <c r="AJ39" s="28">
        <v>0</v>
      </c>
      <c r="AK39" s="176">
        <f>(((1-$W$39)^AB45))*V45</f>
        <v>3.0056999609432219E-4</v>
      </c>
      <c r="AL39" s="28">
        <v>0</v>
      </c>
      <c r="AM39" s="176">
        <f>(((1-$W$39)^AB46))*V46</f>
        <v>7.385973647996512E-5</v>
      </c>
      <c r="AN39" s="28">
        <v>0</v>
      </c>
      <c r="AO39" s="176">
        <f>(((1-$W$39)^AB47))*V47</f>
        <v>1.1960146124198113E-5</v>
      </c>
      <c r="AP39" s="28">
        <v>0</v>
      </c>
      <c r="AQ39" s="176">
        <f>(((1-$W$39)^AB48))*V48</f>
        <v>1.1594499102868507E-6</v>
      </c>
      <c r="AR39" s="28">
        <v>0</v>
      </c>
      <c r="AS39" s="176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173">
        <f>(($C$24)^M26)*((1-($C$24))^($B$21-M26))*HLOOKUP($B$21,$AV$24:$BF$34,M26+1)</f>
        <v>0.10016053484306656</v>
      </c>
      <c r="O40" s="72">
        <v>1</v>
      </c>
      <c r="P40" s="173">
        <f t="shared" si="30"/>
        <v>0.10016053484306656</v>
      </c>
      <c r="Q40" s="28">
        <v>1</v>
      </c>
      <c r="R40" s="174">
        <f>P40*N39+P39*N40</f>
        <v>3.0729376094897963E-3</v>
      </c>
      <c r="S40" s="72">
        <v>1</v>
      </c>
      <c r="T40" s="175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177"/>
      <c r="X40" s="28">
        <v>1</v>
      </c>
      <c r="Y40" s="174"/>
      <c r="Z40" s="28">
        <v>1</v>
      </c>
      <c r="AA40" s="176">
        <f>(1-((1-W39)^Z40))*V40</f>
        <v>2.0388399774045976E-3</v>
      </c>
      <c r="AB40" s="28">
        <v>1</v>
      </c>
      <c r="AC40" s="176">
        <f>((($W$39)^M40)*((1-($W$39))^($U$27-M40))*HLOOKUP($U$27,$AV$24:$BF$34,M40+1))*V41</f>
        <v>7.852461989009454E-3</v>
      </c>
      <c r="AD40" s="28">
        <v>1</v>
      </c>
      <c r="AE40" s="176">
        <f>((($W$39)^M40)*((1-($W$39))^($U$28-M40))*HLOOKUP($U$28,$AV$24:$BF$34,M40+1))*V42</f>
        <v>1.344616615033099E-2</v>
      </c>
      <c r="AF40" s="28">
        <v>1</v>
      </c>
      <c r="AG40" s="176">
        <f>((($W$39)^M40)*((1-($W$39))^($U$29-M40))*HLOOKUP($U$29,$AV$24:$BF$34,M40+1))*V43</f>
        <v>1.3437713021327194E-2</v>
      </c>
      <c r="AH40" s="28">
        <v>1</v>
      </c>
      <c r="AI40" s="176">
        <f>((($W$39)^M40)*((1-($W$39))^($U$30-M40))*HLOOKUP($U$30,$AV$24:$BF$34,M40+1))*V44</f>
        <v>8.6395729553795479E-3</v>
      </c>
      <c r="AJ40" s="28">
        <v>1</v>
      </c>
      <c r="AK40" s="176">
        <f>((($W$39)^M40)*((1-($W$39))^($U$31-M40))*HLOOKUP($U$31,$AV$24:$BF$34,M40+1))*V45</f>
        <v>3.7075528530702341E-3</v>
      </c>
      <c r="AL40" s="28">
        <v>1</v>
      </c>
      <c r="AM40" s="176">
        <f>((($W$39)^Q40)*((1-($W$39))^($U$32-Q40))*HLOOKUP($U$32,$AV$24:$BF$34,Q40+1))*V46</f>
        <v>1.0629094508774789E-3</v>
      </c>
      <c r="AN40" s="28">
        <v>1</v>
      </c>
      <c r="AO40" s="176">
        <f>((($W$39)^Q40)*((1-($W$39))^($U$33-Q40))*HLOOKUP($U$33,$AV$24:$BF$34,Q40+1))*V47</f>
        <v>1.9670570122149884E-4</v>
      </c>
      <c r="AP40" s="28">
        <v>1</v>
      </c>
      <c r="AQ40" s="176">
        <f>((($W$39)^Q40)*((1-($W$39))^($U$34-Q40))*HLOOKUP($U$34,$AV$24:$BF$34,Q40+1))*V48</f>
        <v>2.1452848980610094E-5</v>
      </c>
      <c r="AR40" s="28">
        <v>1</v>
      </c>
      <c r="AS40" s="176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173">
        <f>(($C$24)^M27)*((1-($C$24))^($B$21-M27))*HLOOKUP($B$21,$AV$24:$BF$34,M27+1)</f>
        <v>0.26159301842169036</v>
      </c>
      <c r="O41" s="72">
        <v>2</v>
      </c>
      <c r="P41" s="173">
        <f t="shared" si="30"/>
        <v>0.26159301842169036</v>
      </c>
      <c r="Q41" s="28">
        <v>2</v>
      </c>
      <c r="R41" s="174">
        <f>P41*N39+P40*N40+P39*N41</f>
        <v>1.8057838932088472E-2</v>
      </c>
      <c r="S41" s="72">
        <v>2</v>
      </c>
      <c r="T41" s="175">
        <f t="shared" si="33"/>
        <v>7.4625000000000011E-5</v>
      </c>
      <c r="U41" s="138">
        <v>2</v>
      </c>
      <c r="V41" s="86">
        <f>R41*T39+T40*R40+R39*T41</f>
        <v>1.7833975265218092E-2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8.071724342993929E-3</v>
      </c>
      <c r="AD41" s="28">
        <v>2</v>
      </c>
      <c r="AE41" s="176">
        <f>((($W$39)^M41)*((1-($W$39))^($U$28-M41))*HLOOKUP($U$28,$AV$24:$BF$34,M41+1))*V42</f>
        <v>2.7643240244263456E-2</v>
      </c>
      <c r="AF41" s="28">
        <v>2</v>
      </c>
      <c r="AG41" s="176">
        <f>((($W$39)^M41)*((1-($W$39))^($U$29-M41))*HLOOKUP($U$29,$AV$24:$BF$34,M41+1))*V43</f>
        <v>4.1438792875492375E-2</v>
      </c>
      <c r="AH41" s="28">
        <v>2</v>
      </c>
      <c r="AI41" s="176">
        <f>((($W$39)^M41)*((1-($W$39))^($U$30-M41))*HLOOKUP($U$30,$AV$24:$BF$34,M41+1))*V44</f>
        <v>3.5523254456813216E-2</v>
      </c>
      <c r="AJ41" s="28">
        <v>2</v>
      </c>
      <c r="AK41" s="176">
        <f>((($W$39)^M41)*((1-($W$39))^($U$31-M41))*HLOOKUP($U$31,$AV$24:$BF$34,M41+1))*V45</f>
        <v>1.9055389672022246E-2</v>
      </c>
      <c r="AL41" s="28">
        <v>2</v>
      </c>
      <c r="AM41" s="176">
        <f>((($W$39)^Q41)*((1-($W$39))^($U$32-Q41))*HLOOKUP($U$32,$AV$24:$BF$34,Q41+1))*V46</f>
        <v>6.5555328515216277E-3</v>
      </c>
      <c r="AN41" s="28">
        <v>2</v>
      </c>
      <c r="AO41" s="176">
        <f>((($W$39)^Q41)*((1-($W$39))^($U$33-Q41))*HLOOKUP($U$33,$AV$24:$BF$34,Q41+1))*V47</f>
        <v>1.4153878610609926E-3</v>
      </c>
      <c r="AP41" s="28">
        <v>2</v>
      </c>
      <c r="AQ41" s="176">
        <f>((($W$39)^Q41)*((1-($W$39))^($U$34-Q41))*HLOOKUP($U$34,$AV$24:$BF$34,Q41+1))*V48</f>
        <v>1.7641497261442347E-4</v>
      </c>
      <c r="AR41" s="28">
        <v>2</v>
      </c>
      <c r="AS41" s="176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173">
        <f>(($C$24)^M28)*((1-($C$24))^($B$21-M28))*HLOOKUP($B$21,$AV$24:$BF$34,M28+1)</f>
        <v>0.34160613955481417</v>
      </c>
      <c r="O42" s="72">
        <v>3</v>
      </c>
      <c r="P42" s="173">
        <f t="shared" si="30"/>
        <v>0.34160613955481417</v>
      </c>
      <c r="Q42" s="28">
        <v>3</v>
      </c>
      <c r="R42" s="174">
        <f>P42*N39+P41*N40+P40*N41+P39*N42</f>
        <v>6.2883111927188803E-2</v>
      </c>
      <c r="S42" s="72">
        <v>3</v>
      </c>
      <c r="T42" s="175">
        <f t="shared" si="33"/>
        <v>1.2500000000000002E-7</v>
      </c>
      <c r="U42" s="138">
        <v>3</v>
      </c>
      <c r="V42" s="86">
        <f>R42*T39+R41*T40+R40*T41+R39*T42</f>
        <v>6.2212968648501427E-2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1.8943410403102316E-2</v>
      </c>
      <c r="AF42" s="28">
        <v>3</v>
      </c>
      <c r="AG42" s="176">
        <f>((($W$39)^M42)*((1-($W$39))^($U$29-M42))*HLOOKUP($U$29,$AV$24:$BF$34,M42+1))*V43</f>
        <v>5.6794504053301519E-2</v>
      </c>
      <c r="AH42" s="28">
        <v>3</v>
      </c>
      <c r="AI42" s="176">
        <f>((($W$39)^M42)*((1-($W$39))^($U$30-M42))*HLOOKUP($U$30,$AV$24:$BF$34,M42+1))*V44</f>
        <v>7.3030323010222359E-2</v>
      </c>
      <c r="AJ42" s="28">
        <v>3</v>
      </c>
      <c r="AK42" s="176">
        <f>((($W$39)^M42)*((1-($W$39))^($U$31-M42))*HLOOKUP($U$31,$AV$24:$BF$34,M42+1))*V45</f>
        <v>5.2233249613067946E-2</v>
      </c>
      <c r="AL42" s="28">
        <v>3</v>
      </c>
      <c r="AM42" s="176">
        <f>((($W$39)^Q42)*((1-($W$39))^($U$32-Q42))*HLOOKUP($U$32,$AV$24:$BF$34,Q42+1))*V46</f>
        <v>2.2461937913223571E-2</v>
      </c>
      <c r="AN42" s="28">
        <v>3</v>
      </c>
      <c r="AO42" s="176">
        <f>((($W$39)^Q42)*((1-($W$39))^($U$33-Q42))*HLOOKUP($U$33,$AV$24:$BF$34,Q42+1))*V47</f>
        <v>5.8196375449607396E-3</v>
      </c>
      <c r="AP42" s="28">
        <v>3</v>
      </c>
      <c r="AQ42" s="176">
        <f>((($W$39)^Q42)*((1-($W$39))^($U$34-Q42))*HLOOKUP($U$34,$AV$24:$BF$34,Q42+1))*V48</f>
        <v>8.4625783322431431E-4</v>
      </c>
      <c r="AR42" s="28">
        <v>3</v>
      </c>
      <c r="AS42" s="176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173">
        <f>(($C$24)^M29)*((1-($C$24))^($B$21-M29))*HLOOKUP($B$21,$AV$24:$BF$34,M29+1)</f>
        <v>0.22304638572851768</v>
      </c>
      <c r="O43" s="72">
        <v>4</v>
      </c>
      <c r="P43" s="173">
        <f t="shared" si="30"/>
        <v>0.22304638572851768</v>
      </c>
      <c r="Q43" s="28">
        <v>4</v>
      </c>
      <c r="R43" s="174">
        <f>P43*N39+P42*N40+P41*N41+P40*N42+P39*N43</f>
        <v>0.14370490530263877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0.14249527737151696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2.9190181471552064E-2</v>
      </c>
      <c r="AH43" s="28">
        <v>4</v>
      </c>
      <c r="AI43" s="176">
        <f>((($W$39)^M43)*((1-($W$39))^($U$30-M43))*HLOOKUP($U$30,$AV$24:$BF$34,M43+1))*V44</f>
        <v>7.5069530657184538E-2</v>
      </c>
      <c r="AJ43" s="28">
        <v>4</v>
      </c>
      <c r="AK43" s="176">
        <f>((($W$39)^M43)*((1-($W$39))^($U$31-M43))*HLOOKUP($U$31,$AV$24:$BF$34,M43+1))*V45</f>
        <v>8.0537618584893569E-2</v>
      </c>
      <c r="AL43" s="28">
        <v>4</v>
      </c>
      <c r="AM43" s="176">
        <f>((($W$39)^Q43)*((1-($W$39))^($U$32-Q43))*HLOOKUP($U$32,$AV$24:$BF$34,Q43+1))*V46</f>
        <v>4.6178274100211414E-2</v>
      </c>
      <c r="AN43" s="28">
        <v>4</v>
      </c>
      <c r="AO43" s="176">
        <f>((($W$39)^Q43)*((1-($W$39))^($U$33-Q43))*HLOOKUP($U$33,$AV$24:$BF$34,Q43+1))*V47</f>
        <v>1.495534461192171E-2</v>
      </c>
      <c r="AP43" s="28">
        <v>4</v>
      </c>
      <c r="AQ43" s="176">
        <f>((($W$39)^Q43)*((1-($W$39))^($U$34-Q43))*HLOOKUP($U$34,$AV$24:$BF$34,Q43+1))*V48</f>
        <v>2.6096630441942419E-3</v>
      </c>
      <c r="AR43" s="28">
        <v>4</v>
      </c>
      <c r="AS43" s="176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173">
        <f>(($C$24)^M30)*((1-($C$24))^($B$21-M30))*HLOOKUP($B$21,$AV$24:$BF$34,M30+1)</f>
        <v>5.8253859548764761E-2</v>
      </c>
      <c r="O44" s="72">
        <v>5</v>
      </c>
      <c r="P44" s="173">
        <f t="shared" si="30"/>
        <v>5.8253859548764761E-2</v>
      </c>
      <c r="Q44" s="28">
        <v>5</v>
      </c>
      <c r="R44" s="174">
        <f>P44*N39+P43*N40+P42*N41+P41*N42+P40*N43+P39*N44</f>
        <v>0.22519168851696308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0.22396944105942745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3.0866271437967777E-2</v>
      </c>
      <c r="AJ44" s="28">
        <v>5</v>
      </c>
      <c r="AK44" s="176">
        <f>((($W$39)^M44)*((1-($W$39))^($U$31-M44))*HLOOKUP($U$31,$AV$24:$BF$34,M44+1))*V45</f>
        <v>6.622916047153761E-2</v>
      </c>
      <c r="AL44" s="28">
        <v>5</v>
      </c>
      <c r="AM44" s="176">
        <f>((($W$39)^Q44)*((1-($W$39))^($U$32-Q44))*HLOOKUP($U$32,$AV$24:$BF$34,Q44+1))*V46</f>
        <v>5.6961238352071258E-2</v>
      </c>
      <c r="AN44" s="28">
        <v>5</v>
      </c>
      <c r="AO44" s="176">
        <f>((($W$39)^Q44)*((1-($W$39))^($U$33-Q44))*HLOOKUP($U$33,$AV$24:$BF$34,Q44+1))*V47</f>
        <v>2.4596702401029083E-2</v>
      </c>
      <c r="AP44" s="28">
        <v>5</v>
      </c>
      <c r="AQ44" s="176">
        <f>((($W$39)^Q44)*((1-($W$39))^($U$34-Q44))*HLOOKUP($U$34,$AV$24:$BF$34,Q44+1))*V48</f>
        <v>5.3650640398684619E-3</v>
      </c>
      <c r="AR44" s="28">
        <v>5</v>
      </c>
      <c r="AS44" s="176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0.24505898462124065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0.24475636150370284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2.2692820313016934E-2</v>
      </c>
      <c r="AL45" s="28">
        <v>6</v>
      </c>
      <c r="AM45" s="176">
        <f>((($W$39)^Q45)*((1-($W$39))^($U$32-Q45))*HLOOKUP($U$32,$AV$24:$BF$34,Q45+1))*V46</f>
        <v>3.9034501948306884E-2</v>
      </c>
      <c r="AN45" s="28">
        <v>6</v>
      </c>
      <c r="AO45" s="176">
        <f>((($W$39)^Q45)*((1-($W$39))^($U$33-Q45))*HLOOKUP($U$33,$AV$24:$BF$34,Q45+1))*V47</f>
        <v>2.5283510038716935E-2</v>
      </c>
      <c r="AP45" s="28">
        <v>6</v>
      </c>
      <c r="AQ45" s="176">
        <f>((($W$39)^Q45)*((1-($W$39))^($U$34-Q45))*HLOOKUP($U$34,$AV$24:$BF$34,Q45+1))*V48</f>
        <v>7.3531618614966982E-3</v>
      </c>
      <c r="AR45" s="28">
        <v>6</v>
      </c>
      <c r="AS45" s="176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0.182865635448895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1.1464129340537029E-2</v>
      </c>
      <c r="AN46" s="28">
        <v>7</v>
      </c>
      <c r="AO46" s="176">
        <f>((($W$39)^Q46)*((1-($W$39))^($U$33-Q46))*HLOOKUP($U$33,$AV$24:$BF$34,Q46+1))*V47</f>
        <v>1.4851140134974345E-2</v>
      </c>
      <c r="AP46" s="28">
        <v>7</v>
      </c>
      <c r="AQ46" s="176">
        <f>((($W$39)^Q46)*((1-($W$39))^($U$34-Q46))*HLOOKUP($U$34,$AV$24:$BF$34,Q46+1))*V48</f>
        <v>6.4786991841527947E-3</v>
      </c>
      <c r="AR46" s="28">
        <v>7</v>
      </c>
      <c r="AS46" s="176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8.9549442335798451E-2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3.8164562119646778E-3</v>
      </c>
      <c r="AP47" s="28">
        <v>8</v>
      </c>
      <c r="AQ47" s="176">
        <f>((($W$39)^Q47)*((1-($W$39))^($U$34-Q47))*HLOOKUP($U$34,$AV$24:$BF$34,Q47+1))*V48</f>
        <v>3.329801149553713E-3</v>
      </c>
      <c r="AR47" s="28">
        <v>8</v>
      </c>
      <c r="AS47" s="176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2.5986625654177354E-2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7.6061741411094519E-4</v>
      </c>
      <c r="AR48" s="28">
        <v>9</v>
      </c>
      <c r="AS48" s="176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3.3935121523272112E-3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181"/>
      <c r="J50" s="181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181"/>
      <c r="X50" s="157"/>
      <c r="Y50" s="157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FE1-8912-4225-93E5-05C880448D21}">
  <sheetPr>
    <tabColor rgb="FFFF0000"/>
  </sheetPr>
  <dimension ref="A1:AF35"/>
  <sheetViews>
    <sheetView workbookViewId="0">
      <selection activeCell="W16" sqref="W16"/>
    </sheetView>
  </sheetViews>
  <sheetFormatPr baseColWidth="10" defaultRowHeight="15" x14ac:dyDescent="0.25"/>
  <cols>
    <col min="4" max="4" width="12.42578125" bestFit="1" customWidth="1"/>
    <col min="7" max="8" width="11.42578125" style="157"/>
    <col min="9" max="9" width="4.5703125" bestFit="1" customWidth="1"/>
    <col min="10" max="10" width="5.140625" bestFit="1" customWidth="1"/>
    <col min="11" max="13" width="4.5703125" style="157" bestFit="1" customWidth="1"/>
    <col min="14" max="14" width="4.7109375" style="157" customWidth="1"/>
    <col min="15" max="15" width="7.140625" bestFit="1" customWidth="1"/>
    <col min="16" max="16" width="5.28515625" bestFit="1" customWidth="1"/>
    <col min="17" max="18" width="6.28515625" bestFit="1" customWidth="1"/>
    <col min="19" max="19" width="12.42578125" style="157" bestFit="1" customWidth="1"/>
    <col min="20" max="22" width="6.28515625" bestFit="1" customWidth="1"/>
    <col min="23" max="25" width="8.42578125" bestFit="1" customWidth="1"/>
    <col min="26" max="27" width="7.5703125" bestFit="1" customWidth="1"/>
    <col min="28" max="29" width="7.140625" bestFit="1" customWidth="1"/>
  </cols>
  <sheetData>
    <row r="1" spans="1:32" x14ac:dyDescent="0.25">
      <c r="A1" s="208"/>
      <c r="B1" s="208"/>
      <c r="C1" s="208"/>
      <c r="D1" s="208"/>
      <c r="Q1" s="165"/>
      <c r="S1" s="165"/>
    </row>
    <row r="2" spans="1:32" x14ac:dyDescent="0.25">
      <c r="A2" s="220" t="s">
        <v>155</v>
      </c>
      <c r="B2" s="220" t="s">
        <v>156</v>
      </c>
      <c r="C2" s="220" t="s">
        <v>25</v>
      </c>
      <c r="D2" s="220" t="s">
        <v>157</v>
      </c>
      <c r="E2" s="260" t="s">
        <v>178</v>
      </c>
      <c r="I2" s="248">
        <v>1.5</v>
      </c>
      <c r="J2" s="248">
        <v>2.5</v>
      </c>
      <c r="K2" s="248">
        <v>3.5</v>
      </c>
      <c r="L2" s="184"/>
      <c r="M2" s="183"/>
      <c r="N2" s="185"/>
      <c r="O2" s="184"/>
      <c r="P2" s="184"/>
      <c r="Q2" s="184"/>
      <c r="R2" s="184">
        <f>COUNTIF(F18:G18,"JC")</f>
        <v>0</v>
      </c>
      <c r="S2" s="183"/>
      <c r="T2" s="184">
        <f>COUNTIF(J6:L6,"CAB")+COUNTIF(I5:M5,"CAB")</f>
        <v>2</v>
      </c>
      <c r="U2" s="263">
        <f>COUNTIF(J11:L11,"CAB")+COUNTIF(I10:M10,"CAB")</f>
        <v>0</v>
      </c>
      <c r="V2" s="262"/>
      <c r="W2" s="186"/>
      <c r="X2" s="186"/>
      <c r="Y2" s="183"/>
      <c r="Z2" s="31"/>
      <c r="AA2" s="31"/>
      <c r="AB2" s="31"/>
      <c r="AC2" s="31"/>
    </row>
    <row r="3" spans="1:32" ht="18.75" x14ac:dyDescent="0.3">
      <c r="A3" s="209">
        <v>5</v>
      </c>
      <c r="B3" s="209">
        <v>6</v>
      </c>
      <c r="C3" s="222">
        <v>0.45</v>
      </c>
      <c r="D3" s="209" t="s">
        <v>167</v>
      </c>
      <c r="E3" s="165">
        <f>C3/B3</f>
        <v>7.4999999999999997E-2</v>
      </c>
      <c r="I3" s="208"/>
      <c r="J3" s="208"/>
      <c r="K3" s="208"/>
      <c r="L3" s="208"/>
      <c r="M3" s="208"/>
      <c r="N3" s="208"/>
      <c r="O3" s="208"/>
      <c r="P3" s="208"/>
      <c r="Q3" s="208"/>
      <c r="R3" s="224">
        <f>SUM(R5:R16)</f>
        <v>3.5750000000000002</v>
      </c>
      <c r="S3" s="208"/>
      <c r="T3" s="210"/>
      <c r="U3" s="210"/>
      <c r="V3" s="166">
        <f>SUM(V5:V16)</f>
        <v>2.1</v>
      </c>
      <c r="W3" s="166">
        <f>SUM(W5:W16)</f>
        <v>3.5749999999999997</v>
      </c>
      <c r="X3" s="265">
        <f t="shared" ref="X3:Y3" si="0">SUM(X5:X16)</f>
        <v>2.1279761904761902</v>
      </c>
      <c r="Y3" s="266">
        <f t="shared" si="0"/>
        <v>0.35749999999999998</v>
      </c>
      <c r="Z3" s="31"/>
      <c r="AA3" s="31"/>
      <c r="AB3" s="31"/>
      <c r="AC3" s="31"/>
    </row>
    <row r="4" spans="1:32" x14ac:dyDescent="0.25">
      <c r="A4" s="209">
        <v>6</v>
      </c>
      <c r="B4" s="209">
        <v>8</v>
      </c>
      <c r="C4" s="222">
        <v>0.35</v>
      </c>
      <c r="D4" s="209" t="s">
        <v>168</v>
      </c>
      <c r="E4" s="165">
        <f t="shared" ref="E4:E14" si="1">C4/B4</f>
        <v>4.3749999999999997E-2</v>
      </c>
      <c r="I4" s="211"/>
      <c r="J4" s="212"/>
      <c r="K4" s="242" t="s">
        <v>151</v>
      </c>
      <c r="L4" s="211"/>
      <c r="M4" s="211"/>
      <c r="N4" s="208"/>
      <c r="O4" s="220" t="s">
        <v>155</v>
      </c>
      <c r="P4" s="220" t="s">
        <v>156</v>
      </c>
      <c r="Q4" s="220" t="s">
        <v>25</v>
      </c>
      <c r="R4" s="220" t="s">
        <v>25</v>
      </c>
      <c r="S4" s="220" t="s">
        <v>157</v>
      </c>
      <c r="T4" s="225" t="s">
        <v>158</v>
      </c>
      <c r="U4" s="227" t="s">
        <v>159</v>
      </c>
      <c r="V4" s="220" t="s">
        <v>25</v>
      </c>
      <c r="W4" s="220" t="s">
        <v>160</v>
      </c>
      <c r="X4" s="225" t="s">
        <v>161</v>
      </c>
      <c r="Y4" s="227" t="s">
        <v>162</v>
      </c>
      <c r="Z4" s="31"/>
      <c r="AA4" s="31"/>
      <c r="AB4" s="31"/>
      <c r="AC4" s="31"/>
    </row>
    <row r="5" spans="1:32" x14ac:dyDescent="0.25">
      <c r="A5" s="209">
        <v>8</v>
      </c>
      <c r="B5" s="209">
        <v>13</v>
      </c>
      <c r="C5" s="222">
        <v>0.45</v>
      </c>
      <c r="D5" s="209" t="s">
        <v>33</v>
      </c>
      <c r="E5" s="165">
        <f t="shared" si="1"/>
        <v>3.4615384615384617E-2</v>
      </c>
      <c r="I5" s="242" t="s">
        <v>151</v>
      </c>
      <c r="J5" s="242" t="s">
        <v>138</v>
      </c>
      <c r="K5" s="242" t="s">
        <v>151</v>
      </c>
      <c r="L5" s="242" t="s">
        <v>138</v>
      </c>
      <c r="M5" s="242" t="s">
        <v>151</v>
      </c>
      <c r="N5" s="208"/>
      <c r="O5" s="209">
        <v>5</v>
      </c>
      <c r="P5" s="209">
        <v>6</v>
      </c>
      <c r="Q5" s="222">
        <v>0.45</v>
      </c>
      <c r="R5" s="222">
        <f>IF($N$1=2,Q5*$G$1/$E$1,IF($N$1=1,Q5*$F$1/$E$1,Q5))</f>
        <v>0.45</v>
      </c>
      <c r="S5" s="209" t="s">
        <v>167</v>
      </c>
      <c r="T5" s="212">
        <f>COUNTIF(I4:M5,"IMP")</f>
        <v>0</v>
      </c>
      <c r="U5" s="214">
        <f>COUNTIF(I9:M10,"IMP")</f>
        <v>0</v>
      </c>
      <c r="V5" s="221">
        <f t="shared" ref="V5:V15" si="2">IF(T5+U5=0,0,R5)</f>
        <v>0</v>
      </c>
      <c r="W5" s="221">
        <f>V5*$R$3/$V$3</f>
        <v>0</v>
      </c>
      <c r="X5" s="226">
        <f>IF(W5=0,0,W5*(T5^2.7/(T5^2.7+U5^2.7))*T5/P5)</f>
        <v>0</v>
      </c>
      <c r="Y5" s="228">
        <f>IF(W5=0,0,W5*U5^2.7/(T5^2.7+U5^2.7)*U5/P5)</f>
        <v>0</v>
      </c>
      <c r="Z5" s="31"/>
      <c r="AA5" s="31"/>
      <c r="AB5" s="31"/>
      <c r="AC5" s="31"/>
    </row>
    <row r="6" spans="1:32" x14ac:dyDescent="0.25">
      <c r="A6" s="209">
        <v>9</v>
      </c>
      <c r="B6" s="209">
        <v>8</v>
      </c>
      <c r="C6" s="222">
        <v>0.02</v>
      </c>
      <c r="D6" s="209" t="s">
        <v>169</v>
      </c>
      <c r="E6" s="165">
        <f t="shared" si="1"/>
        <v>2.5000000000000001E-3</v>
      </c>
      <c r="I6" s="242" t="s">
        <v>1</v>
      </c>
      <c r="J6" s="242" t="s">
        <v>1</v>
      </c>
      <c r="K6" s="242" t="s">
        <v>1</v>
      </c>
      <c r="L6" s="242" t="s">
        <v>1</v>
      </c>
      <c r="M6" s="242" t="s">
        <v>1</v>
      </c>
      <c r="N6" s="208"/>
      <c r="O6" s="209">
        <v>6</v>
      </c>
      <c r="P6" s="209">
        <v>8</v>
      </c>
      <c r="Q6" s="222">
        <v>0.35</v>
      </c>
      <c r="R6" s="222">
        <f t="shared" ref="R6:R16" si="3">IF($N$1=2,Q6*$G$1/$E$1,IF($N$1=1,Q6*$F$1/$E$1,Q6))</f>
        <v>0.35</v>
      </c>
      <c r="S6" s="209" t="s">
        <v>168</v>
      </c>
      <c r="T6" s="212">
        <f>COUNTIF(I6:M7,"IMP")</f>
        <v>0</v>
      </c>
      <c r="U6" s="214">
        <f>COUNTIF(I11:M12,"IMP")</f>
        <v>0</v>
      </c>
      <c r="V6" s="221">
        <f t="shared" si="2"/>
        <v>0</v>
      </c>
      <c r="W6" s="221">
        <f t="shared" ref="W6:W16" si="4">V6*$R$3/$V$3</f>
        <v>0</v>
      </c>
      <c r="X6" s="226">
        <f t="shared" ref="X6:X10" si="5">IF(W6=0,0,W6*(T6^2.7/(T6^2.7+U6^2.7))*T6/P6)</f>
        <v>0</v>
      </c>
      <c r="Y6" s="228">
        <f t="shared" ref="Y6:Y10" si="6">IF(W6=0,0,W6*U6^2.7/(T6^2.7+U6^2.7)*U6/P6)</f>
        <v>0</v>
      </c>
      <c r="Z6" s="31"/>
      <c r="AA6" s="31"/>
      <c r="AB6" s="31"/>
      <c r="AC6" s="31"/>
    </row>
    <row r="7" spans="1:32" x14ac:dyDescent="0.25">
      <c r="A7" s="209">
        <v>15</v>
      </c>
      <c r="B7" s="209">
        <v>8</v>
      </c>
      <c r="C7" s="222">
        <v>0.5</v>
      </c>
      <c r="D7" s="209" t="s">
        <v>170</v>
      </c>
      <c r="E7" s="165">
        <f>C7/B7</f>
        <v>6.25E-2</v>
      </c>
      <c r="I7" s="211"/>
      <c r="J7" s="242" t="s">
        <v>1</v>
      </c>
      <c r="K7" s="242" t="s">
        <v>1</v>
      </c>
      <c r="L7" s="242" t="s">
        <v>1</v>
      </c>
      <c r="M7" s="211"/>
      <c r="N7" s="208"/>
      <c r="O7" s="209">
        <v>8</v>
      </c>
      <c r="P7" s="209">
        <v>13</v>
      </c>
      <c r="Q7" s="222">
        <v>0.45</v>
      </c>
      <c r="R7" s="222">
        <f t="shared" si="3"/>
        <v>0.45</v>
      </c>
      <c r="S7" s="209" t="s">
        <v>33</v>
      </c>
      <c r="T7" s="212">
        <f>COUNTIF(I5:M7,"IMP")</f>
        <v>0</v>
      </c>
      <c r="U7" s="214">
        <f>COUNTIF(I10:M12,"IMP")</f>
        <v>0</v>
      </c>
      <c r="V7" s="221">
        <f t="shared" si="2"/>
        <v>0</v>
      </c>
      <c r="W7" s="221">
        <f t="shared" si="4"/>
        <v>0</v>
      </c>
      <c r="X7" s="226">
        <f t="shared" si="5"/>
        <v>0</v>
      </c>
      <c r="Y7" s="228">
        <f t="shared" si="6"/>
        <v>0</v>
      </c>
      <c r="Z7" s="31"/>
      <c r="AA7" s="31"/>
      <c r="AB7" s="31"/>
      <c r="AC7" s="31"/>
    </row>
    <row r="8" spans="1:32" x14ac:dyDescent="0.25">
      <c r="A8" s="209">
        <v>16</v>
      </c>
      <c r="B8" s="209">
        <v>8</v>
      </c>
      <c r="C8" s="222">
        <v>0.5</v>
      </c>
      <c r="D8" s="209" t="s">
        <v>171</v>
      </c>
      <c r="E8" s="165">
        <f t="shared" si="1"/>
        <v>6.25E-2</v>
      </c>
      <c r="I8" s="210"/>
      <c r="J8" s="210"/>
      <c r="K8" s="210"/>
      <c r="L8" s="210"/>
      <c r="M8" s="210"/>
      <c r="N8" s="208"/>
      <c r="O8" s="209">
        <v>9</v>
      </c>
      <c r="P8" s="209">
        <v>8</v>
      </c>
      <c r="Q8" s="222">
        <v>0.02</v>
      </c>
      <c r="R8" s="222">
        <f t="shared" si="3"/>
        <v>0.02</v>
      </c>
      <c r="S8" s="209" t="s">
        <v>169</v>
      </c>
      <c r="T8" s="212">
        <f>COUNTIF(I10:M10,"IMP")+COUNTIF(J11:L11,"IMP")</f>
        <v>0</v>
      </c>
      <c r="U8" s="214">
        <f>COUNTIF(I5:M5,"IMP")+COUNTIF(J6:L6,"IMP")</f>
        <v>0</v>
      </c>
      <c r="V8" s="221">
        <f t="shared" si="2"/>
        <v>0</v>
      </c>
      <c r="W8" s="221">
        <f t="shared" si="4"/>
        <v>0</v>
      </c>
      <c r="X8" s="226">
        <f t="shared" si="5"/>
        <v>0</v>
      </c>
      <c r="Y8" s="228">
        <f t="shared" si="6"/>
        <v>0</v>
      </c>
      <c r="Z8" s="31"/>
      <c r="AA8" s="31"/>
      <c r="AB8" s="31"/>
      <c r="AC8" s="31"/>
    </row>
    <row r="9" spans="1:32" x14ac:dyDescent="0.25">
      <c r="A9" s="209">
        <v>18</v>
      </c>
      <c r="B9" s="209" t="s">
        <v>172</v>
      </c>
      <c r="C9" s="222">
        <v>0.15</v>
      </c>
      <c r="D9" s="209" t="s">
        <v>173</v>
      </c>
      <c r="E9" s="165"/>
      <c r="I9" s="213"/>
      <c r="J9" s="214"/>
      <c r="K9" s="243" t="s">
        <v>151</v>
      </c>
      <c r="L9" s="213"/>
      <c r="M9" s="213"/>
      <c r="N9" s="208"/>
      <c r="O9" s="209">
        <v>15</v>
      </c>
      <c r="P9" s="209">
        <v>8</v>
      </c>
      <c r="Q9" s="222">
        <v>0.5</v>
      </c>
      <c r="R9" s="222">
        <f t="shared" si="3"/>
        <v>0.5</v>
      </c>
      <c r="S9" s="209" t="s">
        <v>170</v>
      </c>
      <c r="T9" s="212">
        <f>COUNTIF(I6:M7,"RAP")</f>
        <v>8</v>
      </c>
      <c r="U9" s="214">
        <f>COUNTIF(I11:M12,"RAP")</f>
        <v>0</v>
      </c>
      <c r="V9" s="221">
        <f t="shared" si="2"/>
        <v>0.5</v>
      </c>
      <c r="W9" s="221">
        <f t="shared" si="4"/>
        <v>0.85119047619047616</v>
      </c>
      <c r="X9" s="226">
        <f t="shared" si="5"/>
        <v>0.85119047619047616</v>
      </c>
      <c r="Y9" s="228">
        <f t="shared" si="6"/>
        <v>0</v>
      </c>
      <c r="Z9" s="31"/>
      <c r="AA9" s="31"/>
      <c r="AB9" s="31"/>
      <c r="AC9" s="31"/>
      <c r="AD9" s="264"/>
      <c r="AE9" s="264"/>
    </row>
    <row r="10" spans="1:32" x14ac:dyDescent="0.25">
      <c r="A10" s="209">
        <v>19</v>
      </c>
      <c r="B10" s="209" t="s">
        <v>172</v>
      </c>
      <c r="C10" s="222">
        <v>0.23</v>
      </c>
      <c r="D10" s="209" t="s">
        <v>174</v>
      </c>
      <c r="E10" s="165"/>
      <c r="I10" s="243" t="s">
        <v>151</v>
      </c>
      <c r="J10" s="243" t="s">
        <v>151</v>
      </c>
      <c r="K10" s="243" t="s">
        <v>151</v>
      </c>
      <c r="L10" s="243" t="s">
        <v>151</v>
      </c>
      <c r="M10" s="243" t="s">
        <v>151</v>
      </c>
      <c r="N10" s="208"/>
      <c r="O10" s="209">
        <v>16</v>
      </c>
      <c r="P10" s="209">
        <v>8</v>
      </c>
      <c r="Q10" s="222">
        <v>0.5</v>
      </c>
      <c r="R10" s="222">
        <f t="shared" si="3"/>
        <v>0.5</v>
      </c>
      <c r="S10" s="209" t="s">
        <v>171</v>
      </c>
      <c r="T10" s="212">
        <f>COUNTIF(I6:M7,"RAP")</f>
        <v>8</v>
      </c>
      <c r="U10" s="214">
        <f>COUNTIF(I11:M12,"RAP")</f>
        <v>0</v>
      </c>
      <c r="V10" s="221">
        <f t="shared" si="2"/>
        <v>0.5</v>
      </c>
      <c r="W10" s="221">
        <f t="shared" si="4"/>
        <v>0.85119047619047616</v>
      </c>
      <c r="X10" s="226">
        <f t="shared" si="5"/>
        <v>0.85119047619047616</v>
      </c>
      <c r="Y10" s="228">
        <f t="shared" si="6"/>
        <v>0</v>
      </c>
      <c r="Z10" s="31"/>
      <c r="AA10" s="31"/>
      <c r="AB10" s="31"/>
      <c r="AC10" s="31"/>
      <c r="AD10" s="264"/>
      <c r="AE10" s="264"/>
    </row>
    <row r="11" spans="1:32" x14ac:dyDescent="0.25">
      <c r="A11" s="209">
        <v>25</v>
      </c>
      <c r="B11" s="209">
        <v>5</v>
      </c>
      <c r="C11" s="222">
        <v>2.5000000000000001E-2</v>
      </c>
      <c r="D11" s="209" t="s">
        <v>38</v>
      </c>
      <c r="E11" s="165">
        <f t="shared" si="1"/>
        <v>5.0000000000000001E-3</v>
      </c>
      <c r="I11" s="243" t="s">
        <v>151</v>
      </c>
      <c r="J11" s="243" t="s">
        <v>2</v>
      </c>
      <c r="K11" s="243" t="s">
        <v>151</v>
      </c>
      <c r="L11" s="243" t="s">
        <v>151</v>
      </c>
      <c r="M11" s="243" t="s">
        <v>151</v>
      </c>
      <c r="N11" s="208"/>
      <c r="O11" s="209">
        <v>18</v>
      </c>
      <c r="P11" s="209" t="s">
        <v>172</v>
      </c>
      <c r="Q11" s="222">
        <v>0.15</v>
      </c>
      <c r="R11" s="222">
        <f t="shared" si="3"/>
        <v>0.15</v>
      </c>
      <c r="S11" s="209" t="s">
        <v>173</v>
      </c>
      <c r="T11" s="212">
        <v>1</v>
      </c>
      <c r="U11" s="214">
        <v>1</v>
      </c>
      <c r="V11" s="221">
        <f t="shared" si="2"/>
        <v>0.15</v>
      </c>
      <c r="W11" s="221">
        <f t="shared" si="4"/>
        <v>0.25535714285714284</v>
      </c>
      <c r="X11" s="226">
        <f>W11*K14</f>
        <v>0.12767857142857142</v>
      </c>
      <c r="Y11" s="228">
        <f>W11*K15</f>
        <v>0.12767857142857142</v>
      </c>
      <c r="Z11" s="31"/>
      <c r="AA11" s="31"/>
      <c r="AB11" s="31"/>
      <c r="AC11" s="31"/>
      <c r="AD11" s="264"/>
      <c r="AE11" s="264"/>
      <c r="AF11" s="264"/>
    </row>
    <row r="12" spans="1:32" x14ac:dyDescent="0.25">
      <c r="A12" s="209">
        <v>37</v>
      </c>
      <c r="B12" s="209">
        <v>2</v>
      </c>
      <c r="C12" s="222">
        <v>0.18</v>
      </c>
      <c r="D12" s="209" t="s">
        <v>175</v>
      </c>
      <c r="E12" s="165">
        <f t="shared" si="1"/>
        <v>0.09</v>
      </c>
      <c r="I12" s="213"/>
      <c r="J12" s="243" t="s">
        <v>151</v>
      </c>
      <c r="K12" s="243" t="s">
        <v>151</v>
      </c>
      <c r="L12" s="243" t="s">
        <v>151</v>
      </c>
      <c r="M12" s="213"/>
      <c r="N12" s="208"/>
      <c r="O12" s="209">
        <v>19</v>
      </c>
      <c r="P12" s="209" t="s">
        <v>172</v>
      </c>
      <c r="Q12" s="222">
        <v>0.23</v>
      </c>
      <c r="R12" s="222">
        <f t="shared" si="3"/>
        <v>0.23</v>
      </c>
      <c r="S12" s="209" t="s">
        <v>174</v>
      </c>
      <c r="T12" s="212">
        <f>COUNTIF(I5:M7,"CAB")</f>
        <v>2</v>
      </c>
      <c r="U12" s="214">
        <f>COUNTIF(I10:M12,"CAB")</f>
        <v>0</v>
      </c>
      <c r="V12" s="221">
        <f t="shared" si="2"/>
        <v>0.23</v>
      </c>
      <c r="W12" s="221">
        <f t="shared" si="4"/>
        <v>0.39154761904761903</v>
      </c>
      <c r="X12" s="226">
        <f>IF(T12&gt;0,W12*K14,0)</f>
        <v>0.19577380952380952</v>
      </c>
      <c r="Y12" s="228">
        <f>IF(U12&gt;0,W12*K15,0)</f>
        <v>0</v>
      </c>
      <c r="Z12" s="31"/>
      <c r="AA12" s="31"/>
      <c r="AB12" s="31"/>
      <c r="AC12" s="31"/>
      <c r="AD12" s="166"/>
      <c r="AE12" s="166"/>
    </row>
    <row r="13" spans="1:32" x14ac:dyDescent="0.25">
      <c r="A13" s="209">
        <v>38</v>
      </c>
      <c r="B13" s="209">
        <v>2</v>
      </c>
      <c r="C13" s="222">
        <v>0.12</v>
      </c>
      <c r="D13" s="209" t="s">
        <v>176</v>
      </c>
      <c r="E13" s="165">
        <f t="shared" si="1"/>
        <v>0.06</v>
      </c>
      <c r="I13" s="210"/>
      <c r="J13" s="210"/>
      <c r="K13" s="210"/>
      <c r="L13" s="210"/>
      <c r="M13" s="210"/>
      <c r="N13" s="208"/>
      <c r="O13" s="209">
        <v>25</v>
      </c>
      <c r="P13" s="209">
        <v>5</v>
      </c>
      <c r="Q13" s="222">
        <v>2.5000000000000001E-2</v>
      </c>
      <c r="R13" s="222">
        <f t="shared" si="3"/>
        <v>2.5000000000000001E-2</v>
      </c>
      <c r="S13" s="209" t="s">
        <v>38</v>
      </c>
      <c r="T13" s="212">
        <f>COUNTIF(J7:L7,"IMP")+COUNTIF(I6,"IMP")+COUNTIF(M6,"IMP")</f>
        <v>0</v>
      </c>
      <c r="U13" s="214">
        <f>COUNTIF(J12:L12,"IMP")+COUNTIF(I11,"IMP")+COUNTIF(M11,"IMP")</f>
        <v>0</v>
      </c>
      <c r="V13" s="221">
        <f t="shared" si="2"/>
        <v>0</v>
      </c>
      <c r="W13" s="221">
        <f t="shared" si="4"/>
        <v>0</v>
      </c>
      <c r="X13" s="226">
        <f t="shared" ref="X13" si="7">IF(W13=0,0,W13*(T13^2.7/(T13^2.7+U13^2.7))*T13/P13)</f>
        <v>0</v>
      </c>
      <c r="Y13" s="228">
        <f>IF(W13=0,0,W13*U13^2.7/(T13^2.7+U13^2.7)*U13/P13)</f>
        <v>0</v>
      </c>
      <c r="Z13" s="31"/>
      <c r="AA13" s="31"/>
      <c r="AB13" s="31"/>
      <c r="AC13" s="31"/>
    </row>
    <row r="14" spans="1:32" x14ac:dyDescent="0.25">
      <c r="A14" s="209">
        <v>39</v>
      </c>
      <c r="B14" s="209">
        <v>8</v>
      </c>
      <c r="C14" s="222">
        <v>0.6</v>
      </c>
      <c r="D14" s="209" t="s">
        <v>177</v>
      </c>
      <c r="E14" s="165">
        <f t="shared" si="1"/>
        <v>7.4999999999999997E-2</v>
      </c>
      <c r="I14" s="210"/>
      <c r="J14" s="210" t="s">
        <v>152</v>
      </c>
      <c r="K14" s="217">
        <v>0.5</v>
      </c>
      <c r="L14" s="210"/>
      <c r="M14" s="210"/>
      <c r="N14" s="208"/>
      <c r="O14" s="209">
        <v>37</v>
      </c>
      <c r="P14" s="209">
        <v>2</v>
      </c>
      <c r="Q14" s="222">
        <v>0.18</v>
      </c>
      <c r="R14" s="222">
        <f t="shared" si="3"/>
        <v>0.18</v>
      </c>
      <c r="S14" s="209" t="s">
        <v>175</v>
      </c>
      <c r="T14" s="212">
        <f>COUNTIF(I6:M7,"CAB")</f>
        <v>0</v>
      </c>
      <c r="U14" s="214">
        <f>COUNTIF(I11:M12,"CAB")</f>
        <v>0</v>
      </c>
      <c r="V14" s="221">
        <f t="shared" si="2"/>
        <v>0</v>
      </c>
      <c r="W14" s="221">
        <f t="shared" si="4"/>
        <v>0</v>
      </c>
      <c r="X14" s="226">
        <f>IF((U14+T14)=0,0,W14*T14^2.7/(U14^2.7+T14^2.7))</f>
        <v>0</v>
      </c>
      <c r="Y14" s="228">
        <f>IF(T14+U14=0,0,W14*U14^2.7/(U14^2.7+T14^2.7))</f>
        <v>0</v>
      </c>
      <c r="Z14" s="31"/>
      <c r="AA14" s="31"/>
      <c r="AB14" s="31"/>
      <c r="AC14" s="31"/>
    </row>
    <row r="15" spans="1:32" x14ac:dyDescent="0.25">
      <c r="I15" s="210"/>
      <c r="J15" s="210" t="s">
        <v>153</v>
      </c>
      <c r="K15" s="215">
        <v>0.5</v>
      </c>
      <c r="L15" s="210"/>
      <c r="M15" s="210"/>
      <c r="N15" s="208"/>
      <c r="O15" s="209">
        <v>38</v>
      </c>
      <c r="P15" s="209">
        <v>2</v>
      </c>
      <c r="Q15" s="222">
        <v>0.12</v>
      </c>
      <c r="R15" s="222">
        <f t="shared" si="3"/>
        <v>0.12</v>
      </c>
      <c r="S15" s="209" t="s">
        <v>176</v>
      </c>
      <c r="T15" s="212">
        <f>COUNTA(I6,M6)</f>
        <v>2</v>
      </c>
      <c r="U15" s="214">
        <f>COUNTA(I11,M11)</f>
        <v>2</v>
      </c>
      <c r="V15" s="221">
        <f t="shared" si="2"/>
        <v>0.12</v>
      </c>
      <c r="W15" s="221">
        <f t="shared" si="4"/>
        <v>0.20428571428571426</v>
      </c>
      <c r="X15" s="226">
        <f>W15*T15^2.7/(U15^2.7+T15^2.7)</f>
        <v>0.10214285714285713</v>
      </c>
      <c r="Y15" s="228">
        <f>W15*U15^2.7/(U15^2.7+T15^2.7)</f>
        <v>0.10214285714285713</v>
      </c>
      <c r="Z15" s="31"/>
      <c r="AA15" s="31"/>
      <c r="AB15" s="31"/>
      <c r="AC15" s="31"/>
    </row>
    <row r="16" spans="1:32" s="14" customFormat="1" x14ac:dyDescent="0.25">
      <c r="A16" s="259"/>
      <c r="B16" s="259"/>
      <c r="C16" s="259"/>
      <c r="D16" s="259" t="s">
        <v>27</v>
      </c>
      <c r="E16" s="259"/>
      <c r="F16" s="259"/>
      <c r="G16" s="259"/>
      <c r="H16" s="259"/>
      <c r="I16" s="210"/>
      <c r="J16" s="210"/>
      <c r="K16" s="210"/>
      <c r="L16" s="210"/>
      <c r="M16" s="210"/>
      <c r="N16" s="208"/>
      <c r="O16" s="209">
        <v>39</v>
      </c>
      <c r="P16" s="209">
        <v>8</v>
      </c>
      <c r="Q16" s="222">
        <v>0.6</v>
      </c>
      <c r="R16" s="222">
        <f t="shared" si="3"/>
        <v>0.6</v>
      </c>
      <c r="S16" s="209" t="s">
        <v>177</v>
      </c>
      <c r="T16" s="212">
        <f>COUNTIF(I6:M7,"TEC")</f>
        <v>0</v>
      </c>
      <c r="U16" s="214">
        <f>COUNTIF(I11:M12,"TEC")</f>
        <v>1</v>
      </c>
      <c r="V16" s="221">
        <f>IF(T16&lt;&gt;0,IF(U2&lt;&gt;0,Q16,IF(U16&lt;&gt;0,IF(T2&lt;&gt;0,Q16,0),0)),IF(U16&lt;&gt;0,IF(T2&lt;&gt;0,Q16,0),0))</f>
        <v>0.6</v>
      </c>
      <c r="W16" s="221">
        <f t="shared" si="4"/>
        <v>1.0214285714285714</v>
      </c>
      <c r="X16" s="226">
        <f>IF(T16&lt;&gt;0,IF(U2&lt;&gt;0,IF(U16&lt;&gt;0,IF(T2&lt;&gt;0,W16*T16^2.7/(T16^2.7+U16^2.7)*T16/P16,W16*T16/P16),W16*T16/P16),0),0)</f>
        <v>0</v>
      </c>
      <c r="Y16" s="228">
        <f>IF(U16&lt;&gt;0,IF(T2&lt;&gt;0,IF(T16&lt;&gt;0,IF(U2&lt;&gt;0,W16*U16^2.7/(T16^2.7+U16^2.7)*U16/P16,W16*U16/P16),W16*U16/P16),0),0)</f>
        <v>0.12767857142857142</v>
      </c>
      <c r="Z16" s="31"/>
      <c r="AA16" s="31"/>
      <c r="AB16" s="31"/>
      <c r="AC16" s="31"/>
    </row>
    <row r="17" spans="1:29" x14ac:dyDescent="0.25">
      <c r="A17" s="259"/>
      <c r="B17" s="157"/>
      <c r="C17" s="157" t="s">
        <v>33</v>
      </c>
      <c r="D17" s="165">
        <f>E3</f>
        <v>7.4999999999999997E-2</v>
      </c>
      <c r="E17" s="157"/>
      <c r="F17" s="157"/>
      <c r="Z17" s="31"/>
      <c r="AA17" s="31"/>
      <c r="AB17" s="31"/>
      <c r="AC17" s="31"/>
    </row>
    <row r="18" spans="1:29" x14ac:dyDescent="0.25">
      <c r="A18" s="259"/>
      <c r="B18" s="157" t="s">
        <v>179</v>
      </c>
      <c r="C18" s="157" t="s">
        <v>180</v>
      </c>
      <c r="D18" s="157" t="s">
        <v>180</v>
      </c>
      <c r="E18" s="157" t="s">
        <v>180</v>
      </c>
      <c r="F18" s="157" t="s">
        <v>179</v>
      </c>
    </row>
    <row r="19" spans="1:29" x14ac:dyDescent="0.25">
      <c r="A19" s="259" t="s">
        <v>33</v>
      </c>
      <c r="B19" s="165">
        <f>E3+E5</f>
        <v>0.10961538461538461</v>
      </c>
      <c r="C19" s="165">
        <f>B19</f>
        <v>0.10961538461538461</v>
      </c>
      <c r="D19" s="165">
        <f t="shared" ref="D19:F19" si="8">C19</f>
        <v>0.10961538461538461</v>
      </c>
      <c r="E19" s="165">
        <f t="shared" si="8"/>
        <v>0.10961538461538461</v>
      </c>
      <c r="F19" s="165">
        <f t="shared" si="8"/>
        <v>0.10961538461538461</v>
      </c>
    </row>
    <row r="20" spans="1:29" x14ac:dyDescent="0.25">
      <c r="A20" s="259" t="s">
        <v>1</v>
      </c>
      <c r="B20" s="157">
        <v>0</v>
      </c>
      <c r="C20" s="157">
        <v>0</v>
      </c>
      <c r="D20" s="157">
        <v>0</v>
      </c>
      <c r="E20" s="157">
        <v>0</v>
      </c>
      <c r="F20" s="157">
        <v>0</v>
      </c>
    </row>
    <row r="21" spans="1:29" x14ac:dyDescent="0.25">
      <c r="A21" s="259" t="s">
        <v>2</v>
      </c>
      <c r="B21" s="157">
        <v>1.7000000000000001E-2</v>
      </c>
      <c r="C21" s="157">
        <v>1.7000000000000001E-2</v>
      </c>
      <c r="D21" s="157">
        <v>1.7000000000000001E-2</v>
      </c>
      <c r="E21" s="157">
        <v>1.7000000000000001E-2</v>
      </c>
      <c r="F21" s="157">
        <v>1.7000000000000001E-2</v>
      </c>
    </row>
    <row r="22" spans="1:29" x14ac:dyDescent="0.25">
      <c r="A22" s="259" t="s">
        <v>6</v>
      </c>
      <c r="B22" s="157">
        <v>0</v>
      </c>
      <c r="C22" s="157">
        <v>0</v>
      </c>
      <c r="D22" s="157">
        <v>0</v>
      </c>
      <c r="E22" s="157">
        <v>0</v>
      </c>
      <c r="F22" s="157">
        <v>0</v>
      </c>
    </row>
    <row r="23" spans="1:29" x14ac:dyDescent="0.25">
      <c r="A23" s="259" t="s">
        <v>138</v>
      </c>
      <c r="B23" s="261">
        <v>0</v>
      </c>
      <c r="C23" s="157">
        <v>0</v>
      </c>
      <c r="D23" s="157">
        <v>0</v>
      </c>
      <c r="E23" s="157">
        <v>0</v>
      </c>
      <c r="F23" s="157">
        <v>0</v>
      </c>
    </row>
    <row r="24" spans="1:29" s="14" customFormat="1" x14ac:dyDescent="0.25">
      <c r="A24" s="259"/>
      <c r="B24" s="259" t="s">
        <v>59</v>
      </c>
      <c r="C24" s="259" t="s">
        <v>181</v>
      </c>
      <c r="D24" s="259" t="s">
        <v>181</v>
      </c>
      <c r="E24" s="259" t="s">
        <v>181</v>
      </c>
      <c r="F24" s="259" t="s">
        <v>59</v>
      </c>
      <c r="G24" s="259"/>
      <c r="H24" s="259"/>
      <c r="K24" s="259"/>
      <c r="L24" s="259"/>
      <c r="M24" s="259"/>
      <c r="N24" s="259"/>
      <c r="S24" s="259"/>
    </row>
    <row r="25" spans="1:29" x14ac:dyDescent="0.25">
      <c r="A25" s="259" t="s">
        <v>33</v>
      </c>
      <c r="B25" s="165">
        <f>E4+E5-E6-E11</f>
        <v>7.0865384615384608E-2</v>
      </c>
      <c r="C25" s="165">
        <f>E4+E5-E6</f>
        <v>7.5865384615384612E-2</v>
      </c>
      <c r="D25" s="165">
        <f>C25</f>
        <v>7.5865384615384612E-2</v>
      </c>
      <c r="E25" s="165">
        <f>D25</f>
        <v>7.5865384615384612E-2</v>
      </c>
      <c r="F25" s="165">
        <f>B25</f>
        <v>7.0865384615384608E-2</v>
      </c>
    </row>
    <row r="26" spans="1:29" x14ac:dyDescent="0.25">
      <c r="A26" s="259" t="s">
        <v>1</v>
      </c>
      <c r="B26" s="165">
        <f>E7+E8</f>
        <v>0.125</v>
      </c>
      <c r="C26" s="165">
        <f>B26</f>
        <v>0.125</v>
      </c>
      <c r="D26" s="165">
        <f t="shared" ref="D26:F26" si="9">C26</f>
        <v>0.125</v>
      </c>
      <c r="E26" s="165">
        <f t="shared" si="9"/>
        <v>0.125</v>
      </c>
      <c r="F26" s="165">
        <f t="shared" si="9"/>
        <v>0.125</v>
      </c>
    </row>
    <row r="27" spans="1:29" x14ac:dyDescent="0.25">
      <c r="A27" s="259" t="s">
        <v>2</v>
      </c>
      <c r="B27" s="165">
        <f>E14</f>
        <v>7.4999999999999997E-2</v>
      </c>
      <c r="C27" s="165">
        <f>B27</f>
        <v>7.4999999999999997E-2</v>
      </c>
      <c r="D27" s="165">
        <f t="shared" ref="D27:F27" si="10">C27</f>
        <v>7.4999999999999997E-2</v>
      </c>
      <c r="E27" s="165">
        <f t="shared" si="10"/>
        <v>7.4999999999999997E-2</v>
      </c>
      <c r="F27" s="165">
        <f t="shared" si="10"/>
        <v>7.4999999999999997E-2</v>
      </c>
    </row>
    <row r="28" spans="1:29" x14ac:dyDescent="0.25">
      <c r="A28" s="259" t="s">
        <v>6</v>
      </c>
      <c r="B28" s="157">
        <v>0</v>
      </c>
      <c r="C28" s="157">
        <v>0.1</v>
      </c>
      <c r="D28" s="157">
        <v>0.1</v>
      </c>
      <c r="E28" s="157">
        <v>0.1</v>
      </c>
      <c r="F28" s="157">
        <v>0</v>
      </c>
    </row>
    <row r="29" spans="1:29" x14ac:dyDescent="0.25">
      <c r="A29" s="259" t="s">
        <v>138</v>
      </c>
      <c r="B29" s="157">
        <v>0</v>
      </c>
      <c r="C29" s="157">
        <v>0</v>
      </c>
      <c r="D29" s="157">
        <v>0</v>
      </c>
      <c r="E29" s="157">
        <v>0</v>
      </c>
      <c r="F29" s="157">
        <v>0</v>
      </c>
    </row>
    <row r="30" spans="1:29" s="14" customFormat="1" x14ac:dyDescent="0.25">
      <c r="A30" s="259"/>
      <c r="B30" s="259"/>
      <c r="C30" s="259" t="s">
        <v>182</v>
      </c>
      <c r="D30" s="259" t="s">
        <v>182</v>
      </c>
      <c r="E30" s="259" t="s">
        <v>182</v>
      </c>
      <c r="F30" s="259"/>
      <c r="G30" s="259"/>
      <c r="H30" s="259"/>
      <c r="K30" s="259"/>
      <c r="L30" s="259"/>
      <c r="M30" s="259"/>
      <c r="N30" s="259"/>
      <c r="S30" s="259"/>
    </row>
    <row r="31" spans="1:29" x14ac:dyDescent="0.25">
      <c r="A31" s="259"/>
      <c r="B31" s="259" t="s">
        <v>33</v>
      </c>
      <c r="C31" s="165">
        <f>B25</f>
        <v>7.0865384615384608E-2</v>
      </c>
      <c r="D31" s="165">
        <f t="shared" ref="D31:E33" si="11">C31</f>
        <v>7.0865384615384608E-2</v>
      </c>
      <c r="E31" s="165">
        <f t="shared" si="11"/>
        <v>7.0865384615384608E-2</v>
      </c>
      <c r="F31" s="157"/>
    </row>
    <row r="32" spans="1:29" x14ac:dyDescent="0.25">
      <c r="A32" s="259"/>
      <c r="B32" s="259" t="s">
        <v>1</v>
      </c>
      <c r="C32" s="165">
        <f>B26</f>
        <v>0.125</v>
      </c>
      <c r="D32" s="165">
        <f t="shared" si="11"/>
        <v>0.125</v>
      </c>
      <c r="E32" s="165">
        <f t="shared" si="11"/>
        <v>0.125</v>
      </c>
      <c r="F32" s="157"/>
    </row>
    <row r="33" spans="1:6" x14ac:dyDescent="0.25">
      <c r="A33" s="259"/>
      <c r="B33" s="259" t="s">
        <v>2</v>
      </c>
      <c r="C33" s="165">
        <f>B27</f>
        <v>7.4999999999999997E-2</v>
      </c>
      <c r="D33" s="165">
        <f t="shared" si="11"/>
        <v>7.4999999999999997E-2</v>
      </c>
      <c r="E33" s="165">
        <f t="shared" si="11"/>
        <v>7.4999999999999997E-2</v>
      </c>
      <c r="F33" s="157"/>
    </row>
    <row r="34" spans="1:6" x14ac:dyDescent="0.25">
      <c r="A34" s="259"/>
      <c r="B34" s="259" t="s">
        <v>6</v>
      </c>
      <c r="C34" s="157">
        <v>0.1</v>
      </c>
      <c r="D34" s="157">
        <v>0.1</v>
      </c>
      <c r="E34" s="157">
        <v>0.1</v>
      </c>
      <c r="F34" s="157"/>
    </row>
    <row r="35" spans="1:6" x14ac:dyDescent="0.25">
      <c r="A35" s="259"/>
      <c r="B35" s="259" t="s">
        <v>138</v>
      </c>
      <c r="C35" s="157">
        <v>0</v>
      </c>
      <c r="D35" s="157">
        <v>0</v>
      </c>
      <c r="E35" s="157">
        <v>0</v>
      </c>
      <c r="F35" s="157"/>
    </row>
  </sheetData>
  <conditionalFormatting sqref="E3:E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{9A98574C-BE55-4ED2-849F-3C79D730A6E2}</x14:id>
        </ext>
      </extLst>
    </cfRule>
  </conditionalFormatting>
  <conditionalFormatting sqref="B19:F23 B25:F29 C31:E35 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{588FECE8-0AE6-4D14-AE63-B550E0F473E6}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8574C-BE55-4ED2-849F-3C79D730A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588FECE8-0AE6-4D14-AE63-B550E0F47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B19:F23 B25:F29 C31:E35 D17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137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286" t="s">
        <v>146</v>
      </c>
      <c r="Q1" s="286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139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144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287" t="s">
        <v>150</v>
      </c>
      <c r="C3" s="287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140</v>
      </c>
      <c r="Q3" t="s">
        <v>8</v>
      </c>
      <c r="R3" s="16" t="s">
        <v>141</v>
      </c>
      <c r="Y3" t="s">
        <v>7</v>
      </c>
      <c r="Z3" s="19" t="s">
        <v>140</v>
      </c>
      <c r="AA3" t="s">
        <v>8</v>
      </c>
      <c r="AB3" s="19" t="s">
        <v>141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147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148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149</v>
      </c>
      <c r="B5" s="154">
        <v>352</v>
      </c>
      <c r="C5" s="154">
        <v>352</v>
      </c>
      <c r="E5" s="50" t="s">
        <v>27</v>
      </c>
      <c r="F5" s="10" t="s">
        <v>28</v>
      </c>
      <c r="G5" s="10">
        <v>12</v>
      </c>
      <c r="H5" s="10"/>
      <c r="I5" s="10"/>
      <c r="J5" s="11" t="s">
        <v>28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29</v>
      </c>
      <c r="X5" s="15" t="s">
        <v>30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31</v>
      </c>
      <c r="B6" s="3"/>
      <c r="C6" s="4"/>
      <c r="E6" s="50" t="s">
        <v>32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34</v>
      </c>
      <c r="X6" s="15" t="s">
        <v>35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36</v>
      </c>
      <c r="B7" s="3"/>
      <c r="C7" s="4"/>
      <c r="E7" s="50" t="s">
        <v>37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142</v>
      </c>
      <c r="X7" s="15" t="s">
        <v>143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39</v>
      </c>
      <c r="B8" s="3"/>
      <c r="C8" s="4"/>
      <c r="E8" s="50" t="s">
        <v>37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40</v>
      </c>
      <c r="X8" s="15" t="s">
        <v>41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42</v>
      </c>
      <c r="B9" s="3"/>
      <c r="C9" s="4"/>
      <c r="E9" s="50" t="s">
        <v>37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43</v>
      </c>
      <c r="X9" s="15" t="s">
        <v>44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45</v>
      </c>
      <c r="B10" s="3"/>
      <c r="C10" s="4"/>
      <c r="E10" s="50" t="s">
        <v>32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48</v>
      </c>
      <c r="B11" s="3"/>
      <c r="C11" s="4"/>
      <c r="E11" s="50" t="s">
        <v>49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50</v>
      </c>
      <c r="X11" s="15" t="s">
        <v>51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52</v>
      </c>
      <c r="B12" s="3"/>
      <c r="C12" s="4"/>
      <c r="E12" s="50" t="s">
        <v>49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53</v>
      </c>
      <c r="X12" s="15" t="s">
        <v>54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55</v>
      </c>
      <c r="B13" s="3">
        <v>8.25</v>
      </c>
      <c r="C13" s="4">
        <v>11</v>
      </c>
      <c r="E13" s="50" t="s">
        <v>49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56</v>
      </c>
      <c r="X13" s="15" t="s">
        <v>57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58</v>
      </c>
      <c r="B14" s="3">
        <v>7.75</v>
      </c>
      <c r="C14" s="4">
        <v>10</v>
      </c>
      <c r="E14" s="50" t="s">
        <v>59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60</v>
      </c>
      <c r="X14" s="15" t="s">
        <v>61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62</v>
      </c>
      <c r="B15" s="52"/>
      <c r="C15" s="54"/>
      <c r="E15" s="50" t="s">
        <v>59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63</v>
      </c>
      <c r="X15" s="15" t="s">
        <v>64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65</v>
      </c>
      <c r="B16" s="52">
        <f>AVERAGE(G5:G18)</f>
        <v>12</v>
      </c>
      <c r="C16" s="54">
        <f>AVERAGE(K5:K18)</f>
        <v>12</v>
      </c>
      <c r="E16" s="50" t="s">
        <v>66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67</v>
      </c>
      <c r="X16" s="15" t="s">
        <v>68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69</v>
      </c>
      <c r="B17" s="53" t="s">
        <v>70</v>
      </c>
      <c r="C17" s="55" t="s">
        <v>70</v>
      </c>
      <c r="E17" s="50" t="s">
        <v>66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71</v>
      </c>
      <c r="X17" s="15" t="s">
        <v>72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73</v>
      </c>
      <c r="B18" s="53">
        <v>20</v>
      </c>
      <c r="C18" s="55">
        <v>20</v>
      </c>
      <c r="E18" s="50" t="s">
        <v>66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74</v>
      </c>
      <c r="X18" s="15" t="s">
        <v>75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145</v>
      </c>
      <c r="L19" s="13" t="s">
        <v>145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76</v>
      </c>
      <c r="W19" s="48" t="s">
        <v>77</v>
      </c>
      <c r="X19" s="15" t="s">
        <v>78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76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79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80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81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82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86</v>
      </c>
      <c r="H23" s="100" t="s">
        <v>18</v>
      </c>
      <c r="I23" s="99" t="s">
        <v>87</v>
      </c>
      <c r="J23" s="101" t="s">
        <v>88</v>
      </c>
      <c r="K23" s="99" t="s">
        <v>89</v>
      </c>
      <c r="L23" s="101" t="s">
        <v>18</v>
      </c>
      <c r="M23" s="83" t="s">
        <v>90</v>
      </c>
      <c r="N23" s="27" t="s">
        <v>91</v>
      </c>
      <c r="O23" s="27" t="s">
        <v>92</v>
      </c>
      <c r="P23" s="27" t="s">
        <v>18</v>
      </c>
      <c r="Q23" s="27" t="s">
        <v>93</v>
      </c>
      <c r="R23" s="27" t="s">
        <v>18</v>
      </c>
      <c r="S23" s="27" t="s">
        <v>94</v>
      </c>
      <c r="T23" s="132" t="s">
        <v>18</v>
      </c>
      <c r="U23" s="136" t="s">
        <v>95</v>
      </c>
      <c r="V23" s="137" t="s">
        <v>91</v>
      </c>
      <c r="W23" s="83" t="s">
        <v>96</v>
      </c>
      <c r="X23" s="27" t="s">
        <v>97</v>
      </c>
      <c r="Y23" s="27" t="s">
        <v>18</v>
      </c>
      <c r="Z23" s="27" t="s">
        <v>98</v>
      </c>
      <c r="AA23" s="27" t="s">
        <v>18</v>
      </c>
      <c r="AB23" s="27" t="s">
        <v>99</v>
      </c>
      <c r="AC23" s="27" t="s">
        <v>18</v>
      </c>
      <c r="AD23" s="27" t="s">
        <v>100</v>
      </c>
      <c r="AE23" s="27" t="s">
        <v>18</v>
      </c>
      <c r="AF23" s="27" t="s">
        <v>101</v>
      </c>
      <c r="AG23" s="27" t="s">
        <v>18</v>
      </c>
      <c r="AH23" s="27" t="s">
        <v>102</v>
      </c>
      <c r="AI23" s="27" t="s">
        <v>18</v>
      </c>
      <c r="AJ23" s="27" t="s">
        <v>103</v>
      </c>
      <c r="AK23" s="27" t="s">
        <v>18</v>
      </c>
      <c r="AL23" s="27" t="s">
        <v>104</v>
      </c>
      <c r="AM23" s="27" t="s">
        <v>18</v>
      </c>
      <c r="AN23" s="27" t="s">
        <v>105</v>
      </c>
      <c r="AO23" s="27" t="s">
        <v>18</v>
      </c>
      <c r="AP23" s="27" t="s">
        <v>106</v>
      </c>
      <c r="AQ23" s="27" t="s">
        <v>18</v>
      </c>
      <c r="AR23" s="27" t="s">
        <v>107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83</v>
      </c>
      <c r="B24" s="64" t="e">
        <f>B23/B21</f>
        <v>#DIV/0!</v>
      </c>
      <c r="C24" s="65" t="e">
        <f>C23/B21</f>
        <v>#DIV/0!</v>
      </c>
      <c r="D24" s="13" t="s">
        <v>84</v>
      </c>
      <c r="E24" s="13" t="s">
        <v>85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108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109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110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111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112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113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114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115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116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117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118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119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120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27" priority="1" operator="greaterThan">
      <formula>0.15</formula>
    </cfRule>
  </conditionalFormatting>
  <conditionalFormatting sqref="H38:H48">
    <cfRule type="cellIs" dxfId="26" priority="2" operator="greaterThan">
      <formula>0.15</formula>
    </cfRule>
  </conditionalFormatting>
  <conditionalFormatting sqref="H48">
    <cfRule type="cellIs" dxfId="25" priority="3" operator="greaterThan">
      <formula>0.15</formula>
    </cfRule>
  </conditionalFormatting>
  <conditionalFormatting sqref="H38:H48">
    <cfRule type="cellIs" dxfId="24" priority="4" operator="greaterThan">
      <formula>0.15</formula>
    </cfRule>
  </conditionalFormatting>
  <conditionalFormatting sqref="H34">
    <cfRule type="cellIs" dxfId="23" priority="5" operator="greaterThan">
      <formula>0.15</formula>
    </cfRule>
  </conditionalFormatting>
  <conditionalFormatting sqref="H24:H34">
    <cfRule type="cellIs" dxfId="22" priority="6" operator="greaterThan">
      <formula>0.15</formula>
    </cfRule>
  </conditionalFormatting>
  <conditionalFormatting sqref="H34">
    <cfRule type="cellIs" dxfId="21" priority="7" operator="greaterThan">
      <formula>0.15</formula>
    </cfRule>
  </conditionalFormatting>
  <conditionalFormatting sqref="H24:H34">
    <cfRule type="cellIs" dxfId="20" priority="8" operator="greaterThan">
      <formula>0.15</formula>
    </cfRule>
  </conditionalFormatting>
  <conditionalFormatting sqref="V48">
    <cfRule type="cellIs" dxfId="19" priority="9" operator="greaterThan">
      <formula>0.15</formula>
    </cfRule>
  </conditionalFormatting>
  <conditionalFormatting sqref="V34">
    <cfRule type="cellIs" dxfId="18" priority="10" operator="greaterThan">
      <formula>0.15</formula>
    </cfRule>
  </conditionalFormatting>
  <conditionalFormatting sqref="V24:V34 V38:V48">
    <cfRule type="cellIs" dxfId="17" priority="11" operator="greaterThan">
      <formula>0.15</formula>
    </cfRule>
  </conditionalFormatting>
  <conditionalFormatting sqref="V48">
    <cfRule type="cellIs" dxfId="16" priority="12" operator="greaterThan">
      <formula>0.15</formula>
    </cfRule>
  </conditionalFormatting>
  <conditionalFormatting sqref="V34">
    <cfRule type="cellIs" dxfId="15" priority="13" operator="greaterThan">
      <formula>0.15</formula>
    </cfRule>
  </conditionalFormatting>
  <conditionalFormatting sqref="V24:V34 V38:V48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Rocamora-LUKE</vt:lpstr>
      <vt:lpstr>SIMULADOR_v5</vt:lpstr>
      <vt:lpstr>SIMULADOR_v4</vt:lpstr>
      <vt:lpstr>Eventos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2023-06-01T16:02:48Z</dcterms:modified>
</cp:coreProperties>
</file>