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9"/>
  <workbookPr filterPrivacy="1"/>
  <xr:revisionPtr revIDLastSave="0" documentId="13_ncr:1_{6BAD581B-53BE-4E30-86DC-A0FA60C04247}" xr6:coauthVersionLast="36" xr6:coauthVersionMax="47" xr10:uidLastSave="{00000000-0000-0000-0000-000000000000}"/>
  <bookViews>
    <workbookView xWindow="-120" yWindow="16080" windowWidth="29040" windowHeight="15840" xr2:uid="{00000000-000D-0000-FFFF-FFFF00000000}"/>
  </bookViews>
  <sheets>
    <sheet name="Resistencia" sheetId="1" r:id="rId1"/>
    <sheet name="TablasEntreno" sheetId="2" r:id="rId2"/>
    <sheet name="Sueldos" sheetId="5" r:id="rId3"/>
    <sheet name="EntrenamientoManual" sheetId="3" r:id="rId4"/>
    <sheet name="Entrenador" sheetId="4" r:id="rId5"/>
    <sheet name="Tarjetas" sheetId="15" r:id="rId6"/>
    <sheet name="BajarEntrenamiento" sheetId="16" r:id="rId7"/>
    <sheet name="Aficionados" sheetId="17" r:id="rId8"/>
    <sheet name="Calificaciones_POS&lt;T60" sheetId="6" r:id="rId9"/>
    <sheet name="Calificaciones_POS&gt;T60" sheetId="7" r:id="rId10"/>
    <sheet name="Posesion" sheetId="8" r:id="rId11"/>
    <sheet name="Logros" sheetId="9" r:id="rId12"/>
    <sheet name="Estadio_Destruccion" sheetId="10" r:id="rId13"/>
    <sheet name="Bepero_penalty" sheetId="11" r:id="rId14"/>
    <sheet name="Forma" sheetId="12" r:id="rId15"/>
    <sheet name="Confianza_Esperitu" sheetId="13" r:id="rId16"/>
    <sheet name="Sustituciones" sheetId="14"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c r="C5" i="5"/>
  <c r="C6" i="5"/>
  <c r="C1" i="5"/>
  <c r="R21" i="15" l="1"/>
  <c r="Q21" i="15"/>
  <c r="H21" i="15"/>
  <c r="G21" i="15"/>
  <c r="R20" i="15"/>
  <c r="Q20" i="15"/>
  <c r="H20" i="15"/>
  <c r="G20" i="15"/>
  <c r="R19" i="15"/>
  <c r="Q19" i="15"/>
  <c r="H19" i="15"/>
  <c r="G19" i="15"/>
  <c r="R18" i="15"/>
  <c r="Q18" i="15"/>
  <c r="H18" i="15"/>
  <c r="G18" i="15"/>
  <c r="R17" i="15"/>
  <c r="Q17" i="15"/>
  <c r="H17" i="15"/>
  <c r="G17" i="15"/>
  <c r="F26" i="12"/>
  <c r="F25" i="12"/>
  <c r="F24" i="12"/>
  <c r="F23" i="12"/>
  <c r="F22" i="12"/>
  <c r="F21" i="12"/>
  <c r="F20" i="12"/>
  <c r="F19" i="12"/>
  <c r="F18" i="12"/>
  <c r="F17" i="12"/>
  <c r="F16" i="12"/>
  <c r="F15" i="12"/>
  <c r="F14" i="12"/>
  <c r="F13" i="12"/>
  <c r="F12" i="12"/>
  <c r="E38" i="10"/>
  <c r="C38" i="10"/>
  <c r="B38" i="10"/>
  <c r="D38" i="10" s="1"/>
  <c r="E37" i="10"/>
  <c r="D37" i="10"/>
  <c r="C37" i="10"/>
  <c r="E36" i="10"/>
  <c r="C36" i="10"/>
  <c r="B36" i="10"/>
  <c r="D36" i="10" s="1"/>
  <c r="F36" i="10" s="1"/>
  <c r="E35" i="10"/>
  <c r="D35" i="10"/>
  <c r="C35" i="10"/>
  <c r="D28" i="10"/>
  <c r="B28" i="10"/>
  <c r="C28" i="10" s="1"/>
  <c r="E28" i="10" s="1"/>
  <c r="B27" i="10"/>
  <c r="L16" i="10" s="1"/>
  <c r="M16" i="10" s="1"/>
  <c r="B26" i="10"/>
  <c r="L15" i="10" s="1"/>
  <c r="CI25" i="10"/>
  <c r="CH25" i="10"/>
  <c r="CG25" i="10"/>
  <c r="CE25" i="10"/>
  <c r="CC25" i="10"/>
  <c r="CA25" i="10"/>
  <c r="BY25" i="10"/>
  <c r="BW25" i="10"/>
  <c r="BU25" i="10"/>
  <c r="BS25" i="10"/>
  <c r="BR25" i="10"/>
  <c r="BQ25" i="10"/>
  <c r="BO25" i="10"/>
  <c r="BM25" i="10"/>
  <c r="BK25" i="10"/>
  <c r="BI25" i="10"/>
  <c r="BG25" i="10"/>
  <c r="BE25" i="10"/>
  <c r="BC25" i="10"/>
  <c r="BB25" i="10"/>
  <c r="BA25" i="10"/>
  <c r="AY25" i="10"/>
  <c r="AW25" i="10"/>
  <c r="AU25" i="10"/>
  <c r="AS25" i="10"/>
  <c r="AQ25" i="10"/>
  <c r="AO25" i="10"/>
  <c r="AM25" i="10"/>
  <c r="AL25" i="10"/>
  <c r="AJ25" i="10"/>
  <c r="AH25" i="10"/>
  <c r="AF25" i="10"/>
  <c r="AD25" i="10"/>
  <c r="AB25" i="10"/>
  <c r="Z25" i="10"/>
  <c r="X25" i="10"/>
  <c r="W25" i="10"/>
  <c r="V25" i="10"/>
  <c r="T25" i="10"/>
  <c r="R25" i="10"/>
  <c r="P25" i="10"/>
  <c r="N25" i="10"/>
  <c r="L25" i="10"/>
  <c r="B25" i="10"/>
  <c r="CI24" i="10"/>
  <c r="CH24" i="10"/>
  <c r="CG24" i="10"/>
  <c r="CE24" i="10"/>
  <c r="CC24" i="10"/>
  <c r="CA24" i="10"/>
  <c r="BY24" i="10"/>
  <c r="BW24" i="10"/>
  <c r="BU24" i="10"/>
  <c r="BS24" i="10"/>
  <c r="BR24" i="10"/>
  <c r="BQ24" i="10"/>
  <c r="BO24" i="10"/>
  <c r="BM24" i="10"/>
  <c r="BK24" i="10"/>
  <c r="BI24" i="10"/>
  <c r="BG24" i="10"/>
  <c r="BE24" i="10"/>
  <c r="BC24" i="10"/>
  <c r="BB24" i="10"/>
  <c r="BA24" i="10"/>
  <c r="AY24" i="10"/>
  <c r="AW24" i="10"/>
  <c r="AU24" i="10"/>
  <c r="AS24" i="10"/>
  <c r="AQ24" i="10"/>
  <c r="AO24" i="10"/>
  <c r="AM24" i="10"/>
  <c r="AL24" i="10"/>
  <c r="AJ24" i="10"/>
  <c r="AH24" i="10"/>
  <c r="AF24" i="10"/>
  <c r="AD24" i="10"/>
  <c r="AB24" i="10"/>
  <c r="Z24" i="10"/>
  <c r="X24" i="10"/>
  <c r="W24" i="10"/>
  <c r="V24" i="10"/>
  <c r="T24" i="10"/>
  <c r="R24" i="10"/>
  <c r="P24" i="10"/>
  <c r="N24" i="10"/>
  <c r="L24" i="10"/>
  <c r="CI23" i="10"/>
  <c r="CH23" i="10"/>
  <c r="CG23" i="10"/>
  <c r="CE23" i="10"/>
  <c r="CC23" i="10"/>
  <c r="CA23" i="10"/>
  <c r="BY23" i="10"/>
  <c r="BW23" i="10"/>
  <c r="BU23" i="10"/>
  <c r="BS23" i="10"/>
  <c r="BR23" i="10"/>
  <c r="BQ23" i="10"/>
  <c r="BO23" i="10"/>
  <c r="BM23" i="10"/>
  <c r="BK23" i="10"/>
  <c r="BI23" i="10"/>
  <c r="BG23" i="10"/>
  <c r="BE23" i="10"/>
  <c r="BC23" i="10"/>
  <c r="BB23" i="10"/>
  <c r="BA23" i="10"/>
  <c r="AY23" i="10"/>
  <c r="AW23" i="10"/>
  <c r="AU23" i="10"/>
  <c r="AS23" i="10"/>
  <c r="AQ23" i="10"/>
  <c r="AO23" i="10"/>
  <c r="AM23" i="10"/>
  <c r="AL23" i="10"/>
  <c r="AJ23" i="10"/>
  <c r="AH23" i="10"/>
  <c r="AF23" i="10"/>
  <c r="AD23" i="10"/>
  <c r="AB23" i="10"/>
  <c r="Z23" i="10"/>
  <c r="X23" i="10"/>
  <c r="W23" i="10"/>
  <c r="V23" i="10"/>
  <c r="T23" i="10"/>
  <c r="R23" i="10"/>
  <c r="P23" i="10"/>
  <c r="N23" i="10"/>
  <c r="L23" i="10"/>
  <c r="CI22" i="10"/>
  <c r="CH22" i="10"/>
  <c r="CG22" i="10"/>
  <c r="CE22" i="10"/>
  <c r="CC22" i="10"/>
  <c r="CA22" i="10"/>
  <c r="BY22" i="10"/>
  <c r="BW22" i="10"/>
  <c r="BU22" i="10"/>
  <c r="BS22" i="10"/>
  <c r="BR22" i="10"/>
  <c r="BQ22" i="10"/>
  <c r="BO22" i="10"/>
  <c r="BM22" i="10"/>
  <c r="BK22" i="10"/>
  <c r="BI22" i="10"/>
  <c r="BG22" i="10"/>
  <c r="BE22" i="10"/>
  <c r="BC22" i="10"/>
  <c r="BB22" i="10"/>
  <c r="BA22" i="10"/>
  <c r="AY22" i="10"/>
  <c r="AW22" i="10"/>
  <c r="AU22" i="10"/>
  <c r="AS22" i="10"/>
  <c r="AQ22" i="10"/>
  <c r="AO22" i="10"/>
  <c r="AM22" i="10"/>
  <c r="AL22" i="10"/>
  <c r="AJ22" i="10"/>
  <c r="AH22" i="10"/>
  <c r="AF22" i="10"/>
  <c r="AD22" i="10"/>
  <c r="AB22" i="10"/>
  <c r="Z22" i="10"/>
  <c r="X22" i="10"/>
  <c r="W22" i="10"/>
  <c r="V22" i="10"/>
  <c r="T22" i="10"/>
  <c r="R22" i="10"/>
  <c r="P22" i="10"/>
  <c r="N22" i="10"/>
  <c r="L22" i="10"/>
  <c r="CI21" i="10"/>
  <c r="CH21" i="10"/>
  <c r="CG21" i="10"/>
  <c r="CE21" i="10"/>
  <c r="CC21" i="10"/>
  <c r="CA21" i="10"/>
  <c r="BY21" i="10"/>
  <c r="BW21" i="10"/>
  <c r="BU21" i="10"/>
  <c r="BS21" i="10"/>
  <c r="BR21" i="10"/>
  <c r="BQ21" i="10"/>
  <c r="BO21" i="10"/>
  <c r="BM21" i="10"/>
  <c r="BK21" i="10"/>
  <c r="BI21" i="10"/>
  <c r="BG21" i="10"/>
  <c r="BE21" i="10"/>
  <c r="BC21" i="10"/>
  <c r="BB21" i="10"/>
  <c r="BA21" i="10"/>
  <c r="AY21" i="10"/>
  <c r="AW21" i="10"/>
  <c r="AU21" i="10"/>
  <c r="AS21" i="10"/>
  <c r="AQ21" i="10"/>
  <c r="AO21" i="10"/>
  <c r="AM21" i="10"/>
  <c r="AL21" i="10"/>
  <c r="AJ21" i="10"/>
  <c r="AH21" i="10"/>
  <c r="AF21" i="10"/>
  <c r="AD21" i="10"/>
  <c r="AB21" i="10"/>
  <c r="Z21" i="10"/>
  <c r="X21" i="10"/>
  <c r="W21" i="10"/>
  <c r="V21" i="10"/>
  <c r="T21" i="10"/>
  <c r="R21" i="10"/>
  <c r="P21" i="10"/>
  <c r="N21" i="10"/>
  <c r="L21" i="10"/>
  <c r="F21" i="10"/>
  <c r="CI20" i="10"/>
  <c r="CH20" i="10"/>
  <c r="CG20" i="10"/>
  <c r="CE20" i="10"/>
  <c r="CC20" i="10"/>
  <c r="CA20" i="10"/>
  <c r="BY20" i="10"/>
  <c r="BW20" i="10"/>
  <c r="BU20" i="10"/>
  <c r="BS20" i="10"/>
  <c r="BR20" i="10"/>
  <c r="BQ20" i="10"/>
  <c r="BO20" i="10"/>
  <c r="BM20" i="10"/>
  <c r="BK20" i="10"/>
  <c r="BI20" i="10"/>
  <c r="BG20" i="10"/>
  <c r="BE20" i="10"/>
  <c r="BC20" i="10"/>
  <c r="BB20" i="10"/>
  <c r="BA20" i="10"/>
  <c r="AY20" i="10"/>
  <c r="AW20" i="10"/>
  <c r="AU20" i="10"/>
  <c r="AS20" i="10"/>
  <c r="AQ20" i="10"/>
  <c r="AO20" i="10"/>
  <c r="AM20" i="10"/>
  <c r="AL20" i="10"/>
  <c r="AJ20" i="10"/>
  <c r="AH20" i="10"/>
  <c r="AF20" i="10"/>
  <c r="AD20" i="10"/>
  <c r="AB20" i="10"/>
  <c r="Z20" i="10"/>
  <c r="X20" i="10"/>
  <c r="W20" i="10"/>
  <c r="V20" i="10"/>
  <c r="T20" i="10"/>
  <c r="R20" i="10"/>
  <c r="P20" i="10"/>
  <c r="N20" i="10"/>
  <c r="L20" i="10"/>
  <c r="F20" i="10"/>
  <c r="CI19" i="10"/>
  <c r="CH19" i="10"/>
  <c r="CG19" i="10"/>
  <c r="CE19" i="10"/>
  <c r="CC19" i="10"/>
  <c r="CA19" i="10"/>
  <c r="BY19" i="10"/>
  <c r="BW19" i="10"/>
  <c r="BU19" i="10"/>
  <c r="BS19" i="10"/>
  <c r="BR19" i="10"/>
  <c r="BQ19" i="10"/>
  <c r="BO19" i="10"/>
  <c r="BM19" i="10"/>
  <c r="BK19" i="10"/>
  <c r="BI19" i="10"/>
  <c r="BG19" i="10"/>
  <c r="BE19" i="10"/>
  <c r="BC19" i="10"/>
  <c r="BB19" i="10"/>
  <c r="BA19" i="10"/>
  <c r="AY19" i="10"/>
  <c r="AW19" i="10"/>
  <c r="AU19" i="10"/>
  <c r="AS19" i="10"/>
  <c r="AQ19" i="10"/>
  <c r="AO19" i="10"/>
  <c r="AM19" i="10"/>
  <c r="AL19" i="10"/>
  <c r="AJ19" i="10"/>
  <c r="AH19" i="10"/>
  <c r="AF19" i="10"/>
  <c r="AD19" i="10"/>
  <c r="AB19" i="10"/>
  <c r="Z19" i="10"/>
  <c r="X19" i="10"/>
  <c r="W19" i="10"/>
  <c r="V19" i="10"/>
  <c r="T19" i="10"/>
  <c r="R19" i="10"/>
  <c r="P19" i="10"/>
  <c r="N19" i="10"/>
  <c r="L19" i="10"/>
  <c r="F19" i="10"/>
  <c r="CI18" i="10"/>
  <c r="CH18" i="10"/>
  <c r="CG18" i="10"/>
  <c r="CE18" i="10"/>
  <c r="CC18" i="10"/>
  <c r="CA18" i="10"/>
  <c r="BY18" i="10"/>
  <c r="BW18" i="10"/>
  <c r="BU18" i="10"/>
  <c r="BS18" i="10"/>
  <c r="BR18" i="10"/>
  <c r="BQ18" i="10"/>
  <c r="BO18" i="10"/>
  <c r="BM18" i="10"/>
  <c r="BK18" i="10"/>
  <c r="BI18" i="10"/>
  <c r="BG18" i="10"/>
  <c r="BE18" i="10"/>
  <c r="BC18" i="10"/>
  <c r="BB18" i="10"/>
  <c r="BA18" i="10"/>
  <c r="AY18" i="10"/>
  <c r="AW18" i="10"/>
  <c r="AU18" i="10"/>
  <c r="AS18" i="10"/>
  <c r="AQ18" i="10"/>
  <c r="AO18" i="10"/>
  <c r="AM18" i="10"/>
  <c r="AL18" i="10"/>
  <c r="AJ18" i="10"/>
  <c r="AH18" i="10"/>
  <c r="AF18" i="10"/>
  <c r="AD18" i="10"/>
  <c r="AB18" i="10"/>
  <c r="Z18" i="10"/>
  <c r="X18" i="10"/>
  <c r="W18" i="10"/>
  <c r="V18" i="10"/>
  <c r="T18" i="10"/>
  <c r="R18" i="10"/>
  <c r="P18" i="10"/>
  <c r="N18" i="10"/>
  <c r="L18" i="10"/>
  <c r="F18" i="10"/>
  <c r="L17" i="10"/>
  <c r="K17" i="10"/>
  <c r="F17" i="10"/>
  <c r="K16" i="10"/>
  <c r="F16" i="10"/>
  <c r="K15" i="10"/>
  <c r="F15" i="10"/>
  <c r="K14" i="10"/>
  <c r="F14" i="10"/>
  <c r="K13" i="10"/>
  <c r="L13" i="10" s="1"/>
  <c r="M13" i="10" s="1"/>
  <c r="F13" i="10"/>
  <c r="K12" i="10"/>
  <c r="F12" i="10"/>
  <c r="K11" i="10"/>
  <c r="F11" i="10"/>
  <c r="K10" i="10"/>
  <c r="L10" i="10" s="1"/>
  <c r="M10" i="10" s="1"/>
  <c r="N10" i="10" s="1"/>
  <c r="O10" i="10" s="1"/>
  <c r="K9" i="10"/>
  <c r="K8" i="10"/>
  <c r="H8" i="10"/>
  <c r="G8" i="10"/>
  <c r="K7" i="10"/>
  <c r="H7" i="10"/>
  <c r="G7" i="10"/>
  <c r="K6" i="10"/>
  <c r="H6" i="10"/>
  <c r="G6" i="10"/>
  <c r="L5" i="10"/>
  <c r="M5" i="10" s="1"/>
  <c r="M7" i="10" s="1"/>
  <c r="H5" i="10"/>
  <c r="G5" i="10"/>
  <c r="B4" i="10"/>
  <c r="M23" i="8"/>
  <c r="O23" i="8" s="1"/>
  <c r="M22" i="8"/>
  <c r="O22" i="8" s="1"/>
  <c r="M21" i="8"/>
  <c r="O21" i="8" s="1"/>
  <c r="M20" i="8"/>
  <c r="M26" i="8" s="1"/>
  <c r="O26" i="8" s="1"/>
  <c r="M19" i="8"/>
  <c r="M27" i="8" s="1"/>
  <c r="O27" i="8" s="1"/>
  <c r="M18" i="8"/>
  <c r="M28" i="8" s="1"/>
  <c r="O28" i="8" s="1"/>
  <c r="M17" i="8"/>
  <c r="O17" i="8" s="1"/>
  <c r="M16" i="8"/>
  <c r="O16" i="8" s="1"/>
  <c r="M15" i="8"/>
  <c r="O15" i="8" s="1"/>
  <c r="M14" i="8"/>
  <c r="O14" i="8" s="1"/>
  <c r="M13" i="8"/>
  <c r="O13" i="8" s="1"/>
  <c r="M12" i="8"/>
  <c r="M34" i="8" s="1"/>
  <c r="O34" i="8" s="1"/>
  <c r="M11" i="8"/>
  <c r="M35" i="8" s="1"/>
  <c r="O35" i="8" s="1"/>
  <c r="O10" i="8"/>
  <c r="M10" i="8"/>
  <c r="M36" i="8" s="1"/>
  <c r="O36" i="8" s="1"/>
  <c r="M9" i="8"/>
  <c r="O9" i="8" s="1"/>
  <c r="M8" i="8"/>
  <c r="O8" i="8" s="1"/>
  <c r="M7" i="8"/>
  <c r="M39" i="8" s="1"/>
  <c r="O39" i="8" s="1"/>
  <c r="M6" i="8"/>
  <c r="M40" i="8" s="1"/>
  <c r="O40" i="8" s="1"/>
  <c r="D6" i="8"/>
  <c r="M5" i="8"/>
  <c r="M41" i="8" s="1"/>
  <c r="O41" i="8" s="1"/>
  <c r="I5" i="8"/>
  <c r="I6" i="8" s="1"/>
  <c r="D5" i="8"/>
  <c r="M4" i="8"/>
  <c r="M42" i="8" s="1"/>
  <c r="O42" i="8" s="1"/>
  <c r="M3" i="8"/>
  <c r="O3" i="8" s="1"/>
  <c r="AM20" i="7"/>
  <c r="AL20" i="7"/>
  <c r="AM19" i="7"/>
  <c r="AL19" i="7"/>
  <c r="AQ16" i="7"/>
  <c r="AP16" i="7"/>
  <c r="AM16" i="7"/>
  <c r="AL16" i="7"/>
  <c r="AQ15" i="7"/>
  <c r="AP15" i="7"/>
  <c r="AM15" i="7"/>
  <c r="AL15" i="7"/>
  <c r="AM14" i="7"/>
  <c r="AN14" i="7" s="1"/>
  <c r="AL14" i="7"/>
  <c r="T60" i="7"/>
  <c r="P58" i="7"/>
  <c r="P56" i="7"/>
  <c r="N53" i="7"/>
  <c r="T48" i="7"/>
  <c r="T44" i="7"/>
  <c r="T36" i="7"/>
  <c r="N34" i="7"/>
  <c r="M34" i="7"/>
  <c r="L34" i="7"/>
  <c r="T33" i="7"/>
  <c r="T30" i="7"/>
  <c r="N18" i="7"/>
  <c r="N10" i="7"/>
  <c r="L10" i="7"/>
  <c r="P9" i="7"/>
  <c r="R1" i="7"/>
  <c r="P68" i="6"/>
  <c r="P65" i="6"/>
  <c r="P61" i="6"/>
  <c r="P60" i="6"/>
  <c r="P56" i="6"/>
  <c r="P52" i="6"/>
  <c r="P48" i="6"/>
  <c r="P45" i="6"/>
  <c r="P41" i="6"/>
  <c r="P37" i="6"/>
  <c r="P34" i="6"/>
  <c r="P31" i="6"/>
  <c r="P29" i="6"/>
  <c r="P26" i="6"/>
  <c r="P23" i="6"/>
  <c r="P20" i="6"/>
  <c r="P17" i="6"/>
  <c r="P14" i="6"/>
  <c r="P12" i="6"/>
  <c r="P9" i="6"/>
  <c r="P7" i="6"/>
  <c r="P5" i="6"/>
  <c r="P3" i="6"/>
  <c r="M24" i="8" l="1"/>
  <c r="O24" i="8" s="1"/>
  <c r="M8" i="10"/>
  <c r="K29" i="10"/>
  <c r="M32" i="8"/>
  <c r="O32" i="8" s="1"/>
  <c r="L6" i="10"/>
  <c r="F38" i="10"/>
  <c r="O18" i="8"/>
  <c r="L7" i="10"/>
  <c r="L32" i="10" s="1"/>
  <c r="C26" i="10"/>
  <c r="O6" i="8"/>
  <c r="N5" i="10"/>
  <c r="N9" i="10" s="1"/>
  <c r="L9" i="10"/>
  <c r="L30" i="10" s="1"/>
  <c r="AN16" i="7"/>
  <c r="AN15" i="7"/>
  <c r="C27" i="10"/>
  <c r="K38" i="10" s="1"/>
  <c r="M43" i="8"/>
  <c r="O43" i="8" s="1"/>
  <c r="F37" i="10"/>
  <c r="H9" i="10"/>
  <c r="F35" i="10"/>
  <c r="P10" i="10"/>
  <c r="Q10" i="10" s="1"/>
  <c r="G9" i="10"/>
  <c r="K20" i="10"/>
  <c r="L12" i="10"/>
  <c r="M12" i="10" s="1"/>
  <c r="M33" i="10"/>
  <c r="M24" i="10"/>
  <c r="M29" i="10"/>
  <c r="N16" i="10"/>
  <c r="K34" i="10"/>
  <c r="K30" i="10"/>
  <c r="K25" i="10"/>
  <c r="N13" i="10"/>
  <c r="O13" i="10" s="1"/>
  <c r="K32" i="10"/>
  <c r="K23" i="10"/>
  <c r="K28" i="10"/>
  <c r="B24" i="10"/>
  <c r="L14" i="10"/>
  <c r="C25" i="10"/>
  <c r="M6" i="10"/>
  <c r="M18" i="10" s="1"/>
  <c r="M9" i="10"/>
  <c r="M21" i="10" s="1"/>
  <c r="K19" i="10"/>
  <c r="L11" i="10"/>
  <c r="M11" i="10" s="1"/>
  <c r="L8" i="10"/>
  <c r="L33" i="10" s="1"/>
  <c r="M15" i="10"/>
  <c r="K33" i="10"/>
  <c r="K24" i="10"/>
  <c r="K18" i="10"/>
  <c r="F26" i="10"/>
  <c r="K37" i="10"/>
  <c r="D26" i="10"/>
  <c r="E26" i="10"/>
  <c r="F28" i="10"/>
  <c r="M17" i="10"/>
  <c r="K39" i="10"/>
  <c r="K21" i="10"/>
  <c r="K31" i="10"/>
  <c r="K27" i="10"/>
  <c r="K22" i="10"/>
  <c r="D27" i="10"/>
  <c r="F27" i="10"/>
  <c r="O7" i="8"/>
  <c r="O19" i="8"/>
  <c r="O11" i="8"/>
  <c r="O5" i="8"/>
  <c r="O12" i="8"/>
  <c r="O20" i="8"/>
  <c r="M29" i="8"/>
  <c r="O29" i="8" s="1"/>
  <c r="M37" i="8"/>
  <c r="O37" i="8" s="1"/>
  <c r="O4" i="8"/>
  <c r="M30" i="8"/>
  <c r="O30" i="8" s="1"/>
  <c r="M38" i="8"/>
  <c r="O38" i="8" s="1"/>
  <c r="M31" i="8"/>
  <c r="O31" i="8" s="1"/>
  <c r="J5" i="8"/>
  <c r="M25" i="8"/>
  <c r="O25" i="8" s="1"/>
  <c r="M33" i="8"/>
  <c r="O33" i="8" s="1"/>
  <c r="B9" i="5"/>
  <c r="B10" i="5" l="1"/>
  <c r="B12" i="5"/>
  <c r="B13" i="5" s="1"/>
  <c r="B14" i="5" s="1"/>
  <c r="B15" i="5" s="1"/>
  <c r="E27" i="10"/>
  <c r="L34" i="10"/>
  <c r="L28" i="10"/>
  <c r="N8" i="10"/>
  <c r="O5" i="10"/>
  <c r="N6" i="10"/>
  <c r="N7" i="10"/>
  <c r="M34" i="10"/>
  <c r="M30" i="10"/>
  <c r="M25" i="10"/>
  <c r="N17" i="10"/>
  <c r="L31" i="10"/>
  <c r="L27" i="10"/>
  <c r="M14" i="10"/>
  <c r="CE26" i="10"/>
  <c r="CE41" i="10" s="1"/>
  <c r="BW26" i="10"/>
  <c r="BW41" i="10" s="1"/>
  <c r="BO26" i="10"/>
  <c r="BO41" i="10" s="1"/>
  <c r="BG26" i="10"/>
  <c r="BG41" i="10" s="1"/>
  <c r="AY26" i="10"/>
  <c r="AY41" i="10" s="1"/>
  <c r="AQ26" i="10"/>
  <c r="AQ41" i="10" s="1"/>
  <c r="AI26" i="10"/>
  <c r="AA26" i="10"/>
  <c r="S26" i="10"/>
  <c r="K26" i="10"/>
  <c r="K41" i="10" s="1"/>
  <c r="CD26" i="10"/>
  <c r="BV26" i="10"/>
  <c r="BN26" i="10"/>
  <c r="BF26" i="10"/>
  <c r="AX26" i="10"/>
  <c r="AP26" i="10"/>
  <c r="AH26" i="10"/>
  <c r="AH41" i="10" s="1"/>
  <c r="Z26" i="10"/>
  <c r="Z41" i="10" s="1"/>
  <c r="R26" i="10"/>
  <c r="R41" i="10" s="1"/>
  <c r="CB26" i="10"/>
  <c r="BT26" i="10"/>
  <c r="BL26" i="10"/>
  <c r="BD26" i="10"/>
  <c r="AV26" i="10"/>
  <c r="AN26" i="10"/>
  <c r="AF26" i="10"/>
  <c r="AF41" i="10" s="1"/>
  <c r="X26" i="10"/>
  <c r="X41" i="10" s="1"/>
  <c r="P26" i="10"/>
  <c r="P41" i="10" s="1"/>
  <c r="CH26" i="10"/>
  <c r="CH41" i="10" s="1"/>
  <c r="BU26" i="10"/>
  <c r="BU41" i="10" s="1"/>
  <c r="BI26" i="10"/>
  <c r="BI41" i="10" s="1"/>
  <c r="AU26" i="10"/>
  <c r="AU41" i="10" s="1"/>
  <c r="AJ26" i="10"/>
  <c r="AJ41" i="10" s="1"/>
  <c r="V26" i="10"/>
  <c r="V41" i="10" s="1"/>
  <c r="CC26" i="10"/>
  <c r="CC41" i="10" s="1"/>
  <c r="BQ26" i="10"/>
  <c r="BQ41" i="10" s="1"/>
  <c r="BC26" i="10"/>
  <c r="BC41" i="10" s="1"/>
  <c r="AR26" i="10"/>
  <c r="AD26" i="10"/>
  <c r="AD41" i="10" s="1"/>
  <c r="Q26" i="10"/>
  <c r="CA26" i="10"/>
  <c r="CA41" i="10" s="1"/>
  <c r="BP26" i="10"/>
  <c r="BB26" i="10"/>
  <c r="BB41" i="10" s="1"/>
  <c r="AO26" i="10"/>
  <c r="AO41" i="10" s="1"/>
  <c r="AC26" i="10"/>
  <c r="O26" i="10"/>
  <c r="BZ26" i="10"/>
  <c r="BM26" i="10"/>
  <c r="BM41" i="10" s="1"/>
  <c r="BA26" i="10"/>
  <c r="BA41" i="10" s="1"/>
  <c r="AM26" i="10"/>
  <c r="AM41" i="10" s="1"/>
  <c r="AB26" i="10"/>
  <c r="AB41" i="10" s="1"/>
  <c r="N26" i="10"/>
  <c r="N41" i="10" s="1"/>
  <c r="BY26" i="10"/>
  <c r="BY41" i="10" s="1"/>
  <c r="BK26" i="10"/>
  <c r="BK41" i="10" s="1"/>
  <c r="AZ26" i="10"/>
  <c r="AL26" i="10"/>
  <c r="AL41" i="10" s="1"/>
  <c r="Y26" i="10"/>
  <c r="M26" i="10"/>
  <c r="BS26" i="10"/>
  <c r="BS41" i="10" s="1"/>
  <c r="AK26" i="10"/>
  <c r="BR26" i="10"/>
  <c r="BR41" i="10" s="1"/>
  <c r="AG26" i="10"/>
  <c r="CI26" i="10"/>
  <c r="CI41" i="10" s="1"/>
  <c r="BE26" i="10"/>
  <c r="BE41" i="10" s="1"/>
  <c r="U26" i="10"/>
  <c r="AS26" i="10"/>
  <c r="AS41" i="10" s="1"/>
  <c r="CG26" i="10"/>
  <c r="CG41" i="10" s="1"/>
  <c r="AE26" i="10"/>
  <c r="CF26" i="10"/>
  <c r="W26" i="10"/>
  <c r="W41" i="10" s="1"/>
  <c r="BX26" i="10"/>
  <c r="T26" i="10"/>
  <c r="T41" i="10" s="1"/>
  <c r="BJ26" i="10"/>
  <c r="L26" i="10"/>
  <c r="L41" i="10" s="1"/>
  <c r="BH26" i="10"/>
  <c r="AW26" i="10"/>
  <c r="AW41" i="10" s="1"/>
  <c r="AT26" i="10"/>
  <c r="N12" i="10"/>
  <c r="O12" i="10" s="1"/>
  <c r="M20" i="10"/>
  <c r="K36" i="10"/>
  <c r="K42" i="10" s="1"/>
  <c r="E25" i="10"/>
  <c r="F25" i="10"/>
  <c r="D25" i="10"/>
  <c r="N11" i="10"/>
  <c r="O11" i="10" s="1"/>
  <c r="M19" i="10"/>
  <c r="N29" i="10"/>
  <c r="N33" i="10"/>
  <c r="O16" i="10"/>
  <c r="M32" i="10"/>
  <c r="M28" i="10"/>
  <c r="N15" i="10"/>
  <c r="M23" i="10"/>
  <c r="R10" i="10"/>
  <c r="S10" i="10" s="1"/>
  <c r="L29" i="10"/>
  <c r="P13" i="10"/>
  <c r="Q13" i="10" s="1"/>
  <c r="I43" i="4"/>
  <c r="I42" i="4"/>
  <c r="I41" i="4"/>
  <c r="I40" i="4"/>
  <c r="G38" i="4" s="1"/>
  <c r="I38" i="4" s="1"/>
  <c r="G39" i="4"/>
  <c r="I39" i="4" s="1"/>
  <c r="H7" i="4"/>
  <c r="J7" i="4" s="1"/>
  <c r="H6" i="4"/>
  <c r="G6" i="4"/>
  <c r="F6" i="4"/>
  <c r="H5" i="4"/>
  <c r="J5" i="4" s="1"/>
  <c r="H4" i="4"/>
  <c r="G4" i="4"/>
  <c r="F4" i="4"/>
  <c r="H3" i="4"/>
  <c r="G3" i="4"/>
  <c r="F3" i="4"/>
  <c r="H2" i="4"/>
  <c r="I2" i="4" s="1"/>
  <c r="I2" i="3"/>
  <c r="I3" i="3"/>
  <c r="I4" i="3"/>
  <c r="I5" i="3"/>
  <c r="H6" i="3"/>
  <c r="I6" i="3" s="1"/>
  <c r="H7" i="3"/>
  <c r="I7" i="3" s="1"/>
  <c r="I8" i="3"/>
  <c r="I9" i="3"/>
  <c r="I10" i="3"/>
  <c r="I11" i="3"/>
  <c r="I12" i="3"/>
  <c r="I13" i="3"/>
  <c r="Q21" i="2"/>
  <c r="Q22" i="2" s="1"/>
  <c r="Q23" i="2" s="1"/>
  <c r="Q24" i="2" s="1"/>
  <c r="Q25" i="2" s="1"/>
  <c r="Q26" i="2" s="1"/>
  <c r="Q27" i="2" s="1"/>
  <c r="Q28" i="2" s="1"/>
  <c r="Q29" i="2" s="1"/>
  <c r="Q30" i="2" s="1"/>
  <c r="Q31" i="2" s="1"/>
  <c r="Q32" i="2" s="1"/>
  <c r="Q33" i="2" s="1"/>
  <c r="Q34" i="2" s="1"/>
  <c r="Q35" i="2" s="1"/>
  <c r="Q36" i="2" s="1"/>
  <c r="Q37" i="2" s="1"/>
  <c r="K21" i="2"/>
  <c r="K22" i="2" s="1"/>
  <c r="K23" i="2" s="1"/>
  <c r="K24" i="2" s="1"/>
  <c r="K25" i="2" s="1"/>
  <c r="K26" i="2" s="1"/>
  <c r="K27" i="2" s="1"/>
  <c r="K28" i="2" s="1"/>
  <c r="K29" i="2" s="1"/>
  <c r="K30" i="2" s="1"/>
  <c r="K31" i="2" s="1"/>
  <c r="K32" i="2" s="1"/>
  <c r="K33" i="2" s="1"/>
  <c r="K34" i="2" s="1"/>
  <c r="K35" i="2" s="1"/>
  <c r="K36" i="2" s="1"/>
  <c r="E21" i="2"/>
  <c r="E22" i="2" s="1"/>
  <c r="E23" i="2" s="1"/>
  <c r="E24" i="2" s="1"/>
  <c r="E25" i="2" s="1"/>
  <c r="E26" i="2" s="1"/>
  <c r="E27" i="2" s="1"/>
  <c r="E28" i="2" s="1"/>
  <c r="E29" i="2" s="1"/>
  <c r="E30" i="2" s="1"/>
  <c r="E31" i="2" s="1"/>
  <c r="E32" i="2" s="1"/>
  <c r="E33" i="2" s="1"/>
  <c r="E34" i="2" s="1"/>
  <c r="E35" i="2" s="1"/>
  <c r="E36" i="2" s="1"/>
  <c r="E37" i="2" s="1"/>
  <c r="W2" i="2"/>
  <c r="W3" i="2" s="1"/>
  <c r="W4" i="2" s="1"/>
  <c r="W5" i="2" s="1"/>
  <c r="W6" i="2" s="1"/>
  <c r="W7" i="2" s="1"/>
  <c r="W8" i="2" s="1"/>
  <c r="W9" i="2" s="1"/>
  <c r="W10" i="2" s="1"/>
  <c r="W11" i="2" s="1"/>
  <c r="W12" i="2" s="1"/>
  <c r="W13" i="2" s="1"/>
  <c r="W14" i="2" s="1"/>
  <c r="W15" i="2" s="1"/>
  <c r="W16" i="2" s="1"/>
  <c r="W17" i="2" s="1"/>
  <c r="W18" i="2" s="1"/>
  <c r="Q2" i="2"/>
  <c r="Q3" i="2" s="1"/>
  <c r="Q4" i="2" s="1"/>
  <c r="Q5" i="2" s="1"/>
  <c r="Q6" i="2" s="1"/>
  <c r="Q7" i="2" s="1"/>
  <c r="Q8" i="2" s="1"/>
  <c r="Q9" i="2" s="1"/>
  <c r="Q10" i="2" s="1"/>
  <c r="Q11" i="2" s="1"/>
  <c r="Q12" i="2" s="1"/>
  <c r="Q13" i="2" s="1"/>
  <c r="Q14" i="2" s="1"/>
  <c r="Q15" i="2" s="1"/>
  <c r="Q16" i="2" s="1"/>
  <c r="Q17" i="2" s="1"/>
  <c r="Q18" i="2" s="1"/>
  <c r="K2" i="2"/>
  <c r="K3" i="2" s="1"/>
  <c r="E2" i="2"/>
  <c r="E3" i="2" s="1"/>
  <c r="E4" i="2" s="1"/>
  <c r="E5" i="2" s="1"/>
  <c r="E6" i="2" s="1"/>
  <c r="E7" i="2" s="1"/>
  <c r="E8" i="2" s="1"/>
  <c r="E9" i="2" s="1"/>
  <c r="E10" i="2" s="1"/>
  <c r="E11" i="2" s="1"/>
  <c r="E12" i="2" s="1"/>
  <c r="E13" i="2" s="1"/>
  <c r="E14" i="2" s="1"/>
  <c r="E15" i="2" s="1"/>
  <c r="E16" i="2" s="1"/>
  <c r="E17" i="2" s="1"/>
  <c r="E18" i="2" s="1"/>
  <c r="J6" i="4" l="1"/>
  <c r="M41" i="10"/>
  <c r="J4" i="4"/>
  <c r="K4" i="2"/>
  <c r="K5" i="2" s="1"/>
  <c r="K6" i="2" s="1"/>
  <c r="K7" i="2" s="1"/>
  <c r="K8" i="2" s="1"/>
  <c r="K9" i="2" s="1"/>
  <c r="K10" i="2" s="1"/>
  <c r="K11" i="2" s="1"/>
  <c r="K12" i="2" s="1"/>
  <c r="K13" i="2" s="1"/>
  <c r="K14" i="2" s="1"/>
  <c r="K15" i="2" s="1"/>
  <c r="K16" i="2" s="1"/>
  <c r="K17" i="2" s="1"/>
  <c r="K43" i="10"/>
  <c r="K44" i="10" s="1"/>
  <c r="L42" i="10"/>
  <c r="P5" i="10"/>
  <c r="O9" i="10"/>
  <c r="O21" i="10" s="1"/>
  <c r="O6" i="10"/>
  <c r="O18" i="10" s="1"/>
  <c r="O7" i="10"/>
  <c r="O19" i="10" s="1"/>
  <c r="O8" i="10"/>
  <c r="O29" i="10" s="1"/>
  <c r="J3" i="4"/>
  <c r="P16" i="10"/>
  <c r="O24" i="10"/>
  <c r="R13" i="10"/>
  <c r="S13" i="10" s="1"/>
  <c r="K40" i="10"/>
  <c r="E30" i="10" s="1"/>
  <c r="M27" i="10"/>
  <c r="M31" i="10"/>
  <c r="N14" i="10"/>
  <c r="M22" i="10"/>
  <c r="P12" i="10"/>
  <c r="Q12" i="10" s="1"/>
  <c r="O20" i="10"/>
  <c r="L43" i="10"/>
  <c r="T10" i="10"/>
  <c r="U10" i="10" s="1"/>
  <c r="P11" i="10"/>
  <c r="Q11" i="10" s="1"/>
  <c r="N30" i="10"/>
  <c r="N34" i="10"/>
  <c r="O17" i="10"/>
  <c r="N32" i="10"/>
  <c r="N28" i="10"/>
  <c r="O15" i="10"/>
  <c r="I4" i="4"/>
  <c r="I6" i="4"/>
  <c r="J2" i="4"/>
  <c r="I3" i="4"/>
  <c r="I5" i="4"/>
  <c r="I7" i="4"/>
  <c r="L44" i="10" l="1"/>
  <c r="O33" i="10"/>
  <c r="P9" i="10"/>
  <c r="P8" i="10"/>
  <c r="P33" i="10" s="1"/>
  <c r="Q5" i="10"/>
  <c r="P6" i="10"/>
  <c r="P7" i="10"/>
  <c r="O41" i="10"/>
  <c r="Q16" i="10"/>
  <c r="N31" i="10"/>
  <c r="N27" i="10"/>
  <c r="O14" i="10"/>
  <c r="R11" i="10"/>
  <c r="S11" i="10" s="1"/>
  <c r="T13" i="10"/>
  <c r="U13" i="10" s="1"/>
  <c r="M42" i="10"/>
  <c r="M43" i="10" s="1"/>
  <c r="M44" i="10" s="1"/>
  <c r="V10" i="10"/>
  <c r="W10" i="10" s="1"/>
  <c r="X10" i="10" s="1"/>
  <c r="Y10" i="10" s="1"/>
  <c r="O28" i="10"/>
  <c r="O32" i="10"/>
  <c r="O23" i="10"/>
  <c r="P15" i="10"/>
  <c r="R12" i="10"/>
  <c r="S12" i="10" s="1"/>
  <c r="O34" i="10"/>
  <c r="O30" i="10"/>
  <c r="O25" i="10"/>
  <c r="P17" i="10"/>
  <c r="P29" i="10" l="1"/>
  <c r="N42" i="10"/>
  <c r="N43" i="10" s="1"/>
  <c r="N44" i="10" s="1"/>
  <c r="Q6" i="10"/>
  <c r="Q18" i="10" s="1"/>
  <c r="Q8" i="10"/>
  <c r="Q20" i="10" s="1"/>
  <c r="R5" i="10"/>
  <c r="Q9" i="10"/>
  <c r="Q21" i="10" s="1"/>
  <c r="Q7" i="10"/>
  <c r="Q19" i="10" s="1"/>
  <c r="P28" i="10"/>
  <c r="P32" i="10"/>
  <c r="Q15" i="10"/>
  <c r="O31" i="10"/>
  <c r="O27" i="10"/>
  <c r="P14" i="10"/>
  <c r="O22" i="10"/>
  <c r="Z10" i="10"/>
  <c r="AA10" i="10" s="1"/>
  <c r="P34" i="10"/>
  <c r="P30" i="10"/>
  <c r="Q17" i="10"/>
  <c r="Q29" i="10"/>
  <c r="R16" i="10"/>
  <c r="V13" i="10"/>
  <c r="W13" i="10" s="1"/>
  <c r="X13" i="10" s="1"/>
  <c r="Y13" i="10" s="1"/>
  <c r="T12" i="10"/>
  <c r="U12" i="10" s="1"/>
  <c r="T11" i="10"/>
  <c r="U11" i="10" s="1"/>
  <c r="Q24" i="10" l="1"/>
  <c r="Q41" i="10"/>
  <c r="Q33" i="10"/>
  <c r="O42" i="10"/>
  <c r="O43" i="10" s="1"/>
  <c r="O44" i="10" s="1"/>
  <c r="R9" i="10"/>
  <c r="R6" i="10"/>
  <c r="R8" i="10"/>
  <c r="R29" i="10" s="1"/>
  <c r="S5" i="10"/>
  <c r="R7" i="10"/>
  <c r="P27" i="10"/>
  <c r="P31" i="10"/>
  <c r="Q14" i="10"/>
  <c r="V11" i="10"/>
  <c r="W11" i="10" s="1"/>
  <c r="X11" i="10" s="1"/>
  <c r="Y11" i="10" s="1"/>
  <c r="Q32" i="10"/>
  <c r="Q28" i="10"/>
  <c r="Q23" i="10"/>
  <c r="R15" i="10"/>
  <c r="AB10" i="10"/>
  <c r="AC10" i="10" s="1"/>
  <c r="S16" i="10"/>
  <c r="Q30" i="10"/>
  <c r="Q34" i="10"/>
  <c r="Q25" i="10"/>
  <c r="R17" i="10"/>
  <c r="Z13" i="10"/>
  <c r="AA13" i="10" s="1"/>
  <c r="V12" i="10"/>
  <c r="W12" i="10" s="1"/>
  <c r="X12" i="10" s="1"/>
  <c r="Y12" i="10" s="1"/>
  <c r="P42" i="10" l="1"/>
  <c r="P43" i="10" s="1"/>
  <c r="P44" i="10" s="1"/>
  <c r="R33" i="10"/>
  <c r="S7" i="10"/>
  <c r="S19" i="10" s="1"/>
  <c r="S8" i="10"/>
  <c r="S20" i="10" s="1"/>
  <c r="T5" i="10"/>
  <c r="S6" i="10"/>
  <c r="S18" i="10" s="1"/>
  <c r="S9" i="10"/>
  <c r="S21" i="10" s="1"/>
  <c r="S33" i="10"/>
  <c r="T16" i="10"/>
  <c r="Z11" i="10"/>
  <c r="AA11" i="10" s="1"/>
  <c r="Z12" i="10"/>
  <c r="AA12" i="10" s="1"/>
  <c r="Q27" i="10"/>
  <c r="Q31" i="10"/>
  <c r="Q22" i="10"/>
  <c r="R14" i="10"/>
  <c r="AD10" i="10"/>
  <c r="AE10" i="10" s="1"/>
  <c r="R32" i="10"/>
  <c r="R28" i="10"/>
  <c r="S15" i="10"/>
  <c r="AB13" i="10"/>
  <c r="AC13" i="10" s="1"/>
  <c r="R34" i="10"/>
  <c r="R30" i="10"/>
  <c r="S17" i="10"/>
  <c r="S24" i="10" l="1"/>
  <c r="S41" i="10"/>
  <c r="T6" i="10"/>
  <c r="U5" i="10"/>
  <c r="T9" i="10"/>
  <c r="T7" i="10"/>
  <c r="T8" i="10"/>
  <c r="T29" i="10" s="1"/>
  <c r="S29" i="10"/>
  <c r="S30" i="10"/>
  <c r="S34" i="10"/>
  <c r="S25" i="10"/>
  <c r="T17" i="10"/>
  <c r="AD13" i="10"/>
  <c r="AE13" i="10" s="1"/>
  <c r="U16" i="10"/>
  <c r="S14" i="10"/>
  <c r="R31" i="10"/>
  <c r="R27" i="10"/>
  <c r="AB11" i="10"/>
  <c r="AC11" i="10" s="1"/>
  <c r="S23" i="10"/>
  <c r="T15" i="10"/>
  <c r="S28" i="10"/>
  <c r="S32" i="10"/>
  <c r="Q42" i="10"/>
  <c r="Q43" i="10" s="1"/>
  <c r="Q44" i="10" s="1"/>
  <c r="AF10" i="10"/>
  <c r="AG10" i="10" s="1"/>
  <c r="AB12" i="10"/>
  <c r="AC12" i="10" s="1"/>
  <c r="T33" i="10" l="1"/>
  <c r="U6" i="10"/>
  <c r="U18" i="10" s="1"/>
  <c r="U7" i="10"/>
  <c r="U19" i="10" s="1"/>
  <c r="U9" i="10"/>
  <c r="U21" i="10" s="1"/>
  <c r="V5" i="10"/>
  <c r="U8" i="10"/>
  <c r="U20" i="10" s="1"/>
  <c r="R42" i="10"/>
  <c r="R43" i="10" s="1"/>
  <c r="R44" i="10" s="1"/>
  <c r="AD11" i="10"/>
  <c r="AE11" i="10" s="1"/>
  <c r="AF13" i="10"/>
  <c r="AG13" i="10" s="1"/>
  <c r="T34" i="10"/>
  <c r="T30" i="10"/>
  <c r="U17" i="10"/>
  <c r="T32" i="10"/>
  <c r="T28" i="10"/>
  <c r="U15" i="10"/>
  <c r="AD12" i="10"/>
  <c r="AE12" i="10" s="1"/>
  <c r="AH10" i="10"/>
  <c r="AI10" i="10" s="1"/>
  <c r="S31" i="10"/>
  <c r="S27" i="10"/>
  <c r="T14" i="10"/>
  <c r="S22" i="10"/>
  <c r="U24" i="10"/>
  <c r="V16" i="10"/>
  <c r="U29" i="10" l="1"/>
  <c r="V8" i="10"/>
  <c r="W5" i="10"/>
  <c r="V6" i="10"/>
  <c r="V7" i="10"/>
  <c r="V9" i="10"/>
  <c r="U33" i="10"/>
  <c r="U41" i="10"/>
  <c r="S42" i="10"/>
  <c r="S43" i="10" s="1"/>
  <c r="S44" i="10" s="1"/>
  <c r="U30" i="10"/>
  <c r="U34" i="10"/>
  <c r="V17" i="10"/>
  <c r="U25" i="10"/>
  <c r="AJ10" i="10"/>
  <c r="AK10" i="10" s="1"/>
  <c r="AF12" i="10"/>
  <c r="AG12" i="10" s="1"/>
  <c r="AH13" i="10"/>
  <c r="AI13" i="10" s="1"/>
  <c r="T31" i="10"/>
  <c r="T27" i="10"/>
  <c r="U14" i="10"/>
  <c r="AF11" i="10"/>
  <c r="AG11" i="10" s="1"/>
  <c r="V29" i="10"/>
  <c r="W16" i="10"/>
  <c r="V33" i="10"/>
  <c r="U32" i="10"/>
  <c r="U28" i="10"/>
  <c r="V15" i="10"/>
  <c r="U23" i="10"/>
  <c r="X5" i="10" l="1"/>
  <c r="W9" i="10"/>
  <c r="W7" i="10"/>
  <c r="W8" i="10"/>
  <c r="W29" i="10" s="1"/>
  <c r="W6" i="10"/>
  <c r="AJ13" i="10"/>
  <c r="AK13" i="10" s="1"/>
  <c r="V34" i="10"/>
  <c r="V30" i="10"/>
  <c r="W17" i="10"/>
  <c r="X16" i="10"/>
  <c r="AH12" i="10"/>
  <c r="AI12" i="10" s="1"/>
  <c r="AH11" i="10"/>
  <c r="AI11" i="10" s="1"/>
  <c r="AL10" i="10"/>
  <c r="AM10" i="10" s="1"/>
  <c r="AN10" i="10" s="1"/>
  <c r="V32" i="10"/>
  <c r="V28" i="10"/>
  <c r="W15" i="10"/>
  <c r="U27" i="10"/>
  <c r="U31" i="10"/>
  <c r="U22" i="10"/>
  <c r="V14" i="10"/>
  <c r="T42" i="10"/>
  <c r="T43" i="10" s="1"/>
  <c r="T44" i="10" s="1"/>
  <c r="W33" i="10" l="1"/>
  <c r="X6" i="10"/>
  <c r="X9" i="10"/>
  <c r="X7" i="10"/>
  <c r="X8" i="10"/>
  <c r="X29" i="10" s="1"/>
  <c r="Y5" i="10"/>
  <c r="AJ12" i="10"/>
  <c r="AK12" i="10" s="1"/>
  <c r="X33" i="10"/>
  <c r="Y16" i="10"/>
  <c r="U42" i="10"/>
  <c r="U43" i="10" s="1"/>
  <c r="U44" i="10" s="1"/>
  <c r="W28" i="10"/>
  <c r="W32" i="10"/>
  <c r="X15" i="10"/>
  <c r="AJ11" i="10"/>
  <c r="AK11" i="10" s="1"/>
  <c r="AO10" i="10"/>
  <c r="AP10" i="10" s="1"/>
  <c r="V31" i="10"/>
  <c r="V27" i="10"/>
  <c r="V42" i="10" s="1"/>
  <c r="V43" i="10" s="1"/>
  <c r="W14" i="10"/>
  <c r="W34" i="10"/>
  <c r="W30" i="10"/>
  <c r="X17" i="10"/>
  <c r="AL13" i="10"/>
  <c r="AM13" i="10" s="1"/>
  <c r="AN13" i="10" s="1"/>
  <c r="V44" i="10" l="1"/>
  <c r="Y8" i="10"/>
  <c r="Y20" i="10" s="1"/>
  <c r="Y9" i="10"/>
  <c r="Y21" i="10" s="1"/>
  <c r="Y7" i="10"/>
  <c r="Y19" i="10" s="1"/>
  <c r="Y6" i="10"/>
  <c r="Y18" i="10" s="1"/>
  <c r="Z5" i="10"/>
  <c r="W31" i="10"/>
  <c r="W27" i="10"/>
  <c r="W42" i="10" s="1"/>
  <c r="W43" i="10" s="1"/>
  <c r="W44" i="10" s="1"/>
  <c r="X14" i="10"/>
  <c r="Y33" i="10"/>
  <c r="Y29" i="10"/>
  <c r="Z16" i="10"/>
  <c r="X32" i="10"/>
  <c r="X28" i="10"/>
  <c r="Y15" i="10"/>
  <c r="AL11" i="10"/>
  <c r="AM11" i="10" s="1"/>
  <c r="AN11" i="10" s="1"/>
  <c r="AO13" i="10"/>
  <c r="AP13" i="10" s="1"/>
  <c r="AQ10" i="10"/>
  <c r="AR10" i="10" s="1"/>
  <c r="AL12" i="10"/>
  <c r="AM12" i="10" s="1"/>
  <c r="AN12" i="10" s="1"/>
  <c r="X34" i="10"/>
  <c r="X30" i="10"/>
  <c r="Y17" i="10"/>
  <c r="Y41" i="10" l="1"/>
  <c r="Z8" i="10"/>
  <c r="Z9" i="10"/>
  <c r="Z6" i="10"/>
  <c r="AA5" i="10"/>
  <c r="Z7" i="10"/>
  <c r="Y24" i="10"/>
  <c r="X31" i="10"/>
  <c r="X27" i="10"/>
  <c r="Y14" i="10"/>
  <c r="AO11" i="10"/>
  <c r="AP11" i="10" s="1"/>
  <c r="Y32" i="10"/>
  <c r="Y28" i="10"/>
  <c r="Y23" i="10"/>
  <c r="Z15" i="10"/>
  <c r="Z29" i="10"/>
  <c r="AA16" i="10"/>
  <c r="Z33" i="10"/>
  <c r="Y34" i="10"/>
  <c r="Y30" i="10"/>
  <c r="Y25" i="10"/>
  <c r="Z17" i="10"/>
  <c r="AO12" i="10"/>
  <c r="AP12" i="10" s="1"/>
  <c r="AS10" i="10"/>
  <c r="AT10" i="10" s="1"/>
  <c r="AQ13" i="10"/>
  <c r="AR13" i="10" s="1"/>
  <c r="X42" i="10" l="1"/>
  <c r="X43" i="10" s="1"/>
  <c r="X44" i="10" s="1"/>
  <c r="AA9" i="10"/>
  <c r="AA21" i="10" s="1"/>
  <c r="AA8" i="10"/>
  <c r="AA20" i="10" s="1"/>
  <c r="AA6" i="10"/>
  <c r="AA18" i="10" s="1"/>
  <c r="AB5" i="10"/>
  <c r="AA7" i="10"/>
  <c r="AA19" i="10" s="1"/>
  <c r="Y31" i="10"/>
  <c r="Y27" i="10"/>
  <c r="Y22" i="10"/>
  <c r="Z14" i="10"/>
  <c r="AU10" i="10"/>
  <c r="AV10" i="10" s="1"/>
  <c r="AS13" i="10"/>
  <c r="AT13" i="10" s="1"/>
  <c r="AQ11" i="10"/>
  <c r="AR11" i="10" s="1"/>
  <c r="AA33" i="10"/>
  <c r="AA29" i="10"/>
  <c r="AA24" i="10"/>
  <c r="AB16" i="10"/>
  <c r="AQ12" i="10"/>
  <c r="AR12" i="10" s="1"/>
  <c r="Z32" i="10"/>
  <c r="Z28" i="10"/>
  <c r="AA15" i="10"/>
  <c r="Z34" i="10"/>
  <c r="Z30" i="10"/>
  <c r="AA17" i="10"/>
  <c r="AC5" i="10" l="1"/>
  <c r="AB8" i="10"/>
  <c r="AB33" i="10" s="1"/>
  <c r="AB9" i="10"/>
  <c r="AB6" i="10"/>
  <c r="AB7" i="10"/>
  <c r="AA41" i="10"/>
  <c r="Y42" i="10"/>
  <c r="Y43" i="10" s="1"/>
  <c r="Y44" i="10" s="1"/>
  <c r="AW10" i="10"/>
  <c r="AX10" i="10" s="1"/>
  <c r="AU13" i="10"/>
  <c r="AV13" i="10" s="1"/>
  <c r="Z31" i="10"/>
  <c r="AA14" i="10"/>
  <c r="Z27" i="10"/>
  <c r="Z42" i="10" s="1"/>
  <c r="Z43" i="10" s="1"/>
  <c r="AA30" i="10"/>
  <c r="AA25" i="10"/>
  <c r="AA34" i="10"/>
  <c r="AB17" i="10"/>
  <c r="AB29" i="10"/>
  <c r="AC16" i="10"/>
  <c r="AS11" i="10"/>
  <c r="AT11" i="10" s="1"/>
  <c r="AS12" i="10"/>
  <c r="AT12" i="10" s="1"/>
  <c r="AA28" i="10"/>
  <c r="AA23" i="10"/>
  <c r="AA32" i="10"/>
  <c r="AB15" i="10"/>
  <c r="Z44" i="10" l="1"/>
  <c r="AC8" i="10"/>
  <c r="AC20" i="10" s="1"/>
  <c r="AC6" i="10"/>
  <c r="AC18" i="10" s="1"/>
  <c r="AC9" i="10"/>
  <c r="AC21" i="10" s="1"/>
  <c r="AC7" i="10"/>
  <c r="AC19" i="10" s="1"/>
  <c r="AD5" i="10"/>
  <c r="AA31" i="10"/>
  <c r="AB14" i="10"/>
  <c r="AA27" i="10"/>
  <c r="AA22" i="10"/>
  <c r="AU12" i="10"/>
  <c r="AV12" i="10" s="1"/>
  <c r="AC33" i="10"/>
  <c r="AC29" i="10"/>
  <c r="AC24" i="10"/>
  <c r="AD16" i="10"/>
  <c r="AW13" i="10"/>
  <c r="AX13" i="10" s="1"/>
  <c r="AB28" i="10"/>
  <c r="AB32" i="10"/>
  <c r="AC15" i="10"/>
  <c r="AB34" i="10"/>
  <c r="AB30" i="10"/>
  <c r="AC17" i="10"/>
  <c r="AY10" i="10"/>
  <c r="AZ10" i="10" s="1"/>
  <c r="AU11" i="10"/>
  <c r="AV11" i="10" s="1"/>
  <c r="AC41" i="10" l="1"/>
  <c r="AD7" i="10"/>
  <c r="AE5" i="10"/>
  <c r="AD6" i="10"/>
  <c r="AD8" i="10"/>
  <c r="AD29" i="10" s="1"/>
  <c r="AD9" i="10"/>
  <c r="AA42" i="10"/>
  <c r="AA43" i="10" s="1"/>
  <c r="AA44" i="10" s="1"/>
  <c r="AC28" i="10"/>
  <c r="AC32" i="10"/>
  <c r="AD15" i="10"/>
  <c r="AC23" i="10"/>
  <c r="AW12" i="10"/>
  <c r="AX12" i="10" s="1"/>
  <c r="AY13" i="10"/>
  <c r="AZ13" i="10" s="1"/>
  <c r="AC30" i="10"/>
  <c r="AC25" i="10"/>
  <c r="AD17" i="10"/>
  <c r="AC34" i="10"/>
  <c r="AE16" i="10"/>
  <c r="AB27" i="10"/>
  <c r="AB31" i="10"/>
  <c r="AC14" i="10"/>
  <c r="AW11" i="10"/>
  <c r="AX11" i="10" s="1"/>
  <c r="BA10" i="10"/>
  <c r="BB10" i="10" s="1"/>
  <c r="BC10" i="10" s="1"/>
  <c r="BD10" i="10" s="1"/>
  <c r="AD33" i="10" l="1"/>
  <c r="AF5" i="10"/>
  <c r="AE6" i="10"/>
  <c r="AE18" i="10" s="1"/>
  <c r="AE9" i="10"/>
  <c r="AE21" i="10" s="1"/>
  <c r="AE7" i="10"/>
  <c r="AE19" i="10" s="1"/>
  <c r="AE8" i="10"/>
  <c r="AE20" i="10" s="1"/>
  <c r="AY12" i="10"/>
  <c r="AZ12" i="10" s="1"/>
  <c r="AB42" i="10"/>
  <c r="AB43" i="10" s="1"/>
  <c r="AB44" i="10" s="1"/>
  <c r="AD32" i="10"/>
  <c r="AD28" i="10"/>
  <c r="AE15" i="10"/>
  <c r="AC31" i="10"/>
  <c r="AC22" i="10"/>
  <c r="AC27" i="10"/>
  <c r="AD14" i="10"/>
  <c r="BA13" i="10"/>
  <c r="BB13" i="10" s="1"/>
  <c r="BC13" i="10" s="1"/>
  <c r="BD13" i="10" s="1"/>
  <c r="BE10" i="10"/>
  <c r="BF10" i="10" s="1"/>
  <c r="AF16" i="10"/>
  <c r="AY11" i="10"/>
  <c r="AZ11" i="10" s="1"/>
  <c r="AD34" i="10"/>
  <c r="AD30" i="10"/>
  <c r="AE17" i="10"/>
  <c r="AE33" i="10" l="1"/>
  <c r="AE29" i="10"/>
  <c r="AE41" i="10"/>
  <c r="AE24" i="10"/>
  <c r="AF9" i="10"/>
  <c r="AF8" i="10"/>
  <c r="AF29" i="10" s="1"/>
  <c r="AG5" i="10"/>
  <c r="AF7" i="10"/>
  <c r="AF6" i="10"/>
  <c r="AG16" i="10"/>
  <c r="AE28" i="10"/>
  <c r="AE32" i="10"/>
  <c r="AE23" i="10"/>
  <c r="AF15" i="10"/>
  <c r="BE13" i="10"/>
  <c r="BF13" i="10" s="1"/>
  <c r="BG10" i="10"/>
  <c r="BH10" i="10" s="1"/>
  <c r="AD31" i="10"/>
  <c r="AD27" i="10"/>
  <c r="AD42" i="10" s="1"/>
  <c r="AD43" i="10" s="1"/>
  <c r="AE14" i="10"/>
  <c r="BA12" i="10"/>
  <c r="BB12" i="10" s="1"/>
  <c r="BC12" i="10" s="1"/>
  <c r="BD12" i="10" s="1"/>
  <c r="AE34" i="10"/>
  <c r="AE30" i="10"/>
  <c r="AF17" i="10"/>
  <c r="AE25" i="10"/>
  <c r="BA11" i="10"/>
  <c r="BB11" i="10" s="1"/>
  <c r="BC11" i="10" s="1"/>
  <c r="BD11" i="10" s="1"/>
  <c r="AC42" i="10"/>
  <c r="AC43" i="10" s="1"/>
  <c r="AC44" i="10" s="1"/>
  <c r="AF33" i="10" l="1"/>
  <c r="AD44" i="10"/>
  <c r="AH5" i="10"/>
  <c r="AG7" i="10"/>
  <c r="AG19" i="10" s="1"/>
  <c r="AG8" i="10"/>
  <c r="AG20" i="10" s="1"/>
  <c r="AG9" i="10"/>
  <c r="AG21" i="10" s="1"/>
  <c r="AG6" i="10"/>
  <c r="AG18" i="10" s="1"/>
  <c r="AG41" i="10" s="1"/>
  <c r="BE12" i="10"/>
  <c r="BF12" i="10" s="1"/>
  <c r="AF32" i="10"/>
  <c r="AF28" i="10"/>
  <c r="AG15" i="10"/>
  <c r="BG13" i="10"/>
  <c r="BH13" i="10" s="1"/>
  <c r="AG29" i="10"/>
  <c r="AG24" i="10"/>
  <c r="AH16" i="10"/>
  <c r="AF34" i="10"/>
  <c r="AF30" i="10"/>
  <c r="AG17" i="10"/>
  <c r="AE31" i="10"/>
  <c r="AE27" i="10"/>
  <c r="AF14" i="10"/>
  <c r="AE22" i="10"/>
  <c r="BE11" i="10"/>
  <c r="BF11" i="10" s="1"/>
  <c r="BI10" i="10"/>
  <c r="BJ10" i="10" s="1"/>
  <c r="AG33" i="10" l="1"/>
  <c r="AI5" i="10"/>
  <c r="AH9" i="10"/>
  <c r="AH8" i="10"/>
  <c r="AH29" i="10" s="1"/>
  <c r="AH7" i="10"/>
  <c r="AH6" i="10"/>
  <c r="BI13" i="10"/>
  <c r="BJ13" i="10" s="1"/>
  <c r="BG12" i="10"/>
  <c r="BH12" i="10" s="1"/>
  <c r="AE42" i="10"/>
  <c r="AE43" i="10" s="1"/>
  <c r="AE44" i="10" s="1"/>
  <c r="AG32" i="10"/>
  <c r="AG23" i="10"/>
  <c r="AG28" i="10"/>
  <c r="AH15" i="10"/>
  <c r="AH33" i="10"/>
  <c r="AI16" i="10"/>
  <c r="BG11" i="10"/>
  <c r="BH11" i="10" s="1"/>
  <c r="AF27" i="10"/>
  <c r="AF31" i="10"/>
  <c r="AG14" i="10"/>
  <c r="AG30" i="10"/>
  <c r="AG34" i="10"/>
  <c r="AG25" i="10"/>
  <c r="AH17" i="10"/>
  <c r="BK10" i="10"/>
  <c r="BL10" i="10" s="1"/>
  <c r="AJ5" i="10" l="1"/>
  <c r="AI7" i="10"/>
  <c r="AI19" i="10" s="1"/>
  <c r="AI6" i="10"/>
  <c r="AI18" i="10" s="1"/>
  <c r="AI8" i="10"/>
  <c r="AI20" i="10" s="1"/>
  <c r="AI9" i="10"/>
  <c r="AI21" i="10" s="1"/>
  <c r="AH32" i="10"/>
  <c r="AH28" i="10"/>
  <c r="AI15" i="10"/>
  <c r="AF42" i="10"/>
  <c r="AF43" i="10" s="1"/>
  <c r="AH30" i="10"/>
  <c r="AH34" i="10"/>
  <c r="AI17" i="10"/>
  <c r="BM10" i="10"/>
  <c r="BN10" i="10" s="1"/>
  <c r="AF44" i="10"/>
  <c r="AG27" i="10"/>
  <c r="AG31" i="10"/>
  <c r="AG22" i="10"/>
  <c r="AH14" i="10"/>
  <c r="BI11" i="10"/>
  <c r="BJ11" i="10" s="1"/>
  <c r="AJ16" i="10"/>
  <c r="BI12" i="10"/>
  <c r="BJ12" i="10" s="1"/>
  <c r="BK13" i="10"/>
  <c r="BL13" i="10" s="1"/>
  <c r="AI41" i="10" l="1"/>
  <c r="AI29" i="10"/>
  <c r="AG42" i="10"/>
  <c r="AG43" i="10" s="1"/>
  <c r="AI24" i="10"/>
  <c r="AI33" i="10"/>
  <c r="AJ9" i="10"/>
  <c r="AJ7" i="10"/>
  <c r="AJ6" i="10"/>
  <c r="AJ8" i="10"/>
  <c r="AJ33" i="10" s="1"/>
  <c r="AK5" i="10"/>
  <c r="BM13" i="10"/>
  <c r="BN13" i="10" s="1"/>
  <c r="AI34" i="10"/>
  <c r="AI25" i="10"/>
  <c r="AI30" i="10"/>
  <c r="AJ17" i="10"/>
  <c r="AI32" i="10"/>
  <c r="AI23" i="10"/>
  <c r="AJ15" i="10"/>
  <c r="AI28" i="10"/>
  <c r="AH27" i="10"/>
  <c r="AH31" i="10"/>
  <c r="AI14" i="10"/>
  <c r="AG44" i="10"/>
  <c r="BO10" i="10"/>
  <c r="BP10" i="10" s="1"/>
  <c r="BK11" i="10"/>
  <c r="BL11" i="10" s="1"/>
  <c r="BK12" i="10"/>
  <c r="BL12" i="10" s="1"/>
  <c r="AJ29" i="10"/>
  <c r="AK16" i="10"/>
  <c r="AK7" i="10" l="1"/>
  <c r="AK19" i="10" s="1"/>
  <c r="AK8" i="10"/>
  <c r="AK20" i="10" s="1"/>
  <c r="AL5" i="10"/>
  <c r="AK6" i="10"/>
  <c r="AK18" i="10" s="1"/>
  <c r="AK9" i="10"/>
  <c r="AK21" i="10" s="1"/>
  <c r="AK33" i="10"/>
  <c r="AK24" i="10"/>
  <c r="AK29" i="10"/>
  <c r="AL16" i="10"/>
  <c r="BM12" i="10"/>
  <c r="BN12" i="10" s="1"/>
  <c r="BM11" i="10"/>
  <c r="BN11" i="10" s="1"/>
  <c r="AI31" i="10"/>
  <c r="AI27" i="10"/>
  <c r="AJ14" i="10"/>
  <c r="AI22" i="10"/>
  <c r="AH42" i="10"/>
  <c r="AH43" i="10" s="1"/>
  <c r="AH44" i="10" s="1"/>
  <c r="BO13" i="10"/>
  <c r="BP13" i="10" s="1"/>
  <c r="AJ30" i="10"/>
  <c r="AJ34" i="10"/>
  <c r="AK17" i="10"/>
  <c r="BQ10" i="10"/>
  <c r="BR10" i="10" s="1"/>
  <c r="BS10" i="10" s="1"/>
  <c r="BT10" i="10" s="1"/>
  <c r="AJ32" i="10"/>
  <c r="AJ28" i="10"/>
  <c r="AK15" i="10"/>
  <c r="AK41" i="10" l="1"/>
  <c r="AM5" i="10"/>
  <c r="AL8" i="10"/>
  <c r="AL33" i="10" s="1"/>
  <c r="AL9" i="10"/>
  <c r="AL6" i="10"/>
  <c r="AL7" i="10"/>
  <c r="AK32" i="10"/>
  <c r="AK28" i="10"/>
  <c r="AL15" i="10"/>
  <c r="AK23" i="10"/>
  <c r="BU10" i="10"/>
  <c r="BV10" i="10" s="1"/>
  <c r="AM16" i="10"/>
  <c r="AJ31" i="10"/>
  <c r="AJ27" i="10"/>
  <c r="AK14" i="10"/>
  <c r="BQ13" i="10"/>
  <c r="BR13" i="10" s="1"/>
  <c r="BS13" i="10" s="1"/>
  <c r="BT13" i="10" s="1"/>
  <c r="AK30" i="10"/>
  <c r="AK34" i="10"/>
  <c r="AL17" i="10"/>
  <c r="AK25" i="10"/>
  <c r="AI42" i="10"/>
  <c r="AI43" i="10" s="1"/>
  <c r="AI44" i="10" s="1"/>
  <c r="BO11" i="10"/>
  <c r="BP11" i="10" s="1"/>
  <c r="BO12" i="10"/>
  <c r="BP12" i="10" s="1"/>
  <c r="AM9" i="10" l="1"/>
  <c r="AM6" i="10"/>
  <c r="AM7" i="10"/>
  <c r="AM8" i="10"/>
  <c r="AM29" i="10" s="1"/>
  <c r="AN5" i="10"/>
  <c r="AL29" i="10"/>
  <c r="AL30" i="10"/>
  <c r="AL34" i="10"/>
  <c r="AM17" i="10"/>
  <c r="AN16" i="10"/>
  <c r="BQ12" i="10"/>
  <c r="BR12" i="10" s="1"/>
  <c r="BS12" i="10" s="1"/>
  <c r="BT12" i="10" s="1"/>
  <c r="BU13" i="10"/>
  <c r="BV13" i="10" s="1"/>
  <c r="BW10" i="10"/>
  <c r="BX10" i="10" s="1"/>
  <c r="BQ11" i="10"/>
  <c r="BR11" i="10" s="1"/>
  <c r="BS11" i="10" s="1"/>
  <c r="BT11" i="10" s="1"/>
  <c r="AK31" i="10"/>
  <c r="AK27" i="10"/>
  <c r="AK22" i="10"/>
  <c r="AL14" i="10"/>
  <c r="AJ42" i="10"/>
  <c r="AJ43" i="10" s="1"/>
  <c r="AJ44" i="10" s="1"/>
  <c r="AL32" i="10"/>
  <c r="AL28" i="10"/>
  <c r="AM15" i="10"/>
  <c r="AM33" i="10" l="1"/>
  <c r="AO5" i="10"/>
  <c r="AN7" i="10"/>
  <c r="AN19" i="10" s="1"/>
  <c r="AN6" i="10"/>
  <c r="AN18" i="10" s="1"/>
  <c r="AN8" i="10"/>
  <c r="AN20" i="10" s="1"/>
  <c r="AN9" i="10"/>
  <c r="AN21" i="10" s="1"/>
  <c r="BY10" i="10"/>
  <c r="BZ10" i="10" s="1"/>
  <c r="AM28" i="10"/>
  <c r="AM32" i="10"/>
  <c r="AN15" i="10"/>
  <c r="BU11" i="10"/>
  <c r="BV11" i="10" s="1"/>
  <c r="BU12" i="10"/>
  <c r="BV12" i="10" s="1"/>
  <c r="AK42" i="10"/>
  <c r="AK43" i="10" s="1"/>
  <c r="AK44" i="10" s="1"/>
  <c r="AN33" i="10"/>
  <c r="AN29" i="10"/>
  <c r="AO16" i="10"/>
  <c r="BW13" i="10"/>
  <c r="BX13" i="10" s="1"/>
  <c r="AM34" i="10"/>
  <c r="AM30" i="10"/>
  <c r="AN17" i="10"/>
  <c r="AL31" i="10"/>
  <c r="AL27" i="10"/>
  <c r="AL42" i="10" s="1"/>
  <c r="AL43" i="10" s="1"/>
  <c r="AM14" i="10"/>
  <c r="AN41" i="10" l="1"/>
  <c r="AN24" i="10"/>
  <c r="AL44" i="10"/>
  <c r="AO9" i="10"/>
  <c r="AO8" i="10"/>
  <c r="AO33" i="10" s="1"/>
  <c r="AO7" i="10"/>
  <c r="AO6" i="10"/>
  <c r="AP5" i="10"/>
  <c r="BW11" i="10"/>
  <c r="BX11" i="10" s="1"/>
  <c r="CA10" i="10"/>
  <c r="CB10" i="10" s="1"/>
  <c r="AN28" i="10"/>
  <c r="AN32" i="10"/>
  <c r="AN23" i="10"/>
  <c r="AO15" i="10"/>
  <c r="AM31" i="10"/>
  <c r="AN14" i="10"/>
  <c r="AM27" i="10"/>
  <c r="AN34" i="10"/>
  <c r="AN30" i="10"/>
  <c r="AO17" i="10"/>
  <c r="AN25" i="10"/>
  <c r="BY13" i="10"/>
  <c r="BZ13" i="10" s="1"/>
  <c r="AO29" i="10"/>
  <c r="AP16" i="10"/>
  <c r="BW12" i="10"/>
  <c r="BX12" i="10" s="1"/>
  <c r="AM42" i="10" l="1"/>
  <c r="AM43" i="10" s="1"/>
  <c r="AM44" i="10" s="1"/>
  <c r="AQ5" i="10"/>
  <c r="AP7" i="10"/>
  <c r="AP19" i="10" s="1"/>
  <c r="AP9" i="10"/>
  <c r="AP21" i="10" s="1"/>
  <c r="AP6" i="10"/>
  <c r="AP18" i="10" s="1"/>
  <c r="AP8" i="10"/>
  <c r="AP20" i="10" s="1"/>
  <c r="AP29" i="10"/>
  <c r="AP24" i="10"/>
  <c r="AP33" i="10"/>
  <c r="AQ16" i="10"/>
  <c r="BY11" i="10"/>
  <c r="BZ11" i="10" s="1"/>
  <c r="AO30" i="10"/>
  <c r="AO34" i="10"/>
  <c r="AP17" i="10"/>
  <c r="BY12" i="10"/>
  <c r="BZ12" i="10" s="1"/>
  <c r="CC10" i="10"/>
  <c r="CD10" i="10" s="1"/>
  <c r="AN27" i="10"/>
  <c r="AN31" i="10"/>
  <c r="AN22" i="10"/>
  <c r="AO14" i="10"/>
  <c r="CA13" i="10"/>
  <c r="CB13" i="10" s="1"/>
  <c r="AO32" i="10"/>
  <c r="AO28" i="10"/>
  <c r="AP15" i="10"/>
  <c r="AP41" i="10" l="1"/>
  <c r="AR5" i="10"/>
  <c r="AQ7" i="10"/>
  <c r="AQ9" i="10"/>
  <c r="AQ6" i="10"/>
  <c r="AQ8" i="10"/>
  <c r="AQ33" i="10" s="1"/>
  <c r="CA11" i="10"/>
  <c r="CB11" i="10" s="1"/>
  <c r="AQ29" i="10"/>
  <c r="AR16" i="10"/>
  <c r="AO27" i="10"/>
  <c r="AO31" i="10"/>
  <c r="AP14" i="10"/>
  <c r="AP32" i="10"/>
  <c r="AP28" i="10"/>
  <c r="AP23" i="10"/>
  <c r="AQ15" i="10"/>
  <c r="CE10" i="10"/>
  <c r="CF10" i="10" s="1"/>
  <c r="AN42" i="10"/>
  <c r="AN43" i="10" s="1"/>
  <c r="AN44" i="10" s="1"/>
  <c r="AP34" i="10"/>
  <c r="AP30" i="10"/>
  <c r="AP25" i="10"/>
  <c r="AQ17" i="10"/>
  <c r="CC13" i="10"/>
  <c r="CD13" i="10" s="1"/>
  <c r="CA12" i="10"/>
  <c r="CB12" i="10" s="1"/>
  <c r="AR6" i="10" l="1"/>
  <c r="AR18" i="10" s="1"/>
  <c r="AR7" i="10"/>
  <c r="AR19" i="10" s="1"/>
  <c r="AR9" i="10"/>
  <c r="AR21" i="10" s="1"/>
  <c r="AR8" i="10"/>
  <c r="AR20" i="10" s="1"/>
  <c r="AS5" i="10"/>
  <c r="AP27" i="10"/>
  <c r="AP31" i="10"/>
  <c r="AQ14" i="10"/>
  <c r="AP22" i="10"/>
  <c r="AO42" i="10"/>
  <c r="AO43" i="10" s="1"/>
  <c r="AO44" i="10" s="1"/>
  <c r="AR29" i="10"/>
  <c r="AS16" i="10"/>
  <c r="CE13" i="10"/>
  <c r="CF13" i="10" s="1"/>
  <c r="CG10" i="10"/>
  <c r="CH10" i="10" s="1"/>
  <c r="CI10" i="10" s="1"/>
  <c r="CC12" i="10"/>
  <c r="CD12" i="10" s="1"/>
  <c r="AQ32" i="10"/>
  <c r="AR15" i="10"/>
  <c r="AQ28" i="10"/>
  <c r="AQ34" i="10"/>
  <c r="AQ30" i="10"/>
  <c r="AR17" i="10"/>
  <c r="CC11" i="10"/>
  <c r="CD11" i="10" s="1"/>
  <c r="AR24" i="10" l="1"/>
  <c r="AR33" i="10"/>
  <c r="AS8" i="10"/>
  <c r="AS7" i="10"/>
  <c r="AS6" i="10"/>
  <c r="AS9" i="10"/>
  <c r="AT5" i="10"/>
  <c r="AR41" i="10"/>
  <c r="CE12" i="10"/>
  <c r="CF12" i="10" s="1"/>
  <c r="AR30" i="10"/>
  <c r="AR34" i="10"/>
  <c r="AR25" i="10"/>
  <c r="AS17" i="10"/>
  <c r="CG13" i="10"/>
  <c r="CH13" i="10" s="1"/>
  <c r="CI13" i="10" s="1"/>
  <c r="AQ31" i="10"/>
  <c r="AR14" i="10"/>
  <c r="AQ27" i="10"/>
  <c r="AR28" i="10"/>
  <c r="AR23" i="10"/>
  <c r="AS15" i="10"/>
  <c r="AR32" i="10"/>
  <c r="CE11" i="10"/>
  <c r="CF11" i="10" s="1"/>
  <c r="AS33" i="10"/>
  <c r="AS29" i="10"/>
  <c r="AT16" i="10"/>
  <c r="AP42" i="10"/>
  <c r="AP43" i="10" s="1"/>
  <c r="AP44" i="10" s="1"/>
  <c r="AQ42" i="10" l="1"/>
  <c r="AQ43" i="10" s="1"/>
  <c r="AT7" i="10"/>
  <c r="AT19" i="10" s="1"/>
  <c r="AT9" i="10"/>
  <c r="AT21" i="10" s="1"/>
  <c r="AU5" i="10"/>
  <c r="AT6" i="10"/>
  <c r="AT18" i="10" s="1"/>
  <c r="AT8" i="10"/>
  <c r="AT20" i="10" s="1"/>
  <c r="AQ44" i="10"/>
  <c r="CG11" i="10"/>
  <c r="CH11" i="10" s="1"/>
  <c r="CI11" i="10" s="1"/>
  <c r="AS32" i="10"/>
  <c r="AT15" i="10"/>
  <c r="AS28" i="10"/>
  <c r="AR31" i="10"/>
  <c r="AR27" i="10"/>
  <c r="AR22" i="10"/>
  <c r="AS14" i="10"/>
  <c r="AT33" i="10"/>
  <c r="AU16" i="10"/>
  <c r="AS30" i="10"/>
  <c r="AS34" i="10"/>
  <c r="AT17" i="10"/>
  <c r="CG12" i="10"/>
  <c r="CH12" i="10" s="1"/>
  <c r="CI12" i="10" s="1"/>
  <c r="AT29" i="10" l="1"/>
  <c r="AR42" i="10"/>
  <c r="AR43" i="10" s="1"/>
  <c r="AR44" i="10" s="1"/>
  <c r="AU7" i="10"/>
  <c r="AU8" i="10"/>
  <c r="AU29" i="10" s="1"/>
  <c r="AU9" i="10"/>
  <c r="AV5" i="10"/>
  <c r="AU6" i="10"/>
  <c r="AT41" i="10"/>
  <c r="AT24" i="10"/>
  <c r="AV16" i="10"/>
  <c r="AT30" i="10"/>
  <c r="AT34" i="10"/>
  <c r="AT25" i="10"/>
  <c r="AU17" i="10"/>
  <c r="AS31" i="10"/>
  <c r="AS27" i="10"/>
  <c r="AT14" i="10"/>
  <c r="AT32" i="10"/>
  <c r="AT28" i="10"/>
  <c r="AU15" i="10"/>
  <c r="AT23" i="10"/>
  <c r="AV8" i="10" l="1"/>
  <c r="AV20" i="10" s="1"/>
  <c r="AV9" i="10"/>
  <c r="AV21" i="10" s="1"/>
  <c r="AW5" i="10"/>
  <c r="AV6" i="10"/>
  <c r="AV18" i="10" s="1"/>
  <c r="AV7" i="10"/>
  <c r="AV19" i="10" s="1"/>
  <c r="AU33" i="10"/>
  <c r="AS42" i="10"/>
  <c r="AS43" i="10" s="1"/>
  <c r="AS44" i="10" s="1"/>
  <c r="AU34" i="10"/>
  <c r="AU30" i="10"/>
  <c r="AV17" i="10"/>
  <c r="AU28" i="10"/>
  <c r="AU32" i="10"/>
  <c r="AV15" i="10"/>
  <c r="AV33" i="10"/>
  <c r="AV29" i="10"/>
  <c r="AW16" i="10"/>
  <c r="AV24" i="10"/>
  <c r="AT31" i="10"/>
  <c r="AT27" i="10"/>
  <c r="AT22" i="10"/>
  <c r="AU14" i="10"/>
  <c r="AT42" i="10" l="1"/>
  <c r="AT43" i="10" s="1"/>
  <c r="AT44" i="10" s="1"/>
  <c r="AV41" i="10"/>
  <c r="AX5" i="10"/>
  <c r="AW8" i="10"/>
  <c r="AW33" i="10" s="1"/>
  <c r="AW7" i="10"/>
  <c r="AW6" i="10"/>
  <c r="AW9" i="10"/>
  <c r="AV34" i="10"/>
  <c r="AW17" i="10"/>
  <c r="AV25" i="10"/>
  <c r="AV30" i="10"/>
  <c r="AW29" i="10"/>
  <c r="AX16" i="10"/>
  <c r="AU31" i="10"/>
  <c r="AU27" i="10"/>
  <c r="AV14" i="10"/>
  <c r="AV32" i="10"/>
  <c r="AV28" i="10"/>
  <c r="AV23" i="10"/>
  <c r="AW15" i="10"/>
  <c r="AX7" i="10" l="1"/>
  <c r="AX19" i="10" s="1"/>
  <c r="AX8" i="10"/>
  <c r="AX20" i="10" s="1"/>
  <c r="AX9" i="10"/>
  <c r="AX21" i="10" s="1"/>
  <c r="AX6" i="10"/>
  <c r="AX18" i="10" s="1"/>
  <c r="AY5" i="10"/>
  <c r="AV27" i="10"/>
  <c r="AV31" i="10"/>
  <c r="AV22" i="10"/>
  <c r="AW14" i="10"/>
  <c r="AW30" i="10"/>
  <c r="AW34" i="10"/>
  <c r="AX17" i="10"/>
  <c r="AU42" i="10"/>
  <c r="AU43" i="10" s="1"/>
  <c r="AU44" i="10" s="1"/>
  <c r="AW32" i="10"/>
  <c r="AW28" i="10"/>
  <c r="AX15" i="10"/>
  <c r="AX33" i="10"/>
  <c r="AX29" i="10"/>
  <c r="AX24" i="10"/>
  <c r="AY16" i="10"/>
  <c r="AY9" i="10" l="1"/>
  <c r="AY8" i="10"/>
  <c r="AY33" i="10" s="1"/>
  <c r="AZ5" i="10"/>
  <c r="AY6" i="10"/>
  <c r="AY7" i="10"/>
  <c r="AX41" i="10"/>
  <c r="AY29" i="10"/>
  <c r="AZ16" i="10"/>
  <c r="AX32" i="10"/>
  <c r="AX28" i="10"/>
  <c r="AX23" i="10"/>
  <c r="AY15" i="10"/>
  <c r="AX34" i="10"/>
  <c r="AX30" i="10"/>
  <c r="AX25" i="10"/>
  <c r="AY17" i="10"/>
  <c r="AW27" i="10"/>
  <c r="AW31" i="10"/>
  <c r="AX14" i="10"/>
  <c r="AV42" i="10"/>
  <c r="AV43" i="10" s="1"/>
  <c r="AV44" i="10" s="1"/>
  <c r="BA5" i="10" l="1"/>
  <c r="AZ8" i="10"/>
  <c r="AZ20" i="10" s="1"/>
  <c r="AZ7" i="10"/>
  <c r="AZ19" i="10" s="1"/>
  <c r="AZ9" i="10"/>
  <c r="AZ21" i="10" s="1"/>
  <c r="AZ6" i="10"/>
  <c r="AZ18" i="10" s="1"/>
  <c r="AW42" i="10"/>
  <c r="AW43" i="10" s="1"/>
  <c r="AW44" i="10" s="1"/>
  <c r="AX31" i="10"/>
  <c r="AX27" i="10"/>
  <c r="AX22" i="10"/>
  <c r="AY14" i="10"/>
  <c r="AY30" i="10"/>
  <c r="AY34" i="10"/>
  <c r="AZ17" i="10"/>
  <c r="AY32" i="10"/>
  <c r="AY28" i="10"/>
  <c r="AZ15" i="10"/>
  <c r="AZ33" i="10"/>
  <c r="AZ29" i="10"/>
  <c r="BA16" i="10"/>
  <c r="AZ41" i="10" l="1"/>
  <c r="AZ24" i="10"/>
  <c r="BB5" i="10"/>
  <c r="BA9" i="10"/>
  <c r="BA8" i="10"/>
  <c r="BA29" i="10" s="1"/>
  <c r="BA6" i="10"/>
  <c r="BA7" i="10"/>
  <c r="BA33" i="10"/>
  <c r="BB16" i="10"/>
  <c r="AY31" i="10"/>
  <c r="AY27" i="10"/>
  <c r="AZ14" i="10"/>
  <c r="AZ28" i="10"/>
  <c r="AZ23" i="10"/>
  <c r="AZ32" i="10"/>
  <c r="BA15" i="10"/>
  <c r="AX42" i="10"/>
  <c r="AX43" i="10" s="1"/>
  <c r="AX44" i="10" s="1"/>
  <c r="AZ30" i="10"/>
  <c r="AZ34" i="10"/>
  <c r="AZ25" i="10"/>
  <c r="BA17" i="10"/>
  <c r="AY42" i="10" l="1"/>
  <c r="AY43" i="10" s="1"/>
  <c r="AY44" i="10" s="1"/>
  <c r="BB6" i="10"/>
  <c r="BB7" i="10"/>
  <c r="BB9" i="10"/>
  <c r="BB8" i="10"/>
  <c r="BB29" i="10" s="1"/>
  <c r="BC5" i="10"/>
  <c r="AZ31" i="10"/>
  <c r="AZ27" i="10"/>
  <c r="AZ22" i="10"/>
  <c r="BA14" i="10"/>
  <c r="BA30" i="10"/>
  <c r="BA34" i="10"/>
  <c r="BB17" i="10"/>
  <c r="BC16" i="10"/>
  <c r="BA32" i="10"/>
  <c r="BA28" i="10"/>
  <c r="BB15" i="10"/>
  <c r="AZ42" i="10" l="1"/>
  <c r="AZ43" i="10" s="1"/>
  <c r="AZ44" i="10" s="1"/>
  <c r="BC7" i="10"/>
  <c r="BC8" i="10"/>
  <c r="BC6" i="10"/>
  <c r="BD5" i="10"/>
  <c r="BC9" i="10"/>
  <c r="BB33" i="10"/>
  <c r="BB30" i="10"/>
  <c r="BB34" i="10"/>
  <c r="BC17" i="10"/>
  <c r="BB32" i="10"/>
  <c r="BB28" i="10"/>
  <c r="BC15" i="10"/>
  <c r="BA27" i="10"/>
  <c r="BA31" i="10"/>
  <c r="BB14" i="10"/>
  <c r="BC29" i="10"/>
  <c r="BC33" i="10"/>
  <c r="BD16" i="10"/>
  <c r="BD9" i="10" l="1"/>
  <c r="BD21" i="10" s="1"/>
  <c r="BD8" i="10"/>
  <c r="BD20" i="10" s="1"/>
  <c r="BE5" i="10"/>
  <c r="BD7" i="10"/>
  <c r="BD19" i="10" s="1"/>
  <c r="BD6" i="10"/>
  <c r="BD18" i="10" s="1"/>
  <c r="BD41" i="10" s="1"/>
  <c r="BA42" i="10"/>
  <c r="BA43" i="10" s="1"/>
  <c r="BA44" i="10" s="1"/>
  <c r="BC28" i="10"/>
  <c r="BC32" i="10"/>
  <c r="BD15" i="10"/>
  <c r="BD29" i="10"/>
  <c r="BE16" i="10"/>
  <c r="BD24" i="10"/>
  <c r="BC34" i="10"/>
  <c r="BC30" i="10"/>
  <c r="BD17" i="10"/>
  <c r="BB31" i="10"/>
  <c r="BB27" i="10"/>
  <c r="BB42" i="10" s="1"/>
  <c r="BB43" i="10" s="1"/>
  <c r="BC14" i="10"/>
  <c r="BD33" i="10" l="1"/>
  <c r="BE9" i="10"/>
  <c r="BF5" i="10"/>
  <c r="BE8" i="10"/>
  <c r="BE33" i="10" s="1"/>
  <c r="BE7" i="10"/>
  <c r="BE6" i="10"/>
  <c r="BB44" i="10"/>
  <c r="BC31" i="10"/>
  <c r="BD14" i="10"/>
  <c r="BC27" i="10"/>
  <c r="BF16" i="10"/>
  <c r="BD28" i="10"/>
  <c r="BD23" i="10"/>
  <c r="BD32" i="10"/>
  <c r="BE15" i="10"/>
  <c r="BD34" i="10"/>
  <c r="BD30" i="10"/>
  <c r="BE17" i="10"/>
  <c r="BD25" i="10"/>
  <c r="BE29" i="10" l="1"/>
  <c r="BF9" i="10"/>
  <c r="BF21" i="10" s="1"/>
  <c r="BF7" i="10"/>
  <c r="BF19" i="10" s="1"/>
  <c r="BF8" i="10"/>
  <c r="BF20" i="10" s="1"/>
  <c r="BF6" i="10"/>
  <c r="BF18" i="10" s="1"/>
  <c r="BG5" i="10"/>
  <c r="BC42" i="10"/>
  <c r="BC43" i="10" s="1"/>
  <c r="BC44" i="10" s="1"/>
  <c r="BE32" i="10"/>
  <c r="BF15" i="10"/>
  <c r="BE28" i="10"/>
  <c r="BD27" i="10"/>
  <c r="BD22" i="10"/>
  <c r="BE14" i="10"/>
  <c r="BD31" i="10"/>
  <c r="BE30" i="10"/>
  <c r="BE34" i="10"/>
  <c r="BF17" i="10"/>
  <c r="BF24" i="10"/>
  <c r="BG16" i="10"/>
  <c r="BF33" i="10" l="1"/>
  <c r="BF29" i="10"/>
  <c r="BG8" i="10"/>
  <c r="BH5" i="10"/>
  <c r="BG9" i="10"/>
  <c r="BG7" i="10"/>
  <c r="BG6" i="10"/>
  <c r="BF41" i="10"/>
  <c r="BF32" i="10"/>
  <c r="BF23" i="10"/>
  <c r="BG15" i="10"/>
  <c r="BF28" i="10"/>
  <c r="BG33" i="10"/>
  <c r="BG29" i="10"/>
  <c r="BH16" i="10"/>
  <c r="BE27" i="10"/>
  <c r="BE31" i="10"/>
  <c r="BF14" i="10"/>
  <c r="BF34" i="10"/>
  <c r="BF25" i="10"/>
  <c r="BF30" i="10"/>
  <c r="BG17" i="10"/>
  <c r="BD42" i="10"/>
  <c r="BD43" i="10" s="1"/>
  <c r="BD44" i="10" s="1"/>
  <c r="BE42" i="10" l="1"/>
  <c r="BE43" i="10" s="1"/>
  <c r="BE44" i="10" s="1"/>
  <c r="BH6" i="10"/>
  <c r="BH18" i="10" s="1"/>
  <c r="BH7" i="10"/>
  <c r="BH19" i="10" s="1"/>
  <c r="BH8" i="10"/>
  <c r="BH20" i="10" s="1"/>
  <c r="BH9" i="10"/>
  <c r="BH21" i="10" s="1"/>
  <c r="BI5" i="10"/>
  <c r="BG30" i="10"/>
  <c r="BG34" i="10"/>
  <c r="BH17" i="10"/>
  <c r="BI16" i="10"/>
  <c r="BG32" i="10"/>
  <c r="BG28" i="10"/>
  <c r="BH15" i="10"/>
  <c r="BF31" i="10"/>
  <c r="BF27" i="10"/>
  <c r="BF22" i="10"/>
  <c r="BG14" i="10"/>
  <c r="BH24" i="10" l="1"/>
  <c r="BH29" i="10"/>
  <c r="BH33" i="10"/>
  <c r="BJ5" i="10"/>
  <c r="BI9" i="10"/>
  <c r="BI8" i="10"/>
  <c r="BI29" i="10" s="1"/>
  <c r="BI7" i="10"/>
  <c r="BI6" i="10"/>
  <c r="BH41" i="10"/>
  <c r="BJ16" i="10"/>
  <c r="BH30" i="10"/>
  <c r="BH34" i="10"/>
  <c r="BH25" i="10"/>
  <c r="BI17" i="10"/>
  <c r="BH28" i="10"/>
  <c r="BH23" i="10"/>
  <c r="BH32" i="10"/>
  <c r="BI15" i="10"/>
  <c r="BF42" i="10"/>
  <c r="BF43" i="10" s="1"/>
  <c r="BF44" i="10" s="1"/>
  <c r="BG31" i="10"/>
  <c r="BG27" i="10"/>
  <c r="BG42" i="10" s="1"/>
  <c r="BG43" i="10" s="1"/>
  <c r="BH14" i="10"/>
  <c r="BI33" i="10" l="1"/>
  <c r="BJ9" i="10"/>
  <c r="BJ21" i="10" s="1"/>
  <c r="BK5" i="10"/>
  <c r="BJ7" i="10"/>
  <c r="BJ19" i="10" s="1"/>
  <c r="BJ8" i="10"/>
  <c r="BJ20" i="10" s="1"/>
  <c r="BJ6" i="10"/>
  <c r="BJ18" i="10" s="1"/>
  <c r="BI32" i="10"/>
  <c r="BJ15" i="10"/>
  <c r="BI28" i="10"/>
  <c r="BI30" i="10"/>
  <c r="BI34" i="10"/>
  <c r="BJ17" i="10"/>
  <c r="BJ33" i="10"/>
  <c r="BJ24" i="10"/>
  <c r="BJ29" i="10"/>
  <c r="BK16" i="10"/>
  <c r="BH27" i="10"/>
  <c r="BH31" i="10"/>
  <c r="BI14" i="10"/>
  <c r="BH22" i="10"/>
  <c r="BG44" i="10"/>
  <c r="BJ41" i="10" l="1"/>
  <c r="BH42" i="10"/>
  <c r="BH43" i="10" s="1"/>
  <c r="BH44" i="10" s="1"/>
  <c r="BK6" i="10"/>
  <c r="BK9" i="10"/>
  <c r="BK7" i="10"/>
  <c r="BK8" i="10"/>
  <c r="BK33" i="10" s="1"/>
  <c r="BL5" i="10"/>
  <c r="BK29" i="10"/>
  <c r="BL16" i="10"/>
  <c r="BJ34" i="10"/>
  <c r="BJ30" i="10"/>
  <c r="BJ25" i="10"/>
  <c r="BK17" i="10"/>
  <c r="BI31" i="10"/>
  <c r="BI27" i="10"/>
  <c r="BI42" i="10" s="1"/>
  <c r="BI43" i="10" s="1"/>
  <c r="BJ14" i="10"/>
  <c r="BJ32" i="10"/>
  <c r="BJ28" i="10"/>
  <c r="BJ23" i="10"/>
  <c r="BK15" i="10"/>
  <c r="BL8" i="10" l="1"/>
  <c r="BL20" i="10" s="1"/>
  <c r="BL9" i="10"/>
  <c r="BL21" i="10" s="1"/>
  <c r="BM5" i="10"/>
  <c r="BL7" i="10"/>
  <c r="BL19" i="10" s="1"/>
  <c r="BL6" i="10"/>
  <c r="BL18" i="10" s="1"/>
  <c r="BL41" i="10" s="1"/>
  <c r="BL29" i="10"/>
  <c r="BL24" i="10"/>
  <c r="BL33" i="10"/>
  <c r="BM16" i="10"/>
  <c r="BK34" i="10"/>
  <c r="BK30" i="10"/>
  <c r="BL17" i="10"/>
  <c r="BJ31" i="10"/>
  <c r="BJ27" i="10"/>
  <c r="BJ22" i="10"/>
  <c r="BK14" i="10"/>
  <c r="BK32" i="10"/>
  <c r="BK28" i="10"/>
  <c r="BL15" i="10"/>
  <c r="BI44" i="10"/>
  <c r="BM7" i="10" l="1"/>
  <c r="BM9" i="10"/>
  <c r="BM8" i="10"/>
  <c r="BN5" i="10"/>
  <c r="BM6" i="10"/>
  <c r="BL34" i="10"/>
  <c r="BL30" i="10"/>
  <c r="BL25" i="10"/>
  <c r="BM17" i="10"/>
  <c r="BL32" i="10"/>
  <c r="BL28" i="10"/>
  <c r="BL23" i="10"/>
  <c r="BM15" i="10"/>
  <c r="BM33" i="10"/>
  <c r="BM29" i="10"/>
  <c r="BN16" i="10"/>
  <c r="BK31" i="10"/>
  <c r="BL14" i="10"/>
  <c r="BK27" i="10"/>
  <c r="BK42" i="10" s="1"/>
  <c r="BK43" i="10" s="1"/>
  <c r="BJ42" i="10"/>
  <c r="BJ43" i="10" s="1"/>
  <c r="BJ44" i="10" s="1"/>
  <c r="BO5" i="10" l="1"/>
  <c r="BN9" i="10"/>
  <c r="BN21" i="10" s="1"/>
  <c r="BN6" i="10"/>
  <c r="BN18" i="10" s="1"/>
  <c r="BN8" i="10"/>
  <c r="BN20" i="10" s="1"/>
  <c r="BN7" i="10"/>
  <c r="BN19" i="10" s="1"/>
  <c r="BK44" i="10"/>
  <c r="BM32" i="10"/>
  <c r="BM28" i="10"/>
  <c r="BN15" i="10"/>
  <c r="BO16" i="10"/>
  <c r="BM30" i="10"/>
  <c r="BM34" i="10"/>
  <c r="BN17" i="10"/>
  <c r="BL31" i="10"/>
  <c r="BL27" i="10"/>
  <c r="BL22" i="10"/>
  <c r="BM14" i="10"/>
  <c r="BN33" i="10" l="1"/>
  <c r="BN29" i="10"/>
  <c r="BN41" i="10"/>
  <c r="BN24" i="10"/>
  <c r="BP5" i="10"/>
  <c r="BO7" i="10"/>
  <c r="BO6" i="10"/>
  <c r="BO8" i="10"/>
  <c r="BO33" i="10" s="1"/>
  <c r="BO9" i="10"/>
  <c r="BN32" i="10"/>
  <c r="BN28" i="10"/>
  <c r="BN23" i="10"/>
  <c r="BO15" i="10"/>
  <c r="BN34" i="10"/>
  <c r="BN30" i="10"/>
  <c r="BN25" i="10"/>
  <c r="BO17" i="10"/>
  <c r="BM27" i="10"/>
  <c r="BM31" i="10"/>
  <c r="BN14" i="10"/>
  <c r="BL42" i="10"/>
  <c r="BL43" i="10" s="1"/>
  <c r="BL44" i="10" s="1"/>
  <c r="BP16" i="10"/>
  <c r="BO29" i="10" l="1"/>
  <c r="BP8" i="10"/>
  <c r="BP20" i="10" s="1"/>
  <c r="BQ5" i="10"/>
  <c r="BP7" i="10"/>
  <c r="BP19" i="10" s="1"/>
  <c r="BP9" i="10"/>
  <c r="BP21" i="10" s="1"/>
  <c r="BP6" i="10"/>
  <c r="BP18" i="10" s="1"/>
  <c r="BN31" i="10"/>
  <c r="BO14" i="10"/>
  <c r="BN27" i="10"/>
  <c r="BN22" i="10"/>
  <c r="BM42" i="10"/>
  <c r="BM43" i="10" s="1"/>
  <c r="BM44" i="10" s="1"/>
  <c r="BO30" i="10"/>
  <c r="BP17" i="10"/>
  <c r="BO34" i="10"/>
  <c r="BP33" i="10"/>
  <c r="BP29" i="10"/>
  <c r="BP24" i="10"/>
  <c r="BQ16" i="10"/>
  <c r="BO28" i="10"/>
  <c r="BO32" i="10"/>
  <c r="BP15" i="10"/>
  <c r="BN42" i="10" l="1"/>
  <c r="BN43" i="10" s="1"/>
  <c r="BP41" i="10"/>
  <c r="BQ7" i="10"/>
  <c r="BQ8" i="10"/>
  <c r="BQ33" i="10" s="1"/>
  <c r="BQ6" i="10"/>
  <c r="BR5" i="10"/>
  <c r="BQ9" i="10"/>
  <c r="BN44" i="10"/>
  <c r="BP30" i="10"/>
  <c r="BP34" i="10"/>
  <c r="BP25" i="10"/>
  <c r="BQ17" i="10"/>
  <c r="BO31" i="10"/>
  <c r="BO27" i="10"/>
  <c r="BO42" i="10" s="1"/>
  <c r="BO43" i="10" s="1"/>
  <c r="BO44" i="10" s="1"/>
  <c r="BP14" i="10"/>
  <c r="BP28" i="10"/>
  <c r="BP23" i="10"/>
  <c r="BP32" i="10"/>
  <c r="BQ15" i="10"/>
  <c r="BR16" i="10"/>
  <c r="BQ29" i="10" l="1"/>
  <c r="BS5" i="10"/>
  <c r="BR9" i="10"/>
  <c r="BR8" i="10"/>
  <c r="BR29" i="10" s="1"/>
  <c r="BR6" i="10"/>
  <c r="BR7" i="10"/>
  <c r="BP31" i="10"/>
  <c r="BP22" i="10"/>
  <c r="BQ14" i="10"/>
  <c r="BP27" i="10"/>
  <c r="BS16" i="10"/>
  <c r="BR33" i="10"/>
  <c r="BQ30" i="10"/>
  <c r="BQ34" i="10"/>
  <c r="BR17" i="10"/>
  <c r="BQ32" i="10"/>
  <c r="BQ28" i="10"/>
  <c r="BR15" i="10"/>
  <c r="BS7" i="10" l="1"/>
  <c r="BT5" i="10"/>
  <c r="BS8" i="10"/>
  <c r="BS9" i="10"/>
  <c r="BS6" i="10"/>
  <c r="BP42" i="10"/>
  <c r="BP43" i="10" s="1"/>
  <c r="BP44" i="10" s="1"/>
  <c r="BR34" i="10"/>
  <c r="BR30" i="10"/>
  <c r="BS17" i="10"/>
  <c r="BR32" i="10"/>
  <c r="BR28" i="10"/>
  <c r="BS15" i="10"/>
  <c r="BS33" i="10"/>
  <c r="BS29" i="10"/>
  <c r="BT16" i="10"/>
  <c r="BQ31" i="10"/>
  <c r="BQ27" i="10"/>
  <c r="BR14" i="10"/>
  <c r="BU5" i="10" l="1"/>
  <c r="BT6" i="10"/>
  <c r="BT18" i="10" s="1"/>
  <c r="BT7" i="10"/>
  <c r="BT19" i="10" s="1"/>
  <c r="BT8" i="10"/>
  <c r="BT20" i="10" s="1"/>
  <c r="BT9" i="10"/>
  <c r="BT21" i="10" s="1"/>
  <c r="BQ42" i="10"/>
  <c r="BQ43" i="10" s="1"/>
  <c r="BQ44" i="10" s="1"/>
  <c r="BS28" i="10"/>
  <c r="BS32" i="10"/>
  <c r="BT15" i="10"/>
  <c r="BS34" i="10"/>
  <c r="BT17" i="10"/>
  <c r="BS30" i="10"/>
  <c r="BU16" i="10"/>
  <c r="BR31" i="10"/>
  <c r="BR27" i="10"/>
  <c r="BS14" i="10"/>
  <c r="BT24" i="10" l="1"/>
  <c r="BT33" i="10"/>
  <c r="BT29" i="10"/>
  <c r="BT41" i="10"/>
  <c r="BU6" i="10"/>
  <c r="BU7" i="10"/>
  <c r="BU9" i="10"/>
  <c r="BU8" i="10"/>
  <c r="BU29" i="10" s="1"/>
  <c r="BV5" i="10"/>
  <c r="BS31" i="10"/>
  <c r="BS27" i="10"/>
  <c r="BS42" i="10" s="1"/>
  <c r="BS43" i="10" s="1"/>
  <c r="BT14" i="10"/>
  <c r="BT34" i="10"/>
  <c r="BT30" i="10"/>
  <c r="BT25" i="10"/>
  <c r="BU17" i="10"/>
  <c r="BT32" i="10"/>
  <c r="BT28" i="10"/>
  <c r="BT23" i="10"/>
  <c r="BU15" i="10"/>
  <c r="BV16" i="10"/>
  <c r="BR42" i="10"/>
  <c r="BR43" i="10" s="1"/>
  <c r="BR44" i="10" s="1"/>
  <c r="BS44" i="10" s="1"/>
  <c r="BU33" i="10" l="1"/>
  <c r="BV8" i="10"/>
  <c r="BV20" i="10" s="1"/>
  <c r="BW5" i="10"/>
  <c r="BV9" i="10"/>
  <c r="BV21" i="10" s="1"/>
  <c r="BV7" i="10"/>
  <c r="BV19" i="10" s="1"/>
  <c r="BV6" i="10"/>
  <c r="BV18" i="10" s="1"/>
  <c r="BV24" i="10"/>
  <c r="BW16" i="10"/>
  <c r="BU30" i="10"/>
  <c r="BU34" i="10"/>
  <c r="BV17" i="10"/>
  <c r="BU32" i="10"/>
  <c r="BU28" i="10"/>
  <c r="BV15" i="10"/>
  <c r="BT27" i="10"/>
  <c r="BT31" i="10"/>
  <c r="BT22" i="10"/>
  <c r="BU14" i="10"/>
  <c r="BV41" i="10" l="1"/>
  <c r="BT42" i="10"/>
  <c r="BT43" i="10" s="1"/>
  <c r="BT44" i="10" s="1"/>
  <c r="BV33" i="10"/>
  <c r="BV29" i="10"/>
  <c r="BW8" i="10"/>
  <c r="BW33" i="10" s="1"/>
  <c r="BW6" i="10"/>
  <c r="BW9" i="10"/>
  <c r="BX5" i="10"/>
  <c r="BW7" i="10"/>
  <c r="BU27" i="10"/>
  <c r="BV14" i="10"/>
  <c r="BU31" i="10"/>
  <c r="BV34" i="10"/>
  <c r="BV30" i="10"/>
  <c r="BV25" i="10"/>
  <c r="BW17" i="10"/>
  <c r="BX16" i="10"/>
  <c r="BV32" i="10"/>
  <c r="BV23" i="10"/>
  <c r="BV28" i="10"/>
  <c r="BW15" i="10"/>
  <c r="BU42" i="10" l="1"/>
  <c r="BU43" i="10" s="1"/>
  <c r="BU44" i="10" s="1"/>
  <c r="BW29" i="10"/>
  <c r="BY5" i="10"/>
  <c r="BX8" i="10"/>
  <c r="BX20" i="10" s="1"/>
  <c r="BX7" i="10"/>
  <c r="BX19" i="10" s="1"/>
  <c r="BX9" i="10"/>
  <c r="BX21" i="10" s="1"/>
  <c r="BX6" i="10"/>
  <c r="BX18" i="10" s="1"/>
  <c r="BX41" i="10" s="1"/>
  <c r="BV31" i="10"/>
  <c r="BV27" i="10"/>
  <c r="BW14" i="10"/>
  <c r="BV22" i="10"/>
  <c r="BW34" i="10"/>
  <c r="BW30" i="10"/>
  <c r="BX17" i="10"/>
  <c r="BX33" i="10"/>
  <c r="BX29" i="10"/>
  <c r="BX24" i="10"/>
  <c r="BY16" i="10"/>
  <c r="BW32" i="10"/>
  <c r="BW28" i="10"/>
  <c r="BX15" i="10"/>
  <c r="BV42" i="10" l="1"/>
  <c r="BV43" i="10" s="1"/>
  <c r="BV44" i="10" s="1"/>
  <c r="E31" i="10" s="1"/>
  <c r="BY6" i="10"/>
  <c r="BY9" i="10"/>
  <c r="BY7" i="10"/>
  <c r="BY8" i="10"/>
  <c r="BY33" i="10" s="1"/>
  <c r="BZ5" i="10"/>
  <c r="BX30" i="10"/>
  <c r="BX34" i="10"/>
  <c r="BX25" i="10"/>
  <c r="BY17" i="10"/>
  <c r="BW31" i="10"/>
  <c r="BW27" i="10"/>
  <c r="BX14" i="10"/>
  <c r="BX32" i="10"/>
  <c r="BX28" i="10"/>
  <c r="BX23" i="10"/>
  <c r="BY15" i="10"/>
  <c r="BZ16" i="10"/>
  <c r="BY29" i="10" l="1"/>
  <c r="CA5" i="10"/>
  <c r="BZ6" i="10"/>
  <c r="BZ18" i="10" s="1"/>
  <c r="BZ9" i="10"/>
  <c r="BZ21" i="10" s="1"/>
  <c r="BZ8" i="10"/>
  <c r="BZ20" i="10" s="1"/>
  <c r="BZ7" i="10"/>
  <c r="BZ19" i="10" s="1"/>
  <c r="BY30" i="10"/>
  <c r="BY34" i="10"/>
  <c r="BZ17" i="10"/>
  <c r="BY32" i="10"/>
  <c r="BY28" i="10"/>
  <c r="BZ15" i="10"/>
  <c r="BW42" i="10"/>
  <c r="BW43" i="10" s="1"/>
  <c r="BW44" i="10" s="1"/>
  <c r="BZ24" i="10"/>
  <c r="BZ33" i="10"/>
  <c r="CA16" i="10"/>
  <c r="BX31" i="10"/>
  <c r="BX22" i="10"/>
  <c r="BX27" i="10"/>
  <c r="BX42" i="10" s="1"/>
  <c r="BX43" i="10" s="1"/>
  <c r="BY14" i="10"/>
  <c r="BZ41" i="10" l="1"/>
  <c r="CA6" i="10"/>
  <c r="CB5" i="10"/>
  <c r="CA7" i="10"/>
  <c r="CA9" i="10"/>
  <c r="CA8" i="10"/>
  <c r="CA33" i="10" s="1"/>
  <c r="BX44" i="10"/>
  <c r="BZ29" i="10"/>
  <c r="BZ32" i="10"/>
  <c r="BZ28" i="10"/>
  <c r="BZ23" i="10"/>
  <c r="CA15" i="10"/>
  <c r="BY27" i="10"/>
  <c r="BY31" i="10"/>
  <c r="BZ14" i="10"/>
  <c r="CA29" i="10"/>
  <c r="CB16" i="10"/>
  <c r="BZ30" i="10"/>
  <c r="BZ34" i="10"/>
  <c r="BZ25" i="10"/>
  <c r="CA17" i="10"/>
  <c r="CB8" i="10" l="1"/>
  <c r="CB20" i="10" s="1"/>
  <c r="CC5" i="10"/>
  <c r="CB6" i="10"/>
  <c r="CB18" i="10" s="1"/>
  <c r="CB7" i="10"/>
  <c r="CB19" i="10" s="1"/>
  <c r="CB9" i="10"/>
  <c r="CB21" i="10" s="1"/>
  <c r="BY42" i="10"/>
  <c r="BY43" i="10" s="1"/>
  <c r="BY44" i="10" s="1"/>
  <c r="CA34" i="10"/>
  <c r="CB17" i="10"/>
  <c r="CA30" i="10"/>
  <c r="CA28" i="10"/>
  <c r="CA32" i="10"/>
  <c r="CB15" i="10"/>
  <c r="BZ31" i="10"/>
  <c r="BZ27" i="10"/>
  <c r="BZ22" i="10"/>
  <c r="CA14" i="10"/>
  <c r="CB33" i="10"/>
  <c r="CB29" i="10"/>
  <c r="CC16" i="10"/>
  <c r="CB24" i="10" l="1"/>
  <c r="CB41" i="10"/>
  <c r="CC7" i="10"/>
  <c r="CC8" i="10"/>
  <c r="CC6" i="10"/>
  <c r="CC9" i="10"/>
  <c r="CD5" i="10"/>
  <c r="CC33" i="10"/>
  <c r="CC29" i="10"/>
  <c r="CD16" i="10"/>
  <c r="CA31" i="10"/>
  <c r="CA27" i="10"/>
  <c r="CB14" i="10"/>
  <c r="CB34" i="10"/>
  <c r="CB25" i="10"/>
  <c r="CB30" i="10"/>
  <c r="CC17" i="10"/>
  <c r="CB28" i="10"/>
  <c r="CC15" i="10"/>
  <c r="CB32" i="10"/>
  <c r="CB23" i="10"/>
  <c r="BZ42" i="10"/>
  <c r="BZ43" i="10" s="1"/>
  <c r="BZ44" i="10" s="1"/>
  <c r="CD9" i="10" l="1"/>
  <c r="CD21" i="10" s="1"/>
  <c r="CD6" i="10"/>
  <c r="CD18" i="10" s="1"/>
  <c r="CD7" i="10"/>
  <c r="CD19" i="10" s="1"/>
  <c r="CE5" i="10"/>
  <c r="CD8" i="10"/>
  <c r="CD20" i="10" s="1"/>
  <c r="CA42" i="10"/>
  <c r="CA43" i="10" s="1"/>
  <c r="CA44" i="10" s="1"/>
  <c r="CB27" i="10"/>
  <c r="CB31" i="10"/>
  <c r="CB22" i="10"/>
  <c r="CC14" i="10"/>
  <c r="CC30" i="10"/>
  <c r="CC34" i="10"/>
  <c r="CD17" i="10"/>
  <c r="CC32" i="10"/>
  <c r="CC28" i="10"/>
  <c r="CD15" i="10"/>
  <c r="CD29" i="10"/>
  <c r="CD24" i="10"/>
  <c r="CE16" i="10"/>
  <c r="CE7" i="10" l="1"/>
  <c r="CE9" i="10"/>
  <c r="CE6" i="10"/>
  <c r="CE8" i="10"/>
  <c r="CF5" i="10"/>
  <c r="CD41" i="10"/>
  <c r="CD33" i="10"/>
  <c r="CD25" i="10"/>
  <c r="CD34" i="10"/>
  <c r="CD30" i="10"/>
  <c r="CE17" i="10"/>
  <c r="CC27" i="10"/>
  <c r="CC31" i="10"/>
  <c r="CD14" i="10"/>
  <c r="CD32" i="10"/>
  <c r="CD28" i="10"/>
  <c r="CE15" i="10"/>
  <c r="CD23" i="10"/>
  <c r="CB42" i="10"/>
  <c r="CB43" i="10" s="1"/>
  <c r="CB44" i="10" s="1"/>
  <c r="CE33" i="10"/>
  <c r="CF16" i="10"/>
  <c r="CE29" i="10"/>
  <c r="CG5" i="10" l="1"/>
  <c r="CF8" i="10"/>
  <c r="CF20" i="10" s="1"/>
  <c r="CF9" i="10"/>
  <c r="CF21" i="10" s="1"/>
  <c r="CF6" i="10"/>
  <c r="CF18" i="10" s="1"/>
  <c r="CF41" i="10" s="1"/>
  <c r="CF7" i="10"/>
  <c r="CF19" i="10" s="1"/>
  <c r="CD31" i="10"/>
  <c r="CD27" i="10"/>
  <c r="CD42" i="10" s="1"/>
  <c r="CD43" i="10" s="1"/>
  <c r="CE14" i="10"/>
  <c r="CD22" i="10"/>
  <c r="CC42" i="10"/>
  <c r="CC43" i="10" s="1"/>
  <c r="CC44" i="10" s="1"/>
  <c r="CF33" i="10"/>
  <c r="CF24" i="10"/>
  <c r="CF29" i="10"/>
  <c r="CG16" i="10"/>
  <c r="CE34" i="10"/>
  <c r="CE30" i="10"/>
  <c r="CF17" i="10"/>
  <c r="CE32" i="10"/>
  <c r="CE28" i="10"/>
  <c r="CF15" i="10"/>
  <c r="CD44" i="10" l="1"/>
  <c r="CG7" i="10"/>
  <c r="CG6" i="10"/>
  <c r="CH5" i="10"/>
  <c r="CG9" i="10"/>
  <c r="CG8" i="10"/>
  <c r="CG33" i="10" s="1"/>
  <c r="CF32" i="10"/>
  <c r="CF28" i="10"/>
  <c r="CF23" i="10"/>
  <c r="CG15" i="10"/>
  <c r="CF30" i="10"/>
  <c r="CF34" i="10"/>
  <c r="CF25" i="10"/>
  <c r="CG17" i="10"/>
  <c r="CE31" i="10"/>
  <c r="CE27" i="10"/>
  <c r="CE42" i="10" s="1"/>
  <c r="CE43" i="10" s="1"/>
  <c r="CE44" i="10" s="1"/>
  <c r="CF14" i="10"/>
  <c r="CH16" i="10"/>
  <c r="CG29" i="10" l="1"/>
  <c r="CH8" i="10"/>
  <c r="CH6" i="10"/>
  <c r="CH7" i="10"/>
  <c r="CH9" i="10"/>
  <c r="CI5" i="10"/>
  <c r="CG28" i="10"/>
  <c r="CH15" i="10"/>
  <c r="CG32" i="10"/>
  <c r="CF31" i="10"/>
  <c r="CF27" i="10"/>
  <c r="CF22" i="10"/>
  <c r="CG14" i="10"/>
  <c r="CH29" i="10"/>
  <c r="CI16" i="10"/>
  <c r="CH33" i="10"/>
  <c r="CG30" i="10"/>
  <c r="CG34" i="10"/>
  <c r="CH17" i="10"/>
  <c r="CI7" i="10" l="1"/>
  <c r="CI8" i="10"/>
  <c r="CI6" i="10"/>
  <c r="CI9" i="10"/>
  <c r="CF42" i="10"/>
  <c r="CF43" i="10" s="1"/>
  <c r="CF44" i="10" s="1"/>
  <c r="CG27" i="10"/>
  <c r="CG31" i="10"/>
  <c r="CH14" i="10"/>
  <c r="CH34" i="10"/>
  <c r="CH30" i="10"/>
  <c r="CI17" i="10"/>
  <c r="CI33" i="10"/>
  <c r="CI29" i="10"/>
  <c r="CH32" i="10"/>
  <c r="CH28" i="10"/>
  <c r="CI15" i="10"/>
  <c r="CI34" i="10" l="1"/>
  <c r="CI30" i="10"/>
  <c r="CI28" i="10"/>
  <c r="CI32" i="10"/>
  <c r="CH31" i="10"/>
  <c r="CH27" i="10"/>
  <c r="CH42" i="10" s="1"/>
  <c r="CH43" i="10" s="1"/>
  <c r="CI14" i="10"/>
  <c r="CG42" i="10"/>
  <c r="CG43" i="10" s="1"/>
  <c r="CG44" i="10" s="1"/>
  <c r="CH44" i="10" l="1"/>
  <c r="CI31" i="10"/>
  <c r="CI27" i="10"/>
  <c r="CI42" i="10" s="1"/>
  <c r="CI43" i="10" s="1"/>
  <c r="CI44" i="10" s="1"/>
  <c r="C9" i="5" l="1"/>
  <c r="C10" i="5" l="1"/>
  <c r="C12" i="5"/>
  <c r="C13" i="5" s="1"/>
  <c r="C14" i="5" s="1"/>
  <c r="C15"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B66B2B81-B698-40AF-B1AF-925AAE865D1D}">
      <text>
        <r>
          <rPr>
            <b/>
            <sz val="8"/>
            <color indexed="81"/>
            <rFont val="Tahoma"/>
            <family val="2"/>
          </rPr>
          <t>Autor:</t>
        </r>
        <r>
          <rPr>
            <sz val="8"/>
            <color indexed="81"/>
            <rFont val="Tahoma"/>
            <family val="2"/>
          </rPr>
          <t xml:space="preserve">
9=notable
6,5=aceptable
4=insuf</t>
        </r>
      </text>
    </comment>
    <comment ref="G2" authorId="0" shapeId="0" xr:uid="{E4008AA7-18C2-4021-8519-6AAABD17CB24}">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<sst xmlns="http://schemas.openxmlformats.org/spreadsheetml/2006/main" count="1684" uniqueCount="1171">
  <si>
    <t>El entrenamiento de condición esta basado por minutos (pero comienza con un 75% para los jugadores en el terreno de juego).</t>
  </si>
  <si>
    <t>tabla I: rendimiento por minuto en función de la resistencia del jugador. </t>
  </si>
  <si>
    <t>x</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</si>
  <si>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</si>
  <si>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</si>
  <si>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</si>
  <si>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</si>
  <si>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</si>
  <si>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</si>
  <si>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</si>
  <si>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</si>
  <si>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</si>
  <si>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</si>
  <si>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</si>
  <si>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</si>
  <si>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</si>
  <si>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</si>
  <si>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Insuficiente</t>
  </si>
  <si>
    <t>Aceptable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</si>
  <si>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</si>
  <si>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</si>
  <si>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</si>
  <si>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</si>
  <si>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</si>
  <si>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</si>
  <si>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</si>
  <si>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</si>
  <si>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</si>
  <si>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</si>
  <si>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</si>
  <si>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</si>
  <si>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</si>
  <si>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</si>
  <si>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</si>
  <si>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</si>
  <si>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</si>
  <si>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</si>
  <si>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</si>
  <si>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</si>
  <si>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</si>
  <si>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</si>
  <si>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</si>
  <si>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</si>
  <si>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</si>
  <si>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 xml:space="preserve">Porteria </t>
  </si>
  <si>
    <t>Inicio</t>
  </si>
  <si>
    <t>Final</t>
  </si>
  <si>
    <t>SEM</t>
  </si>
  <si>
    <t>TOT</t>
  </si>
  <si>
    <t xml:space="preserve">Defensa </t>
  </si>
  <si>
    <t>Jugadas</t>
  </si>
  <si>
    <t>Lateral</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</si>
  <si>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</si>
  <si>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</si>
  <si>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</si>
  <si>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</si>
  <si>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</si>
  <si>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</si>
  <si>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</si>
  <si>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</si>
  <si>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</si>
  <si>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</si>
  <si>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</si>
  <si>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</si>
  <si>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</si>
  <si>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</si>
  <si>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</si>
  <si>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</si>
  <si>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</si>
  <si>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Pases</t>
  </si>
  <si>
    <t>Anotación</t>
  </si>
  <si>
    <t>BP</t>
  </si>
  <si>
    <t>%_Res</t>
  </si>
  <si>
    <t>Auxiliares</t>
  </si>
  <si>
    <t>10 (+35%)</t>
  </si>
  <si>
    <t>%_Entr</t>
  </si>
  <si>
    <t>Pases Largos</t>
  </si>
  <si>
    <t>Defensa</t>
  </si>
  <si>
    <t>Porteria</t>
  </si>
  <si>
    <t>Entrenador</t>
  </si>
  <si>
    <t>CA Extremo</t>
  </si>
  <si>
    <t>*6-7 bueno 100% 12%res 19-0</t>
  </si>
  <si>
    <t>Davanters i extrems ((Tots els jugadors del partit))</t>
  </si>
  <si>
    <t>Extrem</t>
  </si>
  <si>
    <t>Atacs per les bandes</t>
  </si>
  <si>
    <t>(Porters, defenses, migcampistes i extrems) ((Tots els jugadors del partit))</t>
  </si>
  <si>
    <t>Posicions defensives</t>
  </si>
  <si>
    <t>Defenses, migcampistes i extrems ((Tots els jugadors del partit))</t>
  </si>
  <si>
    <t>Passades</t>
  </si>
  <si>
    <t>Passades llargues</t>
  </si>
  <si>
    <t>Porters</t>
  </si>
  <si>
    <t>Migcampistes (Extrems) ((Tots els jugadors del partit))</t>
  </si>
  <si>
    <t>Creativitat</t>
  </si>
  <si>
    <t>Migcampistes, extrems i davanters ((Tots els jugadors del partit))</t>
  </si>
  <si>
    <t>Passades curtes</t>
  </si>
  <si>
    <t>((Tots els jugadors del partit))</t>
  </si>
  <si>
    <t>(Pilota aturada)</t>
  </si>
  <si>
    <t>(Tots els jugadors del partit)</t>
  </si>
  <si>
    <t>(Anotació)</t>
  </si>
  <si>
    <t>Xuts</t>
  </si>
  <si>
    <t>Extrems (Laterals) ((Tots els jugadors del partit))</t>
  </si>
  <si>
    <t>Centrades (Extrem)</t>
  </si>
  <si>
    <t>Davanters ((Tots els jugadors del partit))</t>
  </si>
  <si>
    <t>Anotació</t>
  </si>
  <si>
    <t>Defenses ((Tots els jugadors del partit))</t>
  </si>
  <si>
    <t>Tots els jugadors que juguin el partit, 25% de bonus pel llançador de les jugades a pilota aturada i el porter</t>
  </si>
  <si>
    <t>Pilota aturada</t>
  </si>
  <si>
    <t>4Niveles</t>
  </si>
  <si>
    <t>Sem*</t>
  </si>
  <si>
    <t>Jug Residual</t>
  </si>
  <si>
    <t>Jug 50%</t>
  </si>
  <si>
    <t>Jug 100%</t>
  </si>
  <si>
    <t>Jug 125%</t>
  </si>
  <si>
    <t>...per...</t>
  </si>
  <si>
    <t>Millores</t>
  </si>
  <si>
    <t>Tipus d'entrenament</t>
  </si>
  <si>
    <t>Experiencia</t>
  </si>
  <si>
    <t>Liderazgo</t>
  </si>
  <si>
    <t>Precio Compra</t>
  </si>
  <si>
    <t>Precio Conversión</t>
  </si>
  <si>
    <t>Sueldo</t>
  </si>
  <si>
    <t>Tiempo en Club (cambio debil-pobre)</t>
  </si>
  <si>
    <t>Tiempo en Club (desastroso)</t>
  </si>
  <si>
    <t>CosteTOTAL</t>
  </si>
  <si>
    <t>CosteAÑO</t>
  </si>
  <si>
    <t>CosteAÑOdesatroso</t>
  </si>
  <si>
    <t>CM</t>
  </si>
  <si>
    <t>aceptable</t>
  </si>
  <si>
    <t>MG</t>
  </si>
  <si>
    <t>notable</t>
  </si>
  <si>
    <t>EX</t>
  </si>
  <si>
    <t>DV</t>
  </si>
  <si>
    <t>insuf</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</si>
  <si>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</si>
  <si>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</si>
  <si>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</si>
  <si>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</si>
  <si>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</si>
  <si>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</si>
  <si>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</si>
  <si>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</si>
  <si>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</si>
  <si>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</si>
  <si>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</si>
  <si>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</si>
  <si>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</si>
  <si>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</si>
  <si>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PrecioCompra</t>
  </si>
  <si>
    <t>Conversion</t>
  </si>
  <si>
    <t xml:space="preserve">Bueno </t>
  </si>
  <si>
    <t xml:space="preserve">Excelente </t>
  </si>
  <si>
    <t xml:space="preserve">Nivel de Entrenador </t>
  </si>
  <si>
    <t xml:space="preserve">Formidable </t>
  </si>
  <si>
    <t xml:space="preserve">Aceptable </t>
  </si>
  <si>
    <t xml:space="preserve">Destacado </t>
  </si>
  <si>
    <t xml:space="preserve">Brillante </t>
  </si>
  <si>
    <t xml:space="preserve">235.200 - 277.700 € </t>
  </si>
  <si>
    <t xml:space="preserve">- </t>
  </si>
  <si>
    <t xml:space="preserve">Magnífico </t>
  </si>
  <si>
    <t xml:space="preserve">202.000 - 235.200 € </t>
  </si>
  <si>
    <t xml:space="preserve">681.800 - 794 100 € </t>
  </si>
  <si>
    <t xml:space="preserve">Clase Mundial </t>
  </si>
  <si>
    <t xml:space="preserve">176.900 - 200.000 € </t>
  </si>
  <si>
    <t xml:space="preserve">597.300 - 675.000 € </t>
  </si>
  <si>
    <t xml:space="preserve">4.247.700- 4.800.000 € </t>
  </si>
  <si>
    <t xml:space="preserve">Sobrenatural </t>
  </si>
  <si>
    <t xml:space="preserve">157.400 - 175.400 € </t>
  </si>
  <si>
    <t xml:space="preserve">531.400 - 592.100 € </t>
  </si>
  <si>
    <t xml:space="preserve">3.779.500 - 4.210.500 € </t>
  </si>
  <si>
    <t xml:space="preserve">Titánico </t>
  </si>
  <si>
    <t xml:space="preserve">140.800 - 156.200 € </t>
  </si>
  <si>
    <t xml:space="preserve">475.300 - 527.300 € </t>
  </si>
  <si>
    <t xml:space="preserve">3.380.200 - 3.750.000 € </t>
  </si>
  <si>
    <t xml:space="preserve">Extra Terrestre </t>
  </si>
  <si>
    <t xml:space="preserve">128.200 - 139.800 € </t>
  </si>
  <si>
    <t xml:space="preserve">432.600 -472.000 € </t>
  </si>
  <si>
    <t xml:space="preserve">3.076.900 - 3.356.600 € </t>
  </si>
  <si>
    <t xml:space="preserve">Mítico </t>
  </si>
  <si>
    <t xml:space="preserve">117.600 - 127.300 € </t>
  </si>
  <si>
    <t xml:space="preserve">397.000 - 429.900 € </t>
  </si>
  <si>
    <t xml:space="preserve">2.823.500 - 3.057.300 € </t>
  </si>
  <si>
    <t xml:space="preserve">108.600 - 116.900 € </t>
  </si>
  <si>
    <t xml:space="preserve">366.800 - 394.700 € </t>
  </si>
  <si>
    <t xml:space="preserve">2.608.600 - 2.807.000 € </t>
  </si>
  <si>
    <t xml:space="preserve">100.500 - 108.100 € </t>
  </si>
  <si>
    <t xml:space="preserve">339.100 - 364.800 € </t>
  </si>
  <si>
    <t xml:space="preserve">2.412.000 - 2.594.500 € </t>
  </si>
  <si>
    <t xml:space="preserve">93.800 - 100.000 € </t>
  </si>
  <si>
    <t xml:space="preserve">316.900 - 337.500 € </t>
  </si>
  <si>
    <t xml:space="preserve">2.253.500 - 2.400.000 € </t>
  </si>
  <si>
    <t xml:space="preserve">88.100 - 93.400 € </t>
  </si>
  <si>
    <t xml:space="preserve">297.300 - 315.400 € </t>
  </si>
  <si>
    <t xml:space="preserve">2.114.500 - 2.242.290 €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</si>
  <si>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</si>
  <si>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</si>
  <si>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</si>
  <si>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</si>
  <si>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</si>
  <si>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</si>
  <si>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</si>
  <si>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</si>
  <si>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</si>
  <si>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</si>
  <si>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</si>
  <si>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</si>
  <si>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</si>
  <si>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</si>
  <si>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</si>
  <si>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Po</t>
  </si>
  <si>
    <t>(11776649) BP divino, salario 6,0% extra</t>
  </si>
  <si>
    <t>De</t>
  </si>
  <si>
    <t>(20650980) &amp; (95299617) BP mágico, salario 4,7% extra</t>
  </si>
  <si>
    <t>Cr</t>
  </si>
  <si>
    <t>(36438355) BP mítico, salario 4,7% extra</t>
  </si>
  <si>
    <t>Ex</t>
  </si>
  <si>
    <t>(48997559) BP E-T, salario, 4,3% extra</t>
  </si>
  <si>
    <t>Ps</t>
  </si>
  <si>
    <t>(154655044) &amp; (50355509) BP sobrenatural, salario 3,7% extra</t>
  </si>
  <si>
    <t>An</t>
  </si>
  <si>
    <t>(46543607) BP clase mundial, salario 3,3% extra</t>
  </si>
  <si>
    <t>(80271350) BP magnífico, salario 3,2% extra</t>
  </si>
  <si>
    <t>(38306586) BP brillante, salario 3,0% extra</t>
  </si>
  <si>
    <t>(115228650) BP destacado, salario 2,7% extra</t>
  </si>
  <si>
    <t>Sueldo +20%</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</si>
  <si>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</si>
  <si>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</si>
  <si>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</si>
  <si>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</si>
  <si>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</si>
  <si>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</si>
  <si>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</si>
  <si>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</si>
  <si>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Side defence</t>
  </si>
  <si>
    <t>Side Attack</t>
  </si>
  <si>
    <t>Def Lateral</t>
  </si>
  <si>
    <t>Def Central</t>
  </si>
  <si>
    <t>Midfield</t>
  </si>
  <si>
    <t>At lateral</t>
  </si>
  <si>
    <t>At Central</t>
  </si>
  <si>
    <t>Cerca</t>
  </si>
  <si>
    <t>Lejos</t>
  </si>
  <si>
    <t>Offensive coach 92.957%</t>
  </si>
  <si>
    <t>Offensive coach 113.38%</t>
  </si>
  <si>
    <t>GK (GK skill)</t>
  </si>
  <si>
    <t>Defensive coach 120.01%</t>
  </si>
  <si>
    <t>Defensive coach 92.43%</t>
  </si>
  <si>
    <t>GK (defence skill)</t>
  </si>
  <si>
    <t>Neutral coach 105%</t>
  </si>
  <si>
    <t>CD normal (defence skill)</t>
  </si>
  <si>
    <t>CD normal (jugadas skill)</t>
  </si>
  <si>
    <t>AIM tactic 84.1039%</t>
  </si>
  <si>
    <t>Central attack</t>
  </si>
  <si>
    <t>CD offensive (defence skill)</t>
  </si>
  <si>
    <t>Creative tactic 92.2333%</t>
  </si>
  <si>
    <t>CD offensive (jugadas skill)</t>
  </si>
  <si>
    <t>CD TW (defence skill)</t>
  </si>
  <si>
    <t>AOW tactic 84.6727%</t>
  </si>
  <si>
    <t>CD TW (jugadas skill)</t>
  </si>
  <si>
    <t>Creative tactic 91.2607%</t>
  </si>
  <si>
    <t>CD TW (wing skill)</t>
  </si>
  <si>
    <t>Extra CD (defence skill)</t>
  </si>
  <si>
    <t>Central defence</t>
  </si>
  <si>
    <r>
      <t>_19,00__19,99__divino_____</t>
    </r>
    <r>
      <rPr>
        <b/>
        <u/>
        <sz val="11"/>
        <color theme="1"/>
        <rFont val="Calibri"/>
        <family val="2"/>
        <scheme val="minor"/>
      </rPr>
      <t>__</t>
    </r>
    <r>
      <rPr>
        <u/>
        <sz val="11"/>
        <color theme="1"/>
        <rFont val="Calibri"/>
        <family val="2"/>
        <scheme val="minor"/>
      </rPr>
      <t>_</t>
    </r>
  </si>
  <si>
    <t>Extra CD (jugadas skill)</t>
  </si>
  <si>
    <r>
      <t>_18,00__18,99__utópico_____</t>
    </r>
    <r>
      <rPr>
        <b/>
        <u/>
        <sz val="11"/>
        <color theme="1"/>
        <rFont val="Calibri"/>
        <family val="2"/>
        <scheme val="minor"/>
      </rPr>
      <t>_</t>
    </r>
    <r>
      <rPr>
        <u/>
        <sz val="11"/>
        <color theme="1"/>
        <rFont val="Calibri"/>
        <family val="2"/>
        <scheme val="minor"/>
      </rPr>
      <t>_</t>
    </r>
  </si>
  <si>
    <t>WB defensive (defence skill)</t>
  </si>
  <si>
    <r>
      <t>_17,00__17,99__mágico_____</t>
    </r>
    <r>
      <rPr>
        <b/>
        <u/>
        <sz val="11"/>
        <color theme="1"/>
        <rFont val="Calibri"/>
        <family val="2"/>
        <scheme val="minor"/>
      </rPr>
      <t>_</t>
    </r>
    <r>
      <rPr>
        <u/>
        <sz val="11"/>
        <color theme="1"/>
        <rFont val="Calibri"/>
        <family val="2"/>
        <scheme val="minor"/>
      </rPr>
      <t>_</t>
    </r>
  </si>
  <si>
    <t>WB defensive (jugadas skill)</t>
  </si>
  <si>
    <r>
      <t>_16,00__16,99__mítico_____</t>
    </r>
    <r>
      <rPr>
        <b/>
        <u/>
        <sz val="11"/>
        <color theme="1"/>
        <rFont val="Calibri"/>
        <family val="2"/>
        <scheme val="minor"/>
      </rPr>
      <t>__</t>
    </r>
    <r>
      <rPr>
        <u/>
        <sz val="11"/>
        <color theme="1"/>
        <rFont val="Calibri"/>
        <family val="2"/>
        <scheme val="minor"/>
      </rPr>
      <t>_</t>
    </r>
  </si>
  <si>
    <t>WB defensive (wing skill)</t>
  </si>
  <si>
    <r>
      <t>_15,00__15,99__extraterrestre</t>
    </r>
    <r>
      <rPr>
        <b/>
        <u/>
        <sz val="11"/>
        <color theme="1"/>
        <rFont val="Calibri"/>
        <family val="2"/>
        <scheme val="minor"/>
      </rPr>
      <t>_</t>
    </r>
  </si>
  <si>
    <t>WB normal (defence skill)</t>
  </si>
  <si>
    <r>
      <t>_14,00__14,99__titánico_____</t>
    </r>
    <r>
      <rPr>
        <b/>
        <u/>
        <sz val="11"/>
        <color theme="1"/>
        <rFont val="Calibri"/>
        <family val="2"/>
        <scheme val="minor"/>
      </rPr>
      <t>_</t>
    </r>
    <r>
      <rPr>
        <u/>
        <sz val="11"/>
        <color theme="1"/>
        <rFont val="Calibri"/>
        <family val="2"/>
        <scheme val="minor"/>
      </rPr>
      <t>_</t>
    </r>
  </si>
  <si>
    <t>WB normal (jugadas skill)</t>
  </si>
  <si>
    <r>
      <t>_13,00__13,99__sobrenatural_</t>
    </r>
    <r>
      <rPr>
        <b/>
        <u/>
        <sz val="11"/>
        <color theme="1"/>
        <rFont val="Calibri"/>
        <family val="2"/>
        <scheme val="minor"/>
      </rPr>
      <t>_</t>
    </r>
  </si>
  <si>
    <t>WB normal (wing skill)</t>
  </si>
  <si>
    <t>_12,00__12,99__clase mundial_</t>
  </si>
  <si>
    <t>WB offensive (defence skill)</t>
  </si>
  <si>
    <r>
      <t>_11,00__11,99__magnífico__</t>
    </r>
    <r>
      <rPr>
        <b/>
        <u/>
        <sz val="11"/>
        <color theme="1"/>
        <rFont val="Calibri"/>
        <family val="2"/>
        <scheme val="minor"/>
      </rPr>
      <t>_ _</t>
    </r>
  </si>
  <si>
    <t>WB offensive (jugadas skill)</t>
  </si>
  <si>
    <r>
      <t>_10,00__10,99__brillante___</t>
    </r>
    <r>
      <rPr>
        <b/>
        <u/>
        <sz val="11"/>
        <color theme="1"/>
        <rFont val="Calibri"/>
        <family val="2"/>
        <scheme val="minor"/>
      </rPr>
      <t>__</t>
    </r>
    <r>
      <rPr>
        <u/>
        <sz val="11"/>
        <color theme="1"/>
        <rFont val="Calibri"/>
        <family val="2"/>
        <scheme val="minor"/>
      </rPr>
      <t>_</t>
    </r>
  </si>
  <si>
    <t>WB offensive (wing skill)</t>
  </si>
  <si>
    <t>Playing counter attack 93%</t>
  </si>
  <si>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</si>
  <si>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t>WB TM (defence skill)</t>
  </si>
  <si>
    <t>Playing at home 119.892%</t>
  </si>
  <si>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</si>
  <si>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t>WB TM (jugadas skill)</t>
  </si>
  <si>
    <t>Playing derby 111.493%</t>
  </si>
  <si>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</si>
  <si>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t>WB TM (wing skill)</t>
  </si>
  <si>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</si>
  <si>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t>IM normal (defence skill)</t>
  </si>
  <si>
    <t>Playing PIC 83.945%</t>
  </si>
  <si>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</si>
  <si>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t>IM normal (jugadas skill)</t>
  </si>
  <si>
    <t>Playing MoTs 111.4926%</t>
  </si>
  <si>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</si>
  <si>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t>IM normal (passing skill)</t>
  </si>
  <si>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</si>
  <si>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t>IM defensive (defence skill)</t>
  </si>
  <si>
    <t>Long shots: -4% mediocampo (el manual dice "a little bit worse", ahora me he fijado que también el atque - se me había olvidado investigar ese efecto lo haré cuando pueda)</t>
  </si>
  <si>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</si>
  <si>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t>IM defensive (passing skill)</t>
  </si>
  <si>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</si>
  <si>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t>IM offensive (defence skill)</t>
  </si>
  <si>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</si>
  <si>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t xml:space="preserve">IM offensive (passing skill) </t>
  </si>
  <si>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</si>
  <si>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IM off/def (jugadas skill)</t>
  </si>
  <si>
    <t>Extra IM (defence skill)</t>
  </si>
  <si>
    <t>Extra IM (jugadas skill)</t>
  </si>
  <si>
    <t>Efectos de actitud sobre el mediocampo</t>
  </si>
  <si>
    <t>Extra IM (passing skill)</t>
  </si>
  <si>
    <t>PIC en murderous/muy agresivos: -14,8%</t>
  </si>
  <si>
    <t>IM TW (defence skill)</t>
  </si>
  <si>
    <t>PIC en composed/serenos: -(15,8-16,2%)</t>
  </si>
  <si>
    <t>IM TW (jugadas skill)</t>
  </si>
  <si>
    <t>MOTS en murderous/muy agresivos: +(11,1-11,6%)</t>
  </si>
  <si>
    <t>IM TW (wing skill)</t>
  </si>
  <si>
    <t>MOTS en composed/serenos: +(10,3-11,4%)</t>
  </si>
  <si>
    <t xml:space="preserve">IM TW (passing skill) </t>
  </si>
  <si>
    <t>Wing normal (defence skill)</t>
  </si>
  <si>
    <t>Wing normal (jugadas skill)</t>
  </si>
  <si>
    <t>Wing normal (wing skill)</t>
  </si>
  <si>
    <t>Sobrepoblación</t>
  </si>
  <si>
    <t>Wing normal (passing skill)</t>
  </si>
  <si>
    <t>La siguiente tabla muestra el penalti de cada delantero/medio/defensa central respecto a tener uno menos.</t>
  </si>
  <si>
    <t>Wing defensive (defence skill)</t>
  </si>
  <si>
    <t>Wing defensive (wing skill)</t>
  </si>
  <si>
    <t>3, respecto a 2:</t>
  </si>
  <si>
    <t>Wing defensive (passing skill)</t>
  </si>
  <si>
    <t>11,8-13,3% Delanteros</t>
  </si>
  <si>
    <t>Wing offensive (defence skill)</t>
  </si>
  <si>
    <t>13,0-13,3% Medios</t>
  </si>
  <si>
    <t>Wing offensive (wing skill)</t>
  </si>
  <si>
    <t>8,1- 8,8% Defensas</t>
  </si>
  <si>
    <t>Wing offensive (passing skill)</t>
  </si>
  <si>
    <t>Wing off/def (jugadas skill)</t>
  </si>
  <si>
    <t>2, respecto a 1:</t>
  </si>
  <si>
    <t>Wing TM (defence skill)</t>
  </si>
  <si>
    <t>4,2- 9,7% Delanteros</t>
  </si>
  <si>
    <t>Wing TM (jugadas skill)</t>
  </si>
  <si>
    <t>8,3-15,5% Medios *</t>
  </si>
  <si>
    <t>Wing TM (wing skill)</t>
  </si>
  <si>
    <t>2,1- 2,8% Defensas</t>
  </si>
  <si>
    <t>Wing TM (passing skill)</t>
  </si>
  <si>
    <t>* con mi espíritu tan bajo no consigo apretar el rango con 1 inner</t>
  </si>
  <si>
    <t>Fwd TW (opposite side) (scoring skill)</t>
  </si>
  <si>
    <t>Fwd TW (wing skill)</t>
  </si>
  <si>
    <t>Fwd TW (scoring skill)</t>
  </si>
  <si>
    <t>Fwd TW (passing skill)</t>
  </si>
  <si>
    <t>Fwd defensive (jugadas skill)</t>
  </si>
  <si>
    <t>Fwd defensive [Tech] (passing skill)</t>
  </si>
  <si>
    <t>tecn</t>
  </si>
  <si>
    <t>Fwd defensive {non-tech} (passing skill)</t>
  </si>
  <si>
    <t>Fwd defensive (wing skill)</t>
  </si>
  <si>
    <t>Fwd defensive (scoring skill)</t>
  </si>
  <si>
    <t>Fwd normal (scoring skill)</t>
  </si>
  <si>
    <t>Fwd normal (wing skill)</t>
  </si>
  <si>
    <t>Fwd normal (passing skill)</t>
  </si>
  <si>
    <t>Extra Fwd (scoring skill)</t>
  </si>
  <si>
    <t>Extra Fwd (wing skill)</t>
  </si>
  <si>
    <t>Extra Fwd (passing skill)</t>
  </si>
  <si>
    <t>IM normal (scoring skill)</t>
  </si>
  <si>
    <t>IM defensive (scoring skill)</t>
  </si>
  <si>
    <t xml:space="preserve">IM offensive (scoring skill) </t>
  </si>
  <si>
    <t>Wing Def (jugadas skill)</t>
  </si>
  <si>
    <t>Wing Off (jugadas skill)</t>
  </si>
  <si>
    <t>Fwd TW (jugadas skill)</t>
  </si>
  <si>
    <t>Fwd normal (jugadas skill)</t>
  </si>
  <si>
    <t>Team confidence (TC) also provides a small boost/deficit estimated at @ 1.3% per level above and below ‘decent’.</t>
  </si>
  <si>
    <t>Relative player skill contributions:</t>
  </si>
  <si>
    <t>Relative player contributions:</t>
  </si>
  <si>
    <t>Wing offensive (wing skill) 100%</t>
  </si>
  <si>
    <t>WB defensive 100%</t>
  </si>
  <si>
    <t>Wing normal (wing skill) 84.328%</t>
  </si>
  <si>
    <t>WB normal 91.233%</t>
  </si>
  <si>
    <t>Wing defensive (wing skill) 71.95%</t>
  </si>
  <si>
    <t>Def</t>
  </si>
  <si>
    <t>Att</t>
  </si>
  <si>
    <t>WB offensive 69.06%</t>
  </si>
  <si>
    <t>WB offensive (wing skill) 62.806%</t>
  </si>
  <si>
    <t>Neutro</t>
  </si>
  <si>
    <t>WB TM 68.315%</t>
  </si>
  <si>
    <t>IM TW (wing skill) 57.364%</t>
  </si>
  <si>
    <t>CD TW 65.616%</t>
  </si>
  <si>
    <t>Wing TM (wing skill) 56.411%</t>
  </si>
  <si>
    <t>Off</t>
  </si>
  <si>
    <t>GK (GK skill) 64.709%</t>
  </si>
  <si>
    <t>WB normal (wing skill) 51.546%</t>
  </si>
  <si>
    <t>CD normal 50.018%</t>
  </si>
  <si>
    <t>Fwd TW (wing skill) 49.523%</t>
  </si>
  <si>
    <t>Wing defensive 47.362%</t>
  </si>
  <si>
    <t>Fwd TW (scoring skill) 47.444%</t>
  </si>
  <si>
    <t>Extra CD 42.515%</t>
  </si>
  <si>
    <t>WB defensive (wing skill) 32.728%</t>
  </si>
  <si>
    <t>CD offensive 35.505%</t>
  </si>
  <si>
    <t>WB TM (wing skill) 32.396%</t>
  </si>
  <si>
    <t>TORN</t>
  </si>
  <si>
    <t>Wing normal 34.708%</t>
  </si>
  <si>
    <t>CD TW (wing skill) 28.65%</t>
  </si>
  <si>
    <t>Tomando entrenador neutro como base, la contribución es:</t>
  </si>
  <si>
    <t>Wing TM 28.996%</t>
  </si>
  <si>
    <t>Fwd defensive [Tech] (passing skill) 28.65%</t>
  </si>
  <si>
    <t>Ofensivo, al ataque: entre +7,76% y +8,20%</t>
  </si>
  <si>
    <t>IM defensive 27.438%</t>
  </si>
  <si>
    <t>Wing offensive (passing skill) 26.967%</t>
  </si>
  <si>
    <t>Ofensivo, a defensa: entre -11,38% y -12,10%</t>
  </si>
  <si>
    <t>GK (defence skill) 26.545%</t>
  </si>
  <si>
    <t>IM TW (passing skill) 26.422%</t>
  </si>
  <si>
    <t>Defensivo, al ataque: entre -11,48% y -11,56%</t>
  </si>
  <si>
    <t>CD normal (2nd CD furthest away from this side) 25.009%</t>
  </si>
  <si>
    <t>IM normal (passing skill) 24.452%</t>
  </si>
  <si>
    <t>Defensivo, a defensa: entre +11,97% y 12,85%</t>
  </si>
  <si>
    <t>IM TW 20.368%</t>
  </si>
  <si>
    <t>IM offensive (passing skill) 23.788%</t>
  </si>
  <si>
    <t>Estos datos son 100% fiables y el intervalo es absoluto - siempre suponiendo que el predictor interno de calis es correcto.</t>
  </si>
  <si>
    <t>IM normal 18.545%</t>
  </si>
  <si>
    <t>Fwd normal (scoring skill) 23.763%</t>
  </si>
  <si>
    <t>CD offensive (2nd CD furthest away from this side) 17.752%</t>
  </si>
  <si>
    <t>Wing normal (passing skill) 23.543%</t>
  </si>
  <si>
    <t>Wing offensive 17.321%</t>
  </si>
  <si>
    <t>Fwd defensive {non-tech} (passing skill) 20.932%</t>
  </si>
  <si>
    <t>Wing</t>
  </si>
  <si>
    <t>Extremo</t>
  </si>
  <si>
    <t>Extra IM 15.763%</t>
  </si>
  <si>
    <t>Extra IM (passing skill) 20.784%</t>
  </si>
  <si>
    <t>WB</t>
  </si>
  <si>
    <t>Def lateral</t>
  </si>
  <si>
    <t>IM defensive (2nd IM furthest away from this side) 13.719%</t>
  </si>
  <si>
    <t>Wing defensive (passing skill) 20.451%</t>
  </si>
  <si>
    <t>CD</t>
  </si>
  <si>
    <t>Def central</t>
  </si>
  <si>
    <t>IM offensive 11.212%</t>
  </si>
  <si>
    <t>Extra Fwd normal (scoring skill) 20.199%</t>
  </si>
  <si>
    <t>Fwd</t>
  </si>
  <si>
    <t>Delantero</t>
  </si>
  <si>
    <t>IM normal (2nd IM furthest away from this side) 9.272%</t>
  </si>
  <si>
    <t>Fwd TW (opposite side) (scoring skill) 19.152%</t>
  </si>
  <si>
    <t>IM</t>
  </si>
  <si>
    <t>Medio</t>
  </si>
  <si>
    <t>IM offensive (2nd IM furthest away from this side) 5.606%</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</si>
  <si>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</si>
  <si>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</si>
  <si>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</si>
  <si>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</si>
  <si>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</si>
  <si>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</si>
  <si>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</si>
  <si>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</si>
  <si>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</si>
  <si>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</si>
  <si>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</si>
  <si>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</si>
  <si>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CD normal 100%</t>
  </si>
  <si>
    <t>It is worth noting that forwards positioned (normal or defensive) furthest away from the side appear to contribute as though they were positioned on this side.</t>
  </si>
  <si>
    <t>GK (GK skill) 97.193%</t>
  </si>
  <si>
    <t>Extra CD 85%</t>
  </si>
  <si>
    <t>CD TW 78.437%</t>
  </si>
  <si>
    <t>CD offensive 72.292%</t>
  </si>
  <si>
    <t>WB TM 70.006%</t>
  </si>
  <si>
    <t>IM defensive 62.793%</t>
  </si>
  <si>
    <t>WB defensive 51.382%</t>
  </si>
  <si>
    <t>WB normal 46.147%</t>
  </si>
  <si>
    <t>Team confidence (TC) also provides a small boost/deficit estimated at @ 1.3% per level above or below ‘decent’.</t>
  </si>
  <si>
    <t>IM normal 42.435%</t>
  </si>
  <si>
    <t>GK (defence skill) 39.896%</t>
  </si>
  <si>
    <t>WB offensive 38.878%</t>
  </si>
  <si>
    <t>Extra IM 36.07%</t>
  </si>
  <si>
    <t>Fwd normal (scoring skill) 100%</t>
  </si>
  <si>
    <t>IM TW 33.767%</t>
  </si>
  <si>
    <t>Extra Fwd (scoring skill) 85%</t>
  </si>
  <si>
    <t>Wing defensive 28.102%</t>
  </si>
  <si>
    <t>Fwd defensive [Tech] (passing skill) 80.177%</t>
  </si>
  <si>
    <t>Wing TM 25.344%</t>
  </si>
  <si>
    <t>Fwd defensive (scoring skill) 61.785%</t>
  </si>
  <si>
    <t>IM offensive 23.462%</t>
  </si>
  <si>
    <t>Fwd TW (scoring skill) 60.697%</t>
  </si>
  <si>
    <t>Wing normal 20.83%</t>
  </si>
  <si>
    <t>Fwd defensive {non tech] (passing skill) 50.776%</t>
  </si>
  <si>
    <t>Wing offensive 9.293%</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</si>
  <si>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</si>
  <si>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</si>
  <si>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</si>
  <si>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</si>
  <si>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</si>
  <si>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</si>
  <si>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</si>
  <si>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</si>
  <si>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</si>
  <si>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</si>
  <si>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</si>
  <si>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</si>
  <si>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t>IM normal 100%</t>
  </si>
  <si>
    <r>
      <t xml:space="preserve">Data Collection By </t>
    </r>
    <r>
      <rPr>
        <b/>
        <sz val="11"/>
        <color theme="1"/>
        <rFont val="Calibri"/>
        <family val="2"/>
        <scheme val="minor"/>
      </rPr>
      <t>Bink286</t>
    </r>
  </si>
  <si>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</si>
  <si>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</si>
  <si>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</si>
  <si>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</si>
  <si>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</si>
  <si>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</si>
  <si>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</si>
  <si>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</si>
  <si>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</si>
  <si>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</si>
  <si>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</si>
  <si>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</si>
  <si>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</si>
  <si>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</si>
  <si>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</si>
  <si>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Posesion Equipo A = Mediocampo Equipo A / (Mediocampo Equipo A + Mediocampo Equipo B)</t>
  </si>
  <si>
    <t>Siendo A la posesión del primer equipo y B la del segundo... (A^2.7) / (A^2.7 + B^2.7) para saber ocasiones</t>
  </si>
  <si>
    <t>Posesion</t>
  </si>
  <si>
    <t>Ocasiones</t>
  </si>
  <si>
    <t>Maxima</t>
  </si>
  <si>
    <t>%</t>
  </si>
  <si>
    <t>Minima</t>
  </si>
  <si>
    <t>Pos A</t>
  </si>
  <si>
    <t>Pos B</t>
  </si>
  <si>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</si>
  <si>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</si>
  <si>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</si>
  <si>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</si>
  <si>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</si>
  <si>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</si>
  <si>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</si>
  <si>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</si>
  <si>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</si>
  <si>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</si>
  <si>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</si>
  <si>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</si>
  <si>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</si>
  <si>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</si>
  <si>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</si>
  <si>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</si>
  <si>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</si>
  <si>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</si>
  <si>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</si>
  <si>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</si>
  <si>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</si>
  <si>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</si>
  <si>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</si>
  <si>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Nota: Esto sirve para hacer una estimacion ya que los valores tienen subniveles imposibles de saber.</t>
  </si>
  <si>
    <t>- 15 Honorables (4) + 6 Justos (3), Media -&amp;gt; 15*4 + 6*3 = 78/21 = 3,71 -&amp;gt; NO OBTIENES logro (buena honestidad)</t>
  </si>
  <si>
    <t>- 17 Antipáticos (0) + 3 Polémicos (1) + 1 Agradable (2), Media -&amp;gt; 17*0 + 3*1 + 1*2 = 5/21 = 0,23 -&amp;gt; OBTIENES logro (mal carácter)</t>
  </si>
  <si>
    <t>Ejemplos:</t>
  </si>
  <si>
    <t>Si las escalas de personalidad se empiezan a medir desde 0 los valores medios límites son 0,25 y 3,75 (ambos no inclusive)</t>
  </si>
  <si>
    <t>Sólo hay logros de carácter y honestidad no de agresividad.</t>
  </si>
  <si>
    <t>Para estos logros cuenta TODA LA PLANTILLA (el entrenador también) y hay que tener mas de un jugador (solo con el entrenador no vale, pero no se sabe cual es el mínimo de jugadores).</t>
  </si>
  <si>
    <t>• Grupo de jugadores deshonestos (mala HONESTIDAD)...15 pts</t>
  </si>
  <si>
    <t>• Grupo de jugadores honestos (buena HONESTIDAD)......15 pts</t>
  </si>
  <si>
    <t>• Grupo de jugadores antipáticos (mal CARÁCTER)..........15 pts</t>
  </si>
  <si>
    <t>• Grupo de jugadores agradables (buen CARÁCTER)........15 pts</t>
  </si>
  <si>
    <t>Logros de Menciones especiales:</t>
  </si>
  <si>
    <t>• Ganó las elecciones a entrenador del equipo nacional...50 pts</t>
  </si>
  <si>
    <t>• Fue elegido entrenador del equipo nacional U20..........35 pts</t>
  </si>
  <si>
    <t>- [2000-????] miembros...............................................60 pts</t>
  </si>
  <si>
    <t>- [1000-1999] miembros...............................................40 pts</t>
  </si>
  <si>
    <t>- [500-999] miembros................................................30 pts</t>
  </si>
  <si>
    <t>- [100-499 ] miembros...............................................20 pts</t>
  </si>
  <si>
    <t>- [50-99] miembros...................................................15 pts</t>
  </si>
  <si>
    <t>- [10-49] miembros...................................................10 pts</t>
  </si>
  <si>
    <t>- [5-9] miembros........................................................5 pts</t>
  </si>
  <si>
    <t>• La federación fundada, recibió:</t>
  </si>
  <si>
    <t>• Escribió un mensaje en la conferencia........................10 pts</t>
  </si>
  <si>
    <t>• Escribió un anuncio de prensa...................................10 pts</t>
  </si>
  <si>
    <t>Editat el 06-10-2012 23:09 per en xkronox</t>
  </si>
  <si>
    <t>- 10 bonos.......................................................15 pts</t>
  </si>
  <si>
    <t>Logros de Manager:</t>
  </si>
  <si>
    <t>- 5 bonos.........................................................10 pts</t>
  </si>
  <si>
    <t>Espanya VII.700</t>
  </si>
  <si>
    <t>- 1 bonos...........................................................5 pts</t>
  </si>
  <si>
    <t>Real Club Serrano</t>
  </si>
  <si>
    <t>• Compró al menos X bonos en el Banque Sunesson:</t>
  </si>
  <si>
    <t>xkronox</t>
  </si>
  <si>
    <t>Torna a l'inici! 06-10-2012 22:32Afegeix aquest missatge als preferits [Copia el missatge amb estil últim]</t>
  </si>
  <si>
    <t>(hay que superar la ronda)</t>
  </si>
  <si>
    <t>#4: xkronox » #1: Tothom</t>
  </si>
  <si>
    <t>- Ronda 14.......................................................65 pts</t>
  </si>
  <si>
    <t>- Ronda 13.......................................................45 pts</t>
  </si>
  <si>
    <t>User name colorAfegir usuari a preferits Ignorar Marca com pendents de llegit a partit d'aquí</t>
  </si>
  <si>
    <t>- Ronda 10.......................................................35 pts</t>
  </si>
  <si>
    <t xml:space="preserve">CopiaVeure les respostes </t>
  </si>
  <si>
    <t>- Ronda 7.........................................................20 pts</t>
  </si>
  <si>
    <t>Editat el 06-10-2012 23:10 per en xkronox</t>
  </si>
  <si>
    <t>- Ronda 3.........................................................10 pts</t>
  </si>
  <si>
    <t>(Ahora existe el promedio de calis de HT asi que no es necesario calcular manualmente.)</t>
  </si>
  <si>
    <t>• Pasó la ronda X en Copa:</t>
  </si>
  <si>
    <t>- Dividide entre 7</t>
  </si>
  <si>
    <t>- [1]............................................................... 100 pts</t>
  </si>
  <si>
    <t>- [2-50].............................................................50 pts</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</si>
  <si>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</si>
  <si>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[51-100].........................................................45 pts</t>
  </si>
  <si>
    <t>- Subniveles: muy bajo x'12, bajo x'37,alto x'62, muy alto x'87</t>
  </si>
  <si>
    <t>- [101-500].......................................................40 pts</t>
  </si>
  <si>
    <t>- [501-1.000]....................................................35 pts</t>
  </si>
  <si>
    <t>- Los valores numéricos: 1 desastroso, 2 horrible, 3 pobre,...</t>
  </si>
  <si>
    <t>- [1.001-2.000].................................................30 pts</t>
  </si>
  <si>
    <t>- [2.001-3.000].................................................25 pts</t>
  </si>
  <si>
    <t>- [3.001-5.000].................................................20 pts</t>
  </si>
  <si>
    <t>- [5.001-10.000]...............................................15 pts</t>
  </si>
  <si>
    <t>Para calcular tu calificación media:</t>
  </si>
  <si>
    <t>- [10.001-15.000].............................................10 pts</t>
  </si>
  <si>
    <t>- [15.001-25.000]...............................................5 pts</t>
  </si>
  <si>
    <t>mágico................................................63 pts</t>
  </si>
  <si>
    <t>• El equipo estaba en el puesto:</t>
  </si>
  <si>
    <t>mítico..................................................56 pts</t>
  </si>
  <si>
    <t>extraterrestre.......................................50 pts</t>
  </si>
  <si>
    <t>- [3.500-???].....................................................50 pts</t>
  </si>
  <si>
    <t>titánico................................................44 pts</t>
  </si>
  <si>
    <t>- [3.000-3.499 socis]........................................30 pts</t>
  </si>
  <si>
    <t>sobrenatural........................................39 pts</t>
  </si>
  <si>
    <t>- [2000-2999 socios]........................................15 pts</t>
  </si>
  <si>
    <t>clase mundial......................................34 pts</t>
  </si>
  <si>
    <t>- [1000-1999 socios]..........................................5 pts</t>
  </si>
  <si>
    <t>magnífico............................................29 pts</t>
  </si>
  <si>
    <t>• El club de socios llegó a X miembros:</t>
  </si>
  <si>
    <t>brillante..............................................25 pts</t>
  </si>
  <si>
    <t>destacado...........................................21 pts</t>
  </si>
  <si>
    <t>- [a partir de 2.000.000]..................................80 pts</t>
  </si>
  <si>
    <t>formidable..........................................17 pts</t>
  </si>
  <si>
    <t>- [1.500.000-1.999.999]..................................65 pts</t>
  </si>
  <si>
    <t>excelente...........................................14 pts</t>
  </si>
  <si>
    <t>- [1.200.000-1.499.999]..................................50 pts</t>
  </si>
  <si>
    <t>bueno................................................11 pts</t>
  </si>
  <si>
    <t>- [600.000-1.199.999].....................................30 pts</t>
  </si>
  <si>
    <t>aceptable.............................................8 pts</t>
  </si>
  <si>
    <t>- [300.000-599.999]........................................20 pts</t>
  </si>
  <si>
    <t>insuficiente...........................................6 pts</t>
  </si>
  <si>
    <t>- [160.000-299.999]........................................15 pts</t>
  </si>
  <si>
    <t>débil....................................................4 pts</t>
  </si>
  <si>
    <t>- [80.000-159.999]..........................................10 pts</t>
  </si>
  <si>
    <t>• El equipo alcanzó una calificación media de:</t>
  </si>
  <si>
    <t>- [30.000-79.999]..............................................5 pts</t>
  </si>
  <si>
    <t>• El grupo alcanzó un TSI de:</t>
  </si>
  <si>
    <t>- [¿120 o más?] estrellas......................100 pts (No comprobado)</t>
  </si>
  <si>
    <t>- [115-119.5?] estrellas..........................85 pts</t>
  </si>
  <si>
    <t>si antes de la actualización tienes el dinero requerido entre paréntesis, se obtiene el logro</t>
  </si>
  <si>
    <t>- [110-114.5] estrellas...........................70 pts</t>
  </si>
  <si>
    <t>- [10.000.000€-???].........................................35 pts</t>
  </si>
  <si>
    <t>- [100-109.5] estrellas...........................60 pts</t>
  </si>
  <si>
    <t>- [5.000.000€-9.999.999€]..............................25 pts</t>
  </si>
  <si>
    <t>- [90-99.5] estrellas...............................50 pts</t>
  </si>
  <si>
    <t>- [2.000.000€-4.999.999€]..............................15 pts</t>
  </si>
  <si>
    <t>- [80-89.5] estrellas...............................35 pts</t>
  </si>
  <si>
    <t>- [500.000€-1.999.999€]...................................5 pts</t>
  </si>
  <si>
    <t>- [70-79.5] estrellas...............................30 pts</t>
  </si>
  <si>
    <t>• Rey de las finanzas:</t>
  </si>
  <si>
    <t>- [60-69.5] estrellas...............................25 pts</t>
  </si>
  <si>
    <t>- [50-59.5] estrellas...............................20 pts</t>
  </si>
  <si>
    <t>• Jugador enviado al Salón de la Fama...........15 pts</t>
  </si>
  <si>
    <t>- [40-49.5] estrellas...............................15 pts</t>
  </si>
  <si>
    <t>- [30-39.5] estrellas...............................10 pts</t>
  </si>
  <si>
    <t>• Subió la habilidad del jugador......................10 pts</t>
  </si>
  <si>
    <t>- [20-29.5] estrellas.................................5 pts</t>
  </si>
  <si>
    <t>• El equipo obtuvo X estrellas en este partido:</t>
  </si>
  <si>
    <t>Si vendes canterano y te lo compras tu mismo: no da logro. Pero si una vez comprado ese canterano, lo vendes a otro equipo: sí te dan el logro de vendió un juvenil.</t>
  </si>
  <si>
    <t>NOTA:</t>
  </si>
  <si>
    <t>Nota: Para los logros de alineación los DIAS no cuentan.</t>
  </si>
  <si>
    <t>• Vendió un juvenil........................................10 pts</t>
  </si>
  <si>
    <t>(los 11 jugadores que empiezan el partido son canteranos u originales del club con EDAD MEDIA IGUAL o SUPERIOR a 18 años)</t>
  </si>
  <si>
    <t>• Alineación de Viejas Glorias...............................................25 pts</t>
  </si>
  <si>
    <t>vender un jugador, juvenil u original del club y volverlo a comprar</t>
  </si>
  <si>
    <t>• Volvió a comprar un juvenil.........................10 pts</t>
  </si>
  <si>
    <t>(los 11 jugadores que empiezan el partido tienen EDAD MEDIA SUPERIOR a 35 años, y al menos uno no es canterano)</t>
  </si>
  <si>
    <t>• Alineación de veteranos....................................................35 pts</t>
  </si>
  <si>
    <t>vender un jugador, juvenil u original del club, volverlo a comprar y venderlo de nuevo</t>
  </si>
  <si>
    <t>• Vendió un juvenil recomprado....................10 pts</t>
  </si>
  <si>
    <t>(los 11 jugadores que empiezan el partido son canteranos u originales del club con EDAD MEDIA INFERIOR a 18 años)</t>
  </si>
  <si>
    <t>• Alineación de yogurines....................................................35 pts</t>
  </si>
  <si>
    <t>Sólo cuenta con la vieja cantera</t>
  </si>
  <si>
    <t>• Sacó un juvenil..........................................10 pts</t>
  </si>
  <si>
    <t>(los 11 jugadores que empiezan el partido tienen EDAD MEDIA INFERIOR a 18 años, y al menos uno no es canterano)</t>
  </si>
  <si>
    <t>• Alineación de jovenzuelos.................................................35 pts</t>
  </si>
  <si>
    <t>• Compró un jugador...................................10 pts</t>
  </si>
  <si>
    <t>• Jugó su primer partidillo de entrenamiento internacional......10 pts</t>
  </si>
  <si>
    <t>• Vendió un jugador....................................10 pts</t>
  </si>
  <si>
    <t xml:space="preserve"> Logros de Partido:</t>
  </si>
  <si>
    <t>Logros de Equipo:</t>
  </si>
  <si>
    <t>Suma cada calificación del partido en formato numérico.</t>
  </si>
  <si>
    <t>S1</t>
  </si>
  <si>
    <t>S2</t>
  </si>
  <si>
    <t>S3</t>
  </si>
  <si>
    <t>S4</t>
  </si>
  <si>
    <t>S5</t>
  </si>
  <si>
    <t>S6</t>
  </si>
  <si>
    <t>S7</t>
  </si>
  <si>
    <t>S8</t>
  </si>
  <si>
    <t>S9</t>
  </si>
  <si>
    <t>S10</t>
  </si>
  <si>
    <t>S11</t>
  </si>
  <si>
    <t>S12</t>
  </si>
  <si>
    <t>S13</t>
  </si>
  <si>
    <t>S14</t>
  </si>
  <si>
    <t>S15</t>
  </si>
  <si>
    <t>S16</t>
  </si>
  <si>
    <t>S65</t>
  </si>
  <si>
    <t>S66</t>
  </si>
  <si>
    <t>S67</t>
  </si>
  <si>
    <t>S68</t>
  </si>
  <si>
    <t>S69</t>
  </si>
  <si>
    <t>S70</t>
  </si>
  <si>
    <t>S71</t>
  </si>
  <si>
    <t>S72</t>
  </si>
  <si>
    <t>S73</t>
  </si>
  <si>
    <t>S74</t>
  </si>
  <si>
    <t>S75</t>
  </si>
  <si>
    <t>S76</t>
  </si>
  <si>
    <t>S77</t>
  </si>
  <si>
    <t>Partidos Liga</t>
  </si>
  <si>
    <t>Capacidad total:</t>
  </si>
  <si>
    <t>Coste/Sem</t>
  </si>
  <si>
    <t>Construcción</t>
  </si>
  <si>
    <t>Ingresos</t>
  </si>
  <si>
    <t>Destrucción</t>
  </si>
  <si>
    <t>Mant/Sem</t>
  </si>
  <si>
    <t>IngLleno</t>
  </si>
  <si>
    <t>Partidos Copa</t>
  </si>
  <si>
    <t>Grada general:</t>
  </si>
  <si>
    <t>Aficionados</t>
  </si>
  <si>
    <t>Preferentes:</t>
  </si>
  <si>
    <t>Estimación GG Llena (8)</t>
  </si>
  <si>
    <t>Tribunas:</t>
  </si>
  <si>
    <t>Estimación Preferente Llena (8)</t>
  </si>
  <si>
    <t>Palcos:</t>
  </si>
  <si>
    <t>Estimación Tribuna llena (8)</t>
  </si>
  <si>
    <t>Estimación Paclo Lleno (8)</t>
  </si>
  <si>
    <t xml:space="preserve">Estado de ánimo </t>
  </si>
  <si>
    <t>GG</t>
  </si>
  <si>
    <t>Preferente</t>
  </si>
  <si>
    <t>Tribuna</t>
  </si>
  <si>
    <t>Palco</t>
  </si>
  <si>
    <t>Total</t>
  </si>
  <si>
    <t>Actual Grada</t>
  </si>
  <si>
    <t>Actual Preferente</t>
  </si>
  <si>
    <t>Actual Tribuna</t>
  </si>
  <si>
    <t>Actual Palco</t>
  </si>
  <si>
    <t>Propuesta Grada</t>
  </si>
  <si>
    <t>Propuesta Preferente</t>
  </si>
  <si>
    <t>Propuesta Tribuna</t>
  </si>
  <si>
    <t>Propuesta Palco</t>
  </si>
  <si>
    <t>Ingresos ActualGG:</t>
  </si>
  <si>
    <t>Ingresos AcPreferentes:</t>
  </si>
  <si>
    <t>Ingresos AcTribunas:</t>
  </si>
  <si>
    <t>Ingresos Actual Palcos:</t>
  </si>
  <si>
    <t>Ingresos PropuestaGG:</t>
  </si>
  <si>
    <t>Propuesta</t>
  </si>
  <si>
    <t>Ingresos ProPreferentes:</t>
  </si>
  <si>
    <t>Dif</t>
  </si>
  <si>
    <t>Ingresos ProTribunas:</t>
  </si>
  <si>
    <t>Ingresos ProPalcos:</t>
  </si>
  <si>
    <t>Mantenimiento Actual</t>
  </si>
  <si>
    <t>Mantenimiento GG Lleno</t>
  </si>
  <si>
    <t>Mantenimiento Pref Llena</t>
  </si>
  <si>
    <t>Mantenimiento Tribuna Llena</t>
  </si>
  <si>
    <t>TotalObras</t>
  </si>
  <si>
    <t>Mantenimiento Palco Lleno</t>
  </si>
  <si>
    <t>T+5</t>
  </si>
  <si>
    <t>Mantenimiento GG Vacia</t>
  </si>
  <si>
    <t>Mantenimiento Pref Vacia</t>
  </si>
  <si>
    <t>Mantenimiento Tribuna Vacia</t>
  </si>
  <si>
    <t>SemVACIO</t>
  </si>
  <si>
    <t>Destrucion</t>
  </si>
  <si>
    <t>AhorroMan</t>
  </si>
  <si>
    <t>Contru</t>
  </si>
  <si>
    <t>Mantenimiento Palco Vacia</t>
  </si>
  <si>
    <t>Coste Fijo Obras</t>
  </si>
  <si>
    <t>Coste Con/Des GG</t>
  </si>
  <si>
    <t>Coste Con/Des Preferente</t>
  </si>
  <si>
    <t>Coste Con/Des Tribuna</t>
  </si>
  <si>
    <t>Coste Con/Des Palcos</t>
  </si>
  <si>
    <t>Total Obras</t>
  </si>
  <si>
    <t>BEN/PER Actual</t>
  </si>
  <si>
    <t>BEN/PER Obras/Sem</t>
  </si>
  <si>
    <t>Beneficio Acumulado</t>
  </si>
  <si>
    <t>Llançaments 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</si>
  <si>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</si>
  <si>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</si>
  <si>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Tirs lliures indirectes</t>
  </si>
  <si>
    <t xml:space="preserve">Un terç de les teves ocasions a pilota aturada són llançaments indirectes. Es tracta de faltes indirectes, i que arribin a bon port dependrà de l'esforç de l'equip. </t>
  </si>
  <si>
    <t>At</t>
  </si>
  <si>
    <t>Per defensar utilitzaràs (en ordre d'importància) la mitjana de defensa dels teus jugadors de camp, la de pilota aturada d'aquests, l'habilitat de porteria del teu porter, i el seu nivell de pilota aturada.</t>
  </si>
  <si>
    <t xml:space="preserve">Per atacar s'utilitza (per ordre d'importància) la mitjana d'anotació dels jugadors de camp, la mitjana de la pilota aturada d'aquests i la pilota aturada del teu llançador de pilota aturada. </t>
  </si>
  <si>
    <t>For IFKs, the ME takes into account the SP skill, XP, form and stamina. - (13923177.850)</t>
  </si>
  <si>
    <t>IndirectFreeKick:</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</si>
  <si>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</si>
  <si>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</si>
  <si>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</si>
  <si>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</si>
  <si>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</si>
  <si>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</si>
  <si>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</si>
  <si>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Torn_</t>
  </si>
  <si>
    <t>En cuanto a los penales, lo debo haber comentado muchas veces en esto foro también, ya, pero simplemente no se puede hacer una fórmula como quieres tú. Cualquier fórmula de ese tipo dará resultados malos.</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</si>
  <si>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</si>
  <si>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</si>
  <si>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</si>
  <si>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</si>
  <si>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t>Categoría Niveles posibles (mayor a menor)</t>
  </si>
  <si>
    <t>FORMA!!!!</t>
  </si>
  <si>
    <t>Habilidades del jugador, etc</t>
  </si>
  <si>
    <t>si lees por aquí → (/Help/Rules/PlayerAttributes.aspx) encontrarás esto:</t>
  </si>
  <si>
    <r>
      <t>__________________________</t>
    </r>
    <r>
      <rPr>
        <b/>
        <u/>
        <sz val="11"/>
        <color theme="1"/>
        <rFont val="Calibri"/>
        <family val="2"/>
        <scheme val="minor"/>
      </rPr>
      <t>___</t>
    </r>
  </si>
  <si>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</si>
  <si>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</si>
  <si>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</si>
  <si>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</si>
  <si>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(f/7)^0,5</t>
  </si>
  <si>
    <t>* Entrenadores auxiliares: los auxiliares ayudan también a mejorar la forma.</t>
  </si>
  <si>
    <t>%Rendimiento según forma</t>
  </si>
  <si>
    <t>Forma</t>
  </si>
  <si>
    <t>Habilidades del técnico /</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</si>
  <si>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</si>
  <si>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</si>
  <si>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</si>
  <si>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</si>
  <si>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</si>
  <si>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</si>
  <si>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</si>
  <si>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</si>
  <si>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</si>
  <si>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</si>
  <si>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</si>
  <si>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</si>
  <si>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</si>
  <si>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</si>
  <si>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</si>
  <si>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</si>
  <si>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</si>
  <si>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</si>
  <si>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</si>
  <si>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</si>
  <si>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</si>
  <si>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</si>
  <si>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</si>
  <si>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</si>
  <si>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</si>
  <si>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</si>
  <si>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</si>
  <si>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</si>
  <si>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</si>
  <si>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</si>
  <si>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</si>
  <si>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</si>
  <si>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</si>
  <si>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</si>
  <si>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</si>
  <si>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</si>
  <si>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</si>
  <si>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</si>
  <si>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</si>
  <si>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</si>
  <si>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</si>
  <si>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</si>
  <si>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</si>
  <si>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</si>
  <si>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</si>
  <si>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</si>
  <si>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</si>
  <si>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</si>
  <si>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</si>
  <si>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</si>
  <si>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</si>
  <si>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</si>
  <si>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</si>
  <si>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</si>
  <si>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</si>
  <si>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</si>
  <si>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</si>
  <si>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</si>
  <si>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</si>
  <si>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</si>
  <si>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</si>
  <si>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</si>
  <si>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</si>
  <si>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</si>
  <si>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</si>
  <si>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</si>
  <si>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</si>
  <si>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</si>
  <si>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</si>
  <si>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</si>
  <si>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</si>
  <si>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</si>
  <si>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</si>
  <si>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</si>
  <si>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</si>
  <si>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</si>
  <si>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</si>
  <si>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</si>
  <si>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</si>
  <si>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</si>
  <si>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</si>
  <si>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</si>
  <si>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</si>
  <si>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</si>
  <si>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</si>
  <si>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</si>
  <si>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</si>
  <si>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</si>
  <si>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</si>
  <si>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</si>
  <si>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</si>
  <si>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</si>
  <si>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</si>
  <si>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</si>
  <si>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</si>
  <si>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</si>
  <si>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</si>
  <si>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</si>
  <si>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</si>
  <si>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</si>
  <si>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</si>
  <si>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</si>
  <si>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</si>
  <si>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</si>
  <si>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</si>
  <si>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</si>
  <si>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¡Mostrar la firma entera!</t>
  </si>
  <si>
    <t>querés ser mi club amigo/supporter? gracias!!!</t>
  </si>
  <si>
    <t>Mis clubes amigos:</t>
  </si>
  <si>
    <t>(http://docs.google.com/Doc?docid=0AWl8cQ9-H8R...hl=es)</t>
  </si>
  <si>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</si>
  <si>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</si>
  <si>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</si>
  <si>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</si>
  <si>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</si>
  <si>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</si>
  <si>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</si>
  <si>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</si>
  <si>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</si>
  <si>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</si>
  <si>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</si>
  <si>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</si>
  <si>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</si>
  <si>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</si>
  <si>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</si>
  <si>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</si>
  <si>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</si>
  <si>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</si>
  <si>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</si>
  <si>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</si>
  <si>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</si>
  <si>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</si>
  <si>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</si>
  <si>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</si>
  <si>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</si>
  <si>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</si>
  <si>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</si>
  <si>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</si>
  <si>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</si>
  <si>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</si>
  <si>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</si>
  <si>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</si>
  <si>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</si>
  <si>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</si>
  <si>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</si>
  <si>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</si>
  <si>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</si>
  <si>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</si>
  <si>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</si>
  <si>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</si>
  <si>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</si>
  <si>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</si>
  <si>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</si>
  <si>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</si>
  <si>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</si>
  <si>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</si>
  <si>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</si>
  <si>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</si>
  <si>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</si>
  <si>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</si>
  <si>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</si>
  <si>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</si>
  <si>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</si>
  <si>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</si>
  <si>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</si>
  <si>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</si>
  <si>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</si>
  <si>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</si>
  <si>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</si>
  <si>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</si>
  <si>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</si>
  <si>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</si>
  <si>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</si>
  <si>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</si>
  <si>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</si>
  <si>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</si>
  <si>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_________________________________________ </t>
    </r>
    <r>
      <rPr>
        <b/>
        <u/>
        <sz val="8"/>
        <color rgb="FF000000"/>
        <rFont val="Verdana"/>
        <family val="2"/>
      </rPr>
      <t>_</t>
    </r>
  </si>
  <si>
    <r>
      <t>_____</t>
    </r>
    <r>
      <rPr>
        <b/>
        <u/>
        <sz val="11"/>
        <color theme="1"/>
        <rFont val="Calibri"/>
        <family val="2"/>
        <scheme val="minor"/>
      </rPr>
      <t>_ _</t>
    </r>
    <r>
      <rPr>
        <u/>
        <sz val="11"/>
        <color theme="1"/>
        <rFont val="Calibri"/>
        <family val="2"/>
        <scheme val="minor"/>
      </rPr>
      <t>bueno/acept__insu__débil__pobre__horri__desast_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</si>
  <si>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</si>
  <si>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</si>
  <si>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9,99-9</t>
  </si>
  <si>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</si>
  <si>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</si>
  <si>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8,99-8</t>
  </si>
  <si>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</si>
  <si>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</si>
  <si>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7,99-7</t>
  </si>
  <si>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</si>
  <si>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</si>
  <si>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6,99-6</t>
  </si>
  <si>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</si>
  <si>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</si>
  <si>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t>5,99-5</t>
  </si>
  <si>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</si>
  <si>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</si>
  <si>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4,99-4</t>
  </si>
  <si>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</si>
  <si>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</si>
  <si>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</si>
  <si>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</si>
  <si>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</si>
  <si>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</si>
  <si>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</si>
  <si>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</si>
  <si>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</si>
  <si>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</si>
  <si>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</si>
  <si>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</si>
  <si>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</si>
  <si>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</si>
  <si>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</si>
  <si>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</si>
  <si>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</si>
  <si>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</si>
  <si>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</si>
  <si>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</si>
  <si>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</si>
  <si>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</si>
  <si>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</si>
  <si>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</si>
  <si>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</si>
  <si>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</si>
  <si>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</si>
  <si>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</si>
  <si>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</si>
  <si>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</si>
  <si>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</si>
  <si>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</si>
  <si>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</si>
  <si>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</si>
  <si>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</si>
  <si>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</si>
  <si>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</si>
  <si>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</si>
  <si>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</si>
  <si>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</si>
  <si>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</si>
  <si>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</si>
  <si>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</si>
  <si>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</si>
  <si>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</si>
  <si>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</si>
  <si>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</si>
  <si>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</si>
  <si>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</si>
  <si>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</si>
  <si>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</si>
  <si>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</si>
  <si>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</si>
  <si>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</si>
  <si>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</si>
  <si>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</si>
  <si>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</si>
  <si>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</si>
  <si>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</si>
  <si>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</si>
  <si>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</si>
  <si>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</si>
  <si>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</si>
  <si>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</si>
  <si>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</si>
  <si>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</si>
  <si>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</si>
  <si>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</si>
  <si>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</si>
  <si>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</si>
  <si>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</si>
  <si>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</si>
  <si>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</si>
  <si>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r>
      <t xml:space="preserve">Let's start with classes of players according to their </t>
    </r>
    <r>
      <rPr>
        <b/>
        <sz val="12"/>
        <color theme="1"/>
        <rFont val="Calibri"/>
        <family val="2"/>
        <scheme val="minor"/>
      </rPr>
      <t>aggressiveness</t>
    </r>
  </si>
  <si>
    <r>
      <t xml:space="preserve">We continue considering the </t>
    </r>
    <r>
      <rPr>
        <b/>
        <sz val="12"/>
        <color rgb="FF000000"/>
        <rFont val="Calibri"/>
        <family val="2"/>
        <scheme val="minor"/>
      </rPr>
      <t>HONESTY</t>
    </r>
  </si>
  <si>
    <t>P de tarjeta</t>
  </si>
  <si>
    <t>P Expulsión</t>
  </si>
  <si>
    <t>TRANQUIL</t>
  </si>
  <si>
    <t>INFAMOUS</t>
  </si>
  <si>
    <t>CALM</t>
  </si>
  <si>
    <t>DISHONEST</t>
  </si>
  <si>
    <t>BALANCED</t>
  </si>
  <si>
    <t>HONEST</t>
  </si>
  <si>
    <t>TEMPERAMENTAL</t>
  </si>
  <si>
    <t>UPRIGHT</t>
  </si>
  <si>
    <t>FIERY</t>
  </si>
  <si>
    <t>RIGHTEOUS</t>
  </si>
  <si>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</si>
  <si>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</si>
  <si>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</si>
  <si>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</si>
  <si>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</si>
  <si>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</si>
  <si>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</si>
  <si>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</si>
  <si>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</si>
  <si>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</si>
  <si>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</si>
  <si>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</si>
  <si>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</si>
  <si>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</si>
  <si>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</si>
  <si>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</si>
  <si>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</si>
  <si>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</si>
  <si>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</si>
  <si>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</si>
  <si>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</si>
  <si>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</si>
  <si>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</si>
  <si>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</si>
  <si>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</si>
  <si>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</si>
  <si>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</si>
  <si>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</si>
  <si>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</si>
  <si>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</si>
  <si>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</si>
  <si>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</si>
  <si>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Para cerrar el tema de los socios aquí una tabla de socios.</t>
  </si>
  <si>
    <t>Aficonados objectivos en cada divisón.</t>
  </si>
  <si>
    <t>nivel / liga</t>
  </si>
  <si>
    <t>1 a 3</t>
  </si>
  <si>
    <t>1 a 4</t>
  </si>
  <si>
    <t>1 a 5</t>
  </si>
  <si>
    <t>1 a 6</t>
  </si>
  <si>
    <t>1 a 7</t>
  </si>
  <si>
    <t>1 a 8</t>
  </si>
  <si>
    <t>1 a 9</t>
  </si>
  <si>
    <t>1 a 10</t>
  </si>
  <si>
    <t>1 a 11</t>
  </si>
  <si>
    <t>I</t>
  </si>
  <si>
    <t>II</t>
  </si>
  <si>
    <t>III</t>
  </si>
  <si>
    <t>IV</t>
  </si>
  <si>
    <t>V</t>
  </si>
  <si>
    <t>VI</t>
  </si>
  <si>
    <t>VII</t>
  </si>
  <si>
    <t>VIII</t>
  </si>
  <si>
    <t>IX</t>
  </si>
  <si>
    <t>X</t>
  </si>
  <si>
    <t>XI</t>
  </si>
  <si>
    <t>1 a 11 se refiere a los paises con 11 divisiones.</t>
  </si>
  <si>
    <t>Buenas,</t>
  </si>
  <si>
    <t xml:space="preserve">Te copio/pego alguna tabla que tengo guardada con esta info. </t>
  </si>
  <si>
    <t>Por un lado, para saber cuanto nivel de lider te va bien para ser competitivo, mira esta tabla.</t>
  </si>
  <si>
    <t>______ _bueno/acept__insu__débil__pobre__horri__desast_</t>
  </si>
  <si>
    <t>_10&amp;gt;9__1____________1___ _1_____1______1_____1______</t>
  </si>
  <si>
    <t>_9&amp;gt;8___3____________2___ _1_____1______1_____1______</t>
  </si>
  <si>
    <t>_8&amp;gt;7___5____________4___ _3_____2______1_____1______</t>
  </si>
  <si>
    <t>_7&amp;gt;6___7____________6___ _5_____2______1_____1______</t>
  </si>
  <si>
    <t>_6&amp;gt;5___13___________10___7_____5______2_____1______</t>
  </si>
  <si>
    <t>_5&amp;gt;4___33___________26___20____13_____6_____2______</t>
  </si>
  <si>
    <t>Es decir, con un entrenador aceptable lider, tu espiritu de equipo tarda unas 13 actualizaciones para bajar de 6 a 5.</t>
  </si>
  <si>
    <t xml:space="preserve">Por otro lado, </t>
  </si>
  <si>
    <t>Leadership</t>
  </si>
  <si>
    <r>
      <t>► A</t>
    </r>
    <r>
      <rPr>
        <b/>
        <sz val="11"/>
        <color theme="1"/>
        <rFont val="Calibri"/>
        <family val="2"/>
        <scheme val="minor"/>
      </rPr>
      <t xml:space="preserve"> coach with SOLID LEADERSHIP</t>
    </r>
    <r>
      <rPr>
        <sz val="11"/>
        <color theme="1"/>
        <rFont val="Calibri"/>
        <family val="2"/>
        <scheme val="minor"/>
      </rPr>
      <t xml:space="preserve"> will drop his LS to Passable:</t>
    </r>
  </si>
  <si>
    <t>- in approximately 112-150 days if he's low Solid LS</t>
  </si>
  <si>
    <t>- in approximately 150-224 days if he's medium Solid LS</t>
  </si>
  <si>
    <t>- in approximately 224-400 days if he's high Solid LS</t>
  </si>
  <si>
    <t>► It is accepted that every week after the first season the coach's leadership has 1/3 chance to drop by 1/8 level.</t>
  </si>
  <si>
    <t>When the leadership drops to disastrous, only a few weeks later the coaching skill will drop with 1 level. So disastrous LS lasts less than the other levels and this is not a 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</si>
</sst>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5" formatCode="_-* #,##0\ [$€-C0A]_-;\-* #,##0\ [$€-C0A]_-;_-* &quot;-&quot;??\ [$€-C0A]_-;_-@_-"/>
    <numFmt numFmtId="166" formatCode="0.000"/>
    <numFmt numFmtId="167" formatCode="0.0%"/>
    <numFmt numFmtId="168" formatCode="_-* #,##0\ &quot;€&quot;_-;\-* #,##0\ &quot;€&quot;_-;_-* &quot;-&quot;??\ &quot;€&quot;_-;_-@_-"/>
  </numFmts>
  <fonts count="45" x14ac:knownFonts="1">
    <font>
      <sz val="11"/>
      <color theme="1"/>
      <name val="Calibri"/>
      <family val="2"/>
      <scheme val="minor"/>
    </font>
    <font>
      <b/>
      <sz val="11"/>
      <color theme="1"/>
      <name val="Calibri"/>
      <family val="2"/>
      <scheme val="minor"/>
    </font>
    <font>
      <sz val="8"/>
      <color rgb="FF000000"/>
      <name val="Verdana"/>
      <family val="2"/>
    </font>
    <font>
      <b/>
      <sz val="12"/>
      <color rgb="FF000000"/>
      <name val="Verdana"/>
      <family val="2"/>
    </font>
    <font>
      <b/>
      <sz val="8"/>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0"/>
      <name val="Verdana"/>
      <family val="2"/>
    </font>
    <font>
      <sz val="10"/>
      <name val="Verdana"/>
      <family val="2"/>
    </font>
    <font>
      <sz val="16"/>
      <name val="Verdana"/>
      <family val="2"/>
    </font>
    <font>
      <sz val="8.5"/>
      <name val="Verdana"/>
      <family val="2"/>
    </font>
    <font>
      <sz val="10"/>
      <color rgb="FFFF0000"/>
      <name val="Verdana"/>
      <family val="2"/>
    </font>
    <font>
      <b/>
      <sz val="8"/>
      <color indexed="81"/>
      <name val="Tahoma"/>
      <family val="2"/>
    </font>
    <font>
      <sz val="8"/>
      <color indexed="81"/>
      <name val="Tahoma"/>
      <family val="2"/>
    </font>
    <font>
      <sz val="11"/>
      <color theme="1"/>
      <name val="Calibri"/>
      <family val="2"/>
      <scheme val="minor"/>
    </font>
    <font>
      <b/>
      <sz val="8"/>
      <color theme="0"/>
      <name val="Verdana"/>
      <family val="2"/>
    </font>
    <font>
      <sz val="11"/>
      <color rgb="FFFF0000"/>
      <name val="Calibri"/>
      <family val="2"/>
      <scheme val="minor"/>
    </font>
    <font>
      <u/>
      <sz val="11"/>
      <color theme="1"/>
      <name val="Calibri"/>
      <family val="2"/>
      <scheme val="minor"/>
    </font>
    <font>
      <b/>
      <u/>
      <sz val="11"/>
      <color theme="1"/>
      <name val="Calibri"/>
      <family val="2"/>
      <scheme val="minor"/>
    </font>
    <font>
      <b/>
      <sz val="14"/>
      <color rgb="FFFF0000"/>
      <name val="Calibri"/>
      <family val="2"/>
      <scheme val="minor"/>
    </font>
    <font>
      <b/>
      <i/>
      <sz val="11"/>
      <color theme="1"/>
      <name val="Calibri"/>
      <family val="2"/>
      <scheme val="minor"/>
    </font>
    <font>
      <sz val="8"/>
      <color theme="1"/>
      <name val="Times New Roman"/>
      <family val="1"/>
    </font>
    <font>
      <b/>
      <sz val="8"/>
      <color theme="1"/>
      <name val="Times New Roman"/>
      <family val="1"/>
    </font>
    <font>
      <sz val="14"/>
      <color rgb="FFFF0000"/>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sz val="11"/>
      <color rgb="FFFF0000"/>
      <name val="Calibri"/>
      <family val="2"/>
      <scheme val="minor"/>
    </font>
    <font>
      <sz val="11"/>
      <name val="Calibri"/>
      <family val="2"/>
      <scheme val="minor"/>
    </font>
    <font>
      <sz val="10"/>
      <color theme="1"/>
      <name val="Calibri"/>
      <family val="2"/>
      <scheme val="minor"/>
    </font>
    <font>
      <b/>
      <sz val="13.5"/>
      <color theme="1"/>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u/>
      <sz val="11"/>
      <color theme="10"/>
      <name val="Calibri"/>
      <family val="2"/>
      <scheme val="minor"/>
    </font>
    <font>
      <i/>
      <sz val="8"/>
      <color rgb="FF000000"/>
      <name val="Verdana"/>
      <family val="2"/>
    </font>
    <font>
      <u/>
      <sz val="8"/>
      <color rgb="FF000000"/>
      <name val="Verdana"/>
      <family val="2"/>
    </font>
    <font>
      <b/>
      <u/>
      <sz val="8"/>
      <color rgb="FF000000"/>
      <name val="Verdana"/>
      <family val="2"/>
    </font>
    <font>
      <i/>
      <sz val="11"/>
      <color theme="1"/>
      <name val="Calibri"/>
      <family val="2"/>
      <scheme val="minor"/>
    </font>
  </fonts>
  <fills count="31">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000000"/>
        <bgColor indexed="64"/>
      </patternFill>
    </fill>
    <fill>
      <patternFill patternType="solid">
        <fgColor rgb="FFEDF1ED"/>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DD"/>
        <bgColor rgb="FFFFFF00"/>
      </patternFill>
    </fill>
    <fill>
      <patternFill patternType="solid">
        <fgColor theme="0" tint="-4.9989318521683403E-2"/>
        <bgColor rgb="FF000000"/>
      </patternFill>
    </fill>
    <fill>
      <patternFill patternType="solid">
        <fgColor theme="6" tint="0.59999389629810485"/>
        <bgColor rgb="FFFFFF00"/>
      </patternFill>
    </fill>
    <fill>
      <patternFill patternType="solid">
        <fgColor theme="4" tint="-0.249977111117893"/>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
      <patternFill patternType="solid">
        <fgColor theme="7" tint="0.7999816888943144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4">
    <xf numFmtId="0" fontId="0" fillId="0" borderId="0"/>
    <xf numFmtId="9" fontId="20" fillId="0" borderId="0" applyFont="0" applyFill="0" applyBorder="0" applyAlignment="0" applyProtection="0"/>
    <xf numFmtId="44" fontId="20" fillId="0" borderId="0" applyFont="0" applyFill="0" applyBorder="0" applyAlignment="0" applyProtection="0"/>
    <xf numFmtId="0" fontId="40" fillId="0" borderId="0" applyNumberFormat="0" applyFill="0" applyBorder="0" applyAlignment="0" applyProtection="0"/>
  </cellStyleXfs>
  <cellXfs count="269">
    <xf numFmtId="0" fontId="0" fillId="0" borderId="0" xfId="0"/>
    <xf numFmtId="0" fontId="2" fillId="0" borderId="0" xfId="0" applyFont="1"/>
    <xf numFmtId="0" fontId="3" fillId="0" borderId="0" xfId="0" applyFont="1"/>
    <xf numFmtId="0" fontId="2" fillId="0" borderId="0" xfId="0" applyFont="1" applyFill="1"/>
    <xf numFmtId="0" fontId="4" fillId="0" borderId="0" xfId="0" applyFont="1"/>
    <xf numFmtId="0" fontId="1" fillId="2" borderId="0" xfId="0" applyFont="1" applyFill="1" applyAlignment="1">
      <alignment horizontal="center" wrapText="1"/>
    </xf>
    <xf numFmtId="0" fontId="1" fillId="2" borderId="0" xfId="0" applyFont="1" applyFill="1" applyAlignment="1">
      <alignment wrapText="1"/>
    </xf>
    <xf numFmtId="0" fontId="5" fillId="2" borderId="1" xfId="0" applyFont="1" applyFill="1" applyBorder="1" applyAlignment="1">
      <alignment wrapText="1"/>
    </xf>
    <xf numFmtId="0" fontId="1" fillId="2" borderId="0" xfId="0" applyFont="1" applyFill="1" applyBorder="1" applyAlignment="1">
      <alignment wrapText="1"/>
    </xf>
    <xf numFmtId="0" fontId="1" fillId="0" borderId="0" xfId="0" applyFont="1" applyFill="1" applyAlignment="1">
      <alignment wrapText="1"/>
    </xf>
    <xf numFmtId="9" fontId="1" fillId="2" borderId="0" xfId="0" applyNumberFormat="1" applyFont="1" applyFill="1" applyAlignment="1">
      <alignment wrapText="1"/>
    </xf>
    <xf numFmtId="164" fontId="0" fillId="0" borderId="0" xfId="0" applyNumberFormat="1" applyAlignment="1">
      <alignment wrapText="1"/>
    </xf>
    <xf numFmtId="164" fontId="5" fillId="0" borderId="1" xfId="0" applyNumberFormat="1" applyFont="1" applyBorder="1" applyAlignment="1">
      <alignment wrapText="1"/>
    </xf>
    <xf numFmtId="164" fontId="0" fillId="0" borderId="0" xfId="0" applyNumberFormat="1" applyFont="1" applyBorder="1" applyAlignment="1">
      <alignment wrapText="1"/>
    </xf>
    <xf numFmtId="0" fontId="0" fillId="0" borderId="0" xfId="0" applyFill="1" applyAlignment="1">
      <alignment wrapText="1"/>
    </xf>
    <xf numFmtId="0" fontId="2" fillId="3" borderId="2" xfId="0" applyFont="1" applyFill="1" applyBorder="1" applyAlignment="1">
      <alignment horizontal="left" vertical="top" wrapText="1"/>
    </xf>
    <xf numFmtId="164" fontId="5" fillId="0" borderId="3" xfId="0" applyNumberFormat="1" applyFont="1" applyBorder="1" applyAlignment="1">
      <alignment wrapText="1"/>
    </xf>
    <xf numFmtId="0" fontId="6" fillId="0" borderId="0" xfId="0" applyFont="1" applyFill="1" applyBorder="1" applyAlignment="1">
      <alignment wrapText="1"/>
    </xf>
    <xf numFmtId="9" fontId="6" fillId="2" borderId="1" xfId="0" applyNumberFormat="1" applyFont="1" applyFill="1" applyBorder="1" applyAlignment="1">
      <alignment wrapText="1"/>
    </xf>
    <xf numFmtId="164" fontId="6" fillId="0" borderId="1" xfId="0" applyNumberFormat="1" applyFont="1" applyBorder="1" applyAlignment="1">
      <alignment wrapText="1"/>
    </xf>
    <xf numFmtId="164" fontId="1" fillId="0" borderId="1" xfId="0" applyNumberFormat="1" applyFont="1" applyBorder="1" applyAlignment="1">
      <alignment wrapText="1"/>
    </xf>
    <xf numFmtId="164" fontId="5" fillId="0" borderId="4" xfId="0" applyNumberFormat="1" applyFont="1" applyBorder="1" applyAlignment="1">
      <alignment wrapText="1"/>
    </xf>
    <xf numFmtId="164" fontId="7" fillId="0" borderId="1" xfId="0" applyNumberFormat="1" applyFont="1" applyBorder="1" applyAlignment="1">
      <alignment wrapText="1"/>
    </xf>
    <xf numFmtId="9" fontId="1" fillId="2" borderId="0" xfId="0" applyNumberFormat="1" applyFont="1" applyFill="1" applyAlignment="1">
      <alignment horizontal="right" wrapText="1"/>
    </xf>
    <xf numFmtId="0" fontId="8" fillId="0" borderId="0" xfId="0" applyFont="1"/>
    <xf numFmtId="0" fontId="5" fillId="0" borderId="0" xfId="0" applyFont="1"/>
    <xf numFmtId="0" fontId="0" fillId="0" borderId="0" xfId="0" applyFill="1"/>
    <xf numFmtId="0" fontId="8" fillId="0" borderId="0" xfId="0" applyFont="1" applyFill="1"/>
    <xf numFmtId="0" fontId="8" fillId="0" borderId="0" xfId="0" applyFont="1" applyAlignment="1">
      <alignment horizontal="left" indent="2"/>
    </xf>
    <xf numFmtId="0" fontId="10" fillId="4" borderId="0" xfId="0" applyFont="1" applyFill="1" applyAlignment="1">
      <alignment horizontal="center" wrapText="1"/>
    </xf>
    <xf numFmtId="0" fontId="9" fillId="5"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11" fillId="0" borderId="0" xfId="0" applyFont="1"/>
    <xf numFmtId="0" fontId="9" fillId="0" borderId="0" xfId="0" applyFont="1" applyAlignment="1">
      <alignment horizontal="center" wrapText="1"/>
    </xf>
    <xf numFmtId="0" fontId="8" fillId="7" borderId="0" xfId="0" applyFont="1" applyFill="1" applyAlignment="1">
      <alignment wrapText="1"/>
    </xf>
    <xf numFmtId="0" fontId="8" fillId="8" borderId="0" xfId="0" applyFont="1" applyFill="1" applyAlignment="1">
      <alignment wrapText="1"/>
    </xf>
    <xf numFmtId="0" fontId="9" fillId="6" borderId="0" xfId="0" applyFont="1" applyFill="1" applyAlignment="1">
      <alignment horizontal="center" wrapText="1"/>
    </xf>
    <xf numFmtId="0" fontId="1" fillId="0" borderId="0" xfId="0" applyFont="1"/>
    <xf numFmtId="9" fontId="0" fillId="0" borderId="0" xfId="0" applyNumberFormat="1"/>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2" fillId="3" borderId="1" xfId="0" applyFont="1" applyFill="1" applyBorder="1" applyAlignment="1">
      <alignment horizontal="left" vertical="top" wrapText="1" indent="1"/>
    </xf>
    <xf numFmtId="0" fontId="4" fillId="3" borderId="1" xfId="0" applyFont="1" applyFill="1" applyBorder="1" applyAlignment="1">
      <alignment horizontal="left" vertical="top" wrapText="1" indent="1"/>
    </xf>
    <xf numFmtId="164" fontId="0" fillId="0" borderId="1" xfId="0" applyNumberFormat="1" applyFill="1" applyBorder="1" applyAlignment="1">
      <alignment horizontal="center"/>
    </xf>
    <xf numFmtId="0" fontId="2" fillId="3" borderId="4" xfId="0" applyFont="1" applyFill="1" applyBorder="1" applyAlignment="1">
      <alignment horizontal="left" vertical="top" wrapText="1" indent="1"/>
    </xf>
    <xf numFmtId="0" fontId="4" fillId="3" borderId="4" xfId="0" applyFont="1" applyFill="1" applyBorder="1" applyAlignment="1">
      <alignment horizontal="left" vertical="top" wrapText="1" indent="1"/>
    </xf>
    <xf numFmtId="0" fontId="4" fillId="12" borderId="1" xfId="0" applyFont="1" applyFill="1" applyBorder="1" applyAlignment="1">
      <alignment horizontal="center" vertical="top" wrapText="1"/>
    </xf>
    <xf numFmtId="0" fontId="4" fillId="12" borderId="1" xfId="0" applyFont="1" applyFill="1" applyBorder="1" applyAlignment="1">
      <alignment horizontal="left" vertical="top" wrapText="1" indent="1"/>
    </xf>
    <xf numFmtId="0" fontId="1" fillId="13" borderId="1" xfId="0" applyFont="1" applyFill="1" applyBorder="1"/>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165" fontId="0" fillId="0" borderId="0" xfId="0" applyNumberFormat="1" applyAlignment="1">
      <alignment horizontal="center"/>
    </xf>
    <xf numFmtId="165" fontId="0" fillId="0" borderId="0" xfId="0" applyNumberFormat="1"/>
    <xf numFmtId="0" fontId="13" fillId="16" borderId="1" xfId="0" applyFont="1" applyFill="1" applyBorder="1" applyAlignment="1">
      <alignment horizontal="center" vertical="top" wrapText="1"/>
    </xf>
    <xf numFmtId="0" fontId="14" fillId="16" borderId="0" xfId="0" applyFont="1" applyFill="1" applyBorder="1" applyAlignment="1">
      <alignment horizontal="center" vertical="top" wrapText="1"/>
    </xf>
    <xf numFmtId="165" fontId="1" fillId="2" borderId="0" xfId="0" applyNumberFormat="1" applyFont="1" applyFill="1" applyAlignment="1">
      <alignment horizontal="center"/>
    </xf>
    <xf numFmtId="0" fontId="13" fillId="17" borderId="1" xfId="0" applyFont="1" applyFill="1" applyBorder="1" applyAlignment="1">
      <alignment horizontal="center" vertical="top" wrapText="1"/>
    </xf>
    <xf numFmtId="0" fontId="14" fillId="17" borderId="0" xfId="0" applyFont="1" applyFill="1" applyBorder="1" applyAlignment="1">
      <alignment horizontal="center" vertical="top" wrapText="1"/>
    </xf>
    <xf numFmtId="165" fontId="1" fillId="0" borderId="0" xfId="0" applyNumberFormat="1" applyFont="1" applyAlignment="1">
      <alignment horizontal="center"/>
    </xf>
    <xf numFmtId="0" fontId="14" fillId="17" borderId="1" xfId="0" applyFont="1" applyFill="1" applyBorder="1" applyAlignment="1">
      <alignment horizontal="center" vertical="top" wrapText="1"/>
    </xf>
    <xf numFmtId="0" fontId="16" fillId="17" borderId="1" xfId="0" applyFont="1" applyFill="1" applyBorder="1" applyAlignment="1">
      <alignment horizontal="center" vertical="top" wrapText="1"/>
    </xf>
    <xf numFmtId="165" fontId="17" fillId="17" borderId="0" xfId="0" applyNumberFormat="1" applyFont="1" applyFill="1" applyBorder="1" applyAlignment="1">
      <alignment horizontal="center" vertical="top" wrapText="1"/>
    </xf>
    <xf numFmtId="0" fontId="14" fillId="16" borderId="1" xfId="0" applyFont="1" applyFill="1" applyBorder="1" applyAlignment="1">
      <alignment horizontal="center" vertical="top" wrapText="1"/>
    </xf>
    <xf numFmtId="0" fontId="16" fillId="16" borderId="1" xfId="0" applyFont="1" applyFill="1" applyBorder="1" applyAlignment="1">
      <alignment horizontal="center" vertical="top" wrapText="1"/>
    </xf>
    <xf numFmtId="165" fontId="13" fillId="18" borderId="0" xfId="0" applyNumberFormat="1" applyFont="1" applyFill="1" applyBorder="1" applyAlignment="1">
      <alignment horizontal="center" vertical="top" wrapText="1"/>
    </xf>
    <xf numFmtId="165" fontId="1" fillId="14" borderId="0" xfId="0" applyNumberFormat="1" applyFont="1" applyFill="1" applyAlignment="1">
      <alignment horizontal="center"/>
    </xf>
    <xf numFmtId="0" fontId="21" fillId="19" borderId="1" xfId="0" applyFont="1" applyFill="1" applyBorder="1" applyAlignment="1">
      <alignment horizontal="center" vertical="center"/>
    </xf>
    <xf numFmtId="0" fontId="0" fillId="0" borderId="0" xfId="0" applyFont="1"/>
    <xf numFmtId="0" fontId="21" fillId="19" borderId="5" xfId="0" applyFont="1" applyFill="1" applyBorder="1" applyAlignment="1">
      <alignment horizontal="center" vertical="center"/>
    </xf>
    <xf numFmtId="10" fontId="0" fillId="0" borderId="0" xfId="0" applyNumberFormat="1"/>
    <xf numFmtId="10" fontId="0" fillId="0" borderId="0" xfId="1" applyNumberFormat="1" applyFont="1"/>
    <xf numFmtId="0" fontId="21" fillId="19" borderId="0" xfId="0" applyFont="1" applyFill="1" applyBorder="1" applyAlignment="1">
      <alignment horizontal="center" vertical="center"/>
    </xf>
    <xf numFmtId="1" fontId="0" fillId="0" borderId="0" xfId="0" applyNumberFormat="1"/>
    <xf numFmtId="2" fontId="0" fillId="0" borderId="0" xfId="0" applyNumberFormat="1"/>
    <xf numFmtId="166" fontId="0" fillId="0" borderId="0" xfId="0" applyNumberFormat="1"/>
    <xf numFmtId="0" fontId="6" fillId="13" borderId="0" xfId="0" applyFont="1" applyFill="1" applyAlignment="1">
      <alignment horizontal="center"/>
    </xf>
    <xf numFmtId="0" fontId="6" fillId="13" borderId="3" xfId="0" applyFont="1" applyFill="1" applyBorder="1" applyAlignment="1">
      <alignment horizontal="center"/>
    </xf>
    <xf numFmtId="0" fontId="0" fillId="0" borderId="8" xfId="0" applyBorder="1"/>
    <xf numFmtId="167" fontId="0" fillId="0" borderId="9" xfId="0" applyNumberFormat="1" applyBorder="1"/>
    <xf numFmtId="167" fontId="0" fillId="0" borderId="10" xfId="0" applyNumberFormat="1" applyBorder="1"/>
    <xf numFmtId="167" fontId="0" fillId="0" borderId="0" xfId="0" applyNumberFormat="1"/>
    <xf numFmtId="0" fontId="0" fillId="0" borderId="11" xfId="0" applyBorder="1"/>
    <xf numFmtId="167" fontId="0" fillId="0" borderId="3" xfId="0" applyNumberFormat="1" applyBorder="1"/>
    <xf numFmtId="167" fontId="0" fillId="0" borderId="12" xfId="0" applyNumberFormat="1" applyBorder="1"/>
    <xf numFmtId="0" fontId="0" fillId="0" borderId="13" xfId="0" applyBorder="1"/>
    <xf numFmtId="167" fontId="0" fillId="0" borderId="1" xfId="0" applyNumberFormat="1" applyBorder="1"/>
    <xf numFmtId="167" fontId="0" fillId="0" borderId="14" xfId="0" applyNumberFormat="1" applyBorder="1"/>
    <xf numFmtId="167" fontId="0" fillId="0" borderId="3" xfId="0" applyNumberFormat="1" applyBorder="1" applyAlignment="1">
      <alignment horizontal="center"/>
    </xf>
    <xf numFmtId="0" fontId="23" fillId="0" borderId="0" xfId="0" applyFont="1"/>
    <xf numFmtId="167" fontId="0" fillId="0" borderId="9" xfId="0" applyNumberFormat="1" applyFill="1" applyBorder="1"/>
    <xf numFmtId="0" fontId="0" fillId="0" borderId="21" xfId="0" applyBorder="1"/>
    <xf numFmtId="167" fontId="0" fillId="0" borderId="22" xfId="0" applyNumberFormat="1" applyBorder="1"/>
    <xf numFmtId="167" fontId="0" fillId="0" borderId="1" xfId="0" applyNumberFormat="1" applyBorder="1" applyAlignment="1">
      <alignment horizontal="center"/>
    </xf>
    <xf numFmtId="167" fontId="0" fillId="0" borderId="1" xfId="0" applyNumberFormat="1" applyFill="1" applyBorder="1"/>
    <xf numFmtId="167" fontId="0" fillId="0" borderId="3" xfId="0" applyNumberFormat="1" applyFill="1" applyBorder="1"/>
    <xf numFmtId="167" fontId="0" fillId="0" borderId="9" xfId="0" applyNumberFormat="1" applyBorder="1" applyAlignment="1">
      <alignment horizontal="center"/>
    </xf>
    <xf numFmtId="0" fontId="0" fillId="0" borderId="26" xfId="0" applyBorder="1"/>
    <xf numFmtId="167" fontId="0" fillId="0" borderId="27" xfId="0" applyNumberFormat="1" applyBorder="1"/>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5" xfId="0" applyNumberFormat="1" applyBorder="1"/>
    <xf numFmtId="167" fontId="0" fillId="0" borderId="5" xfId="0" applyNumberFormat="1" applyBorder="1" applyAlignment="1">
      <alignment horizontal="center"/>
    </xf>
    <xf numFmtId="167" fontId="0" fillId="0" borderId="30" xfId="0" applyNumberFormat="1" applyBorder="1" applyAlignment="1">
      <alignment horizontal="center"/>
    </xf>
    <xf numFmtId="167" fontId="0" fillId="0" borderId="31" xfId="0" applyNumberFormat="1" applyBorder="1" applyAlignment="1">
      <alignment horizontal="center"/>
    </xf>
    <xf numFmtId="0" fontId="0" fillId="0" borderId="32" xfId="0" applyBorder="1"/>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4" xfId="0" applyNumberFormat="1" applyBorder="1"/>
    <xf numFmtId="167" fontId="0" fillId="0" borderId="33" xfId="0" applyNumberFormat="1" applyBorder="1" applyAlignment="1">
      <alignment horizontal="center"/>
    </xf>
    <xf numFmtId="167" fontId="0" fillId="0" borderId="34" xfId="0" applyNumberFormat="1" applyBorder="1" applyAlignment="1">
      <alignment horizontal="center"/>
    </xf>
    <xf numFmtId="0" fontId="0" fillId="0" borderId="35" xfId="0" applyBorder="1"/>
    <xf numFmtId="0" fontId="26" fillId="0" borderId="1" xfId="0" applyFont="1" applyBorder="1" applyAlignment="1">
      <alignment horizontal="center"/>
    </xf>
    <xf numFmtId="0" fontId="26" fillId="2" borderId="1" xfId="0" applyFont="1" applyFill="1" applyBorder="1" applyAlignment="1">
      <alignment horizontal="center"/>
    </xf>
    <xf numFmtId="9" fontId="0" fillId="2" borderId="1" xfId="0" applyNumberFormat="1" applyFill="1" applyBorder="1"/>
    <xf numFmtId="167" fontId="0" fillId="2" borderId="1" xfId="0" applyNumberFormat="1" applyFill="1" applyBorder="1"/>
    <xf numFmtId="0" fontId="26" fillId="21" borderId="1" xfId="0" applyFont="1" applyFill="1" applyBorder="1" applyAlignment="1">
      <alignment horizontal="center"/>
    </xf>
    <xf numFmtId="10" fontId="0" fillId="21" borderId="1" xfId="0" applyNumberFormat="1" applyFill="1" applyBorder="1"/>
    <xf numFmtId="167" fontId="0" fillId="21" borderId="1" xfId="0" applyNumberFormat="1" applyFill="1" applyBorder="1"/>
    <xf numFmtId="167" fontId="0" fillId="0" borderId="0" xfId="1" applyNumberFormat="1" applyFont="1"/>
    <xf numFmtId="0" fontId="26" fillId="22" borderId="1" xfId="0" applyFont="1" applyFill="1" applyBorder="1" applyAlignment="1">
      <alignment horizontal="center"/>
    </xf>
    <xf numFmtId="10" fontId="0" fillId="22" borderId="1" xfId="0" applyNumberFormat="1" applyFill="1" applyBorder="1"/>
    <xf numFmtId="167" fontId="0" fillId="22" borderId="1" xfId="0" applyNumberFormat="1" applyFill="1" applyBorder="1"/>
    <xf numFmtId="0" fontId="0" fillId="0" borderId="1" xfId="0" applyBorder="1"/>
    <xf numFmtId="0" fontId="27" fillId="0" borderId="0" xfId="0" applyFont="1" applyAlignment="1"/>
    <xf numFmtId="0" fontId="1" fillId="0" borderId="1" xfId="0" applyFont="1" applyBorder="1"/>
    <xf numFmtId="0" fontId="0" fillId="2" borderId="0" xfId="0" applyFill="1"/>
    <xf numFmtId="9" fontId="1" fillId="0" borderId="1" xfId="0" applyNumberFormat="1" applyFont="1" applyBorder="1"/>
    <xf numFmtId="0" fontId="28" fillId="0" borderId="1" xfId="0" applyFont="1" applyBorder="1" applyAlignment="1">
      <alignment horizontal="center"/>
    </xf>
    <xf numFmtId="9" fontId="1" fillId="0" borderId="1" xfId="1" applyNumberFormat="1" applyFont="1" applyBorder="1"/>
    <xf numFmtId="164" fontId="1" fillId="0" borderId="1" xfId="0" applyNumberFormat="1" applyFont="1" applyBorder="1"/>
    <xf numFmtId="0" fontId="0" fillId="2" borderId="1" xfId="0" applyFill="1" applyBorder="1" applyAlignment="1">
      <alignment horizontal="right"/>
    </xf>
    <xf numFmtId="0" fontId="0" fillId="2" borderId="1" xfId="0" applyFill="1" applyBorder="1"/>
    <xf numFmtId="167" fontId="29" fillId="2" borderId="1" xfId="1" applyNumberFormat="1" applyFont="1" applyFill="1" applyBorder="1"/>
    <xf numFmtId="167" fontId="7" fillId="2" borderId="1" xfId="1" applyNumberFormat="1" applyFont="1" applyFill="1" applyBorder="1"/>
    <xf numFmtId="9" fontId="1" fillId="2" borderId="1" xfId="0" applyNumberFormat="1" applyFont="1" applyFill="1" applyBorder="1"/>
    <xf numFmtId="164" fontId="1" fillId="2" borderId="1" xfId="0" applyNumberFormat="1" applyFont="1" applyFill="1" applyBorder="1"/>
    <xf numFmtId="9" fontId="1" fillId="2" borderId="1" xfId="1" applyNumberFormat="1" applyFont="1" applyFill="1" applyBorder="1"/>
    <xf numFmtId="10" fontId="1" fillId="0" borderId="0" xfId="0" applyNumberFormat="1" applyFont="1"/>
    <xf numFmtId="0" fontId="22" fillId="0" borderId="0" xfId="0" applyFont="1"/>
    <xf numFmtId="0" fontId="0" fillId="0" borderId="0" xfId="0" applyFill="1" applyAlignment="1">
      <alignment horizontal="center"/>
    </xf>
    <xf numFmtId="0" fontId="1" fillId="23" borderId="0" xfId="0" applyFont="1" applyFill="1" applyAlignment="1">
      <alignment horizontal="center"/>
    </xf>
    <xf numFmtId="0" fontId="1" fillId="2" borderId="0" xfId="0" applyFont="1" applyFill="1" applyAlignment="1">
      <alignment horizontal="center"/>
    </xf>
    <xf numFmtId="0" fontId="22" fillId="24" borderId="0" xfId="0" applyFont="1" applyFill="1" applyAlignment="1">
      <alignment horizontal="center"/>
    </xf>
    <xf numFmtId="0" fontId="1" fillId="24" borderId="0" xfId="0" applyFont="1" applyFill="1" applyAlignment="1">
      <alignment horizontal="center"/>
    </xf>
    <xf numFmtId="0" fontId="0" fillId="0" borderId="1" xfId="0" applyBorder="1" applyAlignment="1">
      <alignment horizontal="right" wrapText="1"/>
    </xf>
    <xf numFmtId="0" fontId="0" fillId="25" borderId="0" xfId="0" applyFill="1" applyAlignment="1">
      <alignment horizontal="center"/>
    </xf>
    <xf numFmtId="0" fontId="0" fillId="25" borderId="0" xfId="0" applyFill="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26" borderId="0" xfId="0" applyFill="1" applyAlignment="1">
      <alignment horizontal="center"/>
    </xf>
    <xf numFmtId="0" fontId="0" fillId="13" borderId="0" xfId="0" applyFill="1" applyAlignment="1">
      <alignment horizontal="right"/>
    </xf>
    <xf numFmtId="1" fontId="0" fillId="13" borderId="0" xfId="0" applyNumberFormat="1" applyFill="1" applyAlignment="1">
      <alignment horizontal="center"/>
    </xf>
    <xf numFmtId="165" fontId="0" fillId="0" borderId="0" xfId="0" applyNumberFormat="1" applyFill="1" applyBorder="1" applyAlignment="1">
      <alignment horizontal="center"/>
    </xf>
    <xf numFmtId="0" fontId="30" fillId="11" borderId="0" xfId="0" applyFont="1" applyFill="1" applyAlignment="1">
      <alignment horizontal="center" wrapText="1"/>
    </xf>
    <xf numFmtId="0" fontId="0" fillId="27" borderId="0" xfId="0" applyFill="1" applyAlignment="1">
      <alignment horizontal="right"/>
    </xf>
    <xf numFmtId="1" fontId="0" fillId="27" borderId="0" xfId="0" applyNumberFormat="1" applyFill="1" applyAlignment="1">
      <alignment horizontal="center"/>
    </xf>
    <xf numFmtId="0" fontId="31" fillId="28" borderId="0" xfId="0" applyFont="1" applyFill="1" applyAlignment="1">
      <alignment horizontal="center" wrapText="1"/>
    </xf>
    <xf numFmtId="2" fontId="32" fillId="0" borderId="0" xfId="0" applyNumberFormat="1" applyFont="1" applyAlignment="1">
      <alignment horizontal="center" wrapText="1"/>
    </xf>
    <xf numFmtId="164" fontId="31" fillId="0" borderId="0" xfId="0" applyNumberFormat="1" applyFont="1" applyAlignment="1">
      <alignment horizontal="center" wrapText="1"/>
    </xf>
    <xf numFmtId="2" fontId="32" fillId="5" borderId="0" xfId="0" applyNumberFormat="1" applyFont="1" applyFill="1" applyAlignment="1">
      <alignment horizontal="center" wrapText="1"/>
    </xf>
    <xf numFmtId="1" fontId="0" fillId="2" borderId="0" xfId="0" applyNumberFormat="1" applyFill="1" applyAlignment="1">
      <alignment horizontal="center"/>
    </xf>
    <xf numFmtId="0" fontId="0" fillId="14" borderId="0" xfId="0" applyFill="1" applyBorder="1" applyAlignment="1">
      <alignment horizontal="right" wrapText="1"/>
    </xf>
    <xf numFmtId="165" fontId="0" fillId="14" borderId="0" xfId="0" applyNumberFormat="1" applyFill="1" applyBorder="1" applyAlignment="1">
      <alignment horizontal="center" wrapText="1"/>
    </xf>
    <xf numFmtId="0" fontId="0" fillId="21" borderId="0" xfId="0" applyFill="1" applyBorder="1" applyAlignment="1">
      <alignment horizontal="right" wrapText="1"/>
    </xf>
    <xf numFmtId="165" fontId="0" fillId="21" borderId="0" xfId="0" applyNumberFormat="1" applyFill="1" applyBorder="1" applyAlignment="1">
      <alignment horizontal="center" wrapText="1"/>
    </xf>
    <xf numFmtId="0" fontId="1" fillId="2" borderId="0" xfId="0" applyFont="1" applyFill="1"/>
    <xf numFmtId="166" fontId="0" fillId="0" borderId="0" xfId="0" applyNumberFormat="1" applyFill="1"/>
    <xf numFmtId="166" fontId="0" fillId="0" borderId="0" xfId="0" applyNumberFormat="1" applyFill="1" applyAlignment="1">
      <alignment horizontal="center"/>
    </xf>
    <xf numFmtId="166" fontId="31" fillId="0" borderId="0" xfId="0" applyNumberFormat="1" applyFont="1" applyFill="1" applyAlignment="1">
      <alignment horizontal="center" wrapText="1"/>
    </xf>
    <xf numFmtId="0" fontId="0" fillId="0" borderId="0" xfId="0" applyFill="1" applyAlignment="1">
      <alignment horizontal="left"/>
    </xf>
    <xf numFmtId="0" fontId="0" fillId="2" borderId="1" xfId="0" applyFill="1" applyBorder="1" applyAlignment="1">
      <alignment horizontal="left" wrapText="1"/>
    </xf>
    <xf numFmtId="1" fontId="0" fillId="0" borderId="0" xfId="0" applyNumberFormat="1" applyFill="1" applyAlignment="1">
      <alignment horizontal="center"/>
    </xf>
    <xf numFmtId="2" fontId="0" fillId="0" borderId="0" xfId="0" applyNumberFormat="1" applyFill="1" applyAlignment="1">
      <alignment horizontal="center"/>
    </xf>
    <xf numFmtId="2" fontId="0" fillId="0" borderId="0" xfId="0" applyNumberFormat="1" applyFont="1" applyFill="1" applyAlignment="1">
      <alignment horizontal="center" wrapText="1"/>
    </xf>
    <xf numFmtId="0" fontId="0" fillId="15" borderId="0" xfId="0" applyFill="1" applyBorder="1" applyAlignment="1">
      <alignment horizontal="right" wrapText="1"/>
    </xf>
    <xf numFmtId="165" fontId="0" fillId="15" borderId="0" xfId="0" applyNumberFormat="1" applyFill="1" applyBorder="1" applyAlignment="1">
      <alignment horizontal="center" wrapText="1"/>
    </xf>
    <xf numFmtId="0" fontId="0" fillId="29" borderId="0" xfId="0" applyFill="1" applyBorder="1" applyAlignment="1">
      <alignment horizontal="right" wrapText="1"/>
    </xf>
    <xf numFmtId="165" fontId="0" fillId="29" borderId="0" xfId="0" applyNumberFormat="1" applyFill="1" applyBorder="1" applyAlignment="1">
      <alignment horizontal="center" wrapText="1"/>
    </xf>
    <xf numFmtId="0" fontId="0" fillId="0" borderId="0" xfId="0" applyFill="1" applyBorder="1" applyAlignment="1">
      <alignment horizontal="right" wrapText="1"/>
    </xf>
    <xf numFmtId="0" fontId="33" fillId="0" borderId="0" xfId="0" applyFont="1" applyFill="1" applyAlignment="1">
      <alignment horizontal="center"/>
    </xf>
    <xf numFmtId="168" fontId="33" fillId="0" borderId="0" xfId="0" applyNumberFormat="1" applyFont="1" applyFill="1" applyAlignment="1">
      <alignment horizontal="center"/>
    </xf>
    <xf numFmtId="165" fontId="0" fillId="0" borderId="0" xfId="0" applyNumberFormat="1" applyFill="1" applyAlignment="1">
      <alignment horizontal="center"/>
    </xf>
    <xf numFmtId="0" fontId="1" fillId="0" borderId="0" xfId="0" applyFont="1" applyFill="1" applyAlignment="1">
      <alignment horizontal="center"/>
    </xf>
    <xf numFmtId="0" fontId="1" fillId="0" borderId="1" xfId="0" applyFont="1" applyBorder="1" applyAlignment="1">
      <alignment horizontal="center" wrapText="1"/>
    </xf>
    <xf numFmtId="0" fontId="22" fillId="0" borderId="0" xfId="0" applyFont="1" applyFill="1" applyAlignment="1">
      <alignment horizontal="center"/>
    </xf>
    <xf numFmtId="168" fontId="22" fillId="2" borderId="0" xfId="2" applyNumberFormat="1" applyFont="1" applyFill="1" applyAlignment="1">
      <alignment horizontal="center"/>
    </xf>
    <xf numFmtId="168" fontId="34" fillId="13" borderId="0" xfId="2" applyNumberFormat="1" applyFont="1" applyFill="1" applyAlignment="1">
      <alignment horizontal="center"/>
    </xf>
    <xf numFmtId="168" fontId="0" fillId="13" borderId="0" xfId="2" applyNumberFormat="1" applyFont="1" applyFill="1" applyAlignment="1">
      <alignment horizontal="center"/>
    </xf>
    <xf numFmtId="164" fontId="22" fillId="0" borderId="0" xfId="0" applyNumberFormat="1" applyFont="1" applyFill="1" applyAlignment="1">
      <alignment horizontal="center"/>
    </xf>
    <xf numFmtId="0" fontId="22" fillId="0" borderId="0" xfId="0" applyFont="1" applyFill="1" applyBorder="1" applyAlignment="1">
      <alignment horizontal="center"/>
    </xf>
    <xf numFmtId="168" fontId="22" fillId="13" borderId="0" xfId="2" applyNumberFormat="1" applyFont="1" applyFill="1" applyAlignment="1">
      <alignment horizontal="center"/>
    </xf>
    <xf numFmtId="0" fontId="35" fillId="26" borderId="0" xfId="0" applyFont="1" applyFill="1" applyBorder="1" applyAlignment="1">
      <alignment horizontal="right" wrapText="1"/>
    </xf>
    <xf numFmtId="165" fontId="35" fillId="26" borderId="0" xfId="0" applyNumberFormat="1" applyFont="1" applyFill="1" applyBorder="1" applyAlignment="1">
      <alignment horizontal="center" wrapText="1"/>
    </xf>
    <xf numFmtId="0" fontId="7" fillId="0" borderId="0" xfId="0" applyFont="1" applyFill="1"/>
    <xf numFmtId="0" fontId="7" fillId="0" borderId="0" xfId="0" applyFont="1" applyFill="1" applyAlignment="1">
      <alignment horizontal="center"/>
    </xf>
    <xf numFmtId="0" fontId="7" fillId="26" borderId="0" xfId="0" applyFont="1" applyFill="1" applyBorder="1" applyAlignment="1">
      <alignment horizontal="right" wrapText="1"/>
    </xf>
    <xf numFmtId="165" fontId="7" fillId="26" borderId="0" xfId="0" applyNumberFormat="1" applyFont="1" applyFill="1" applyBorder="1" applyAlignment="1">
      <alignment horizontal="center" wrapText="1"/>
    </xf>
    <xf numFmtId="0" fontId="6" fillId="26" borderId="0" xfId="0" applyFont="1" applyFill="1" applyBorder="1" applyAlignment="1">
      <alignment horizontal="right" wrapText="1"/>
    </xf>
    <xf numFmtId="165" fontId="6" fillId="26" borderId="0" xfId="0" applyNumberFormat="1" applyFont="1" applyFill="1" applyBorder="1" applyAlignment="1">
      <alignment horizontal="center" wrapText="1"/>
    </xf>
    <xf numFmtId="0" fontId="36" fillId="0" borderId="0" xfId="0" applyFont="1"/>
    <xf numFmtId="0" fontId="37" fillId="0" borderId="0" xfId="0" applyFont="1"/>
    <xf numFmtId="0" fontId="39" fillId="0" borderId="0" xfId="0" applyNumberFormat="1" applyFont="1"/>
    <xf numFmtId="0" fontId="39" fillId="0" borderId="0" xfId="0" applyFont="1"/>
    <xf numFmtId="0" fontId="40" fillId="0" borderId="0" xfId="3" applyAlignment="1" applyProtection="1"/>
    <xf numFmtId="0" fontId="0" fillId="0" borderId="36" xfId="0" applyBorder="1" applyAlignment="1">
      <alignment horizontal="left" wrapText="1" indent="1"/>
    </xf>
    <xf numFmtId="0" fontId="41" fillId="0" borderId="0" xfId="0" applyFont="1" applyAlignment="1">
      <alignment horizontal="left" wrapText="1" indent="1"/>
    </xf>
    <xf numFmtId="0" fontId="0" fillId="0" borderId="0" xfId="0" applyAlignment="1">
      <alignment horizontal="left" wrapText="1" indent="1"/>
    </xf>
    <xf numFmtId="167" fontId="0" fillId="0" borderId="1" xfId="1" applyNumberFormat="1" applyFont="1" applyBorder="1"/>
    <xf numFmtId="0" fontId="24" fillId="0" borderId="0" xfId="0" applyFont="1"/>
    <xf numFmtId="0" fontId="40" fillId="0" borderId="0" xfId="3" applyAlignment="1" applyProtection="1">
      <alignment horizontal="left" indent="1"/>
    </xf>
    <xf numFmtId="0" fontId="42" fillId="0" borderId="0" xfId="0" applyFont="1"/>
    <xf numFmtId="0" fontId="1" fillId="0" borderId="0" xfId="0" applyFont="1" applyAlignment="1">
      <alignment wrapText="1"/>
    </xf>
    <xf numFmtId="0" fontId="0" fillId="0" borderId="0" xfId="0" applyAlignment="1">
      <alignment wrapText="1"/>
    </xf>
    <xf numFmtId="0" fontId="40" fillId="0" borderId="0" xfId="3" applyAlignment="1" applyProtection="1">
      <alignment wrapText="1"/>
    </xf>
    <xf numFmtId="0" fontId="0" fillId="0" borderId="0" xfId="0" applyAlignment="1">
      <alignment horizontal="left" wrapText="1"/>
    </xf>
    <xf numFmtId="0" fontId="0" fillId="0" borderId="0" xfId="0" applyAlignment="1">
      <alignment horizontal="center" vertical="center"/>
    </xf>
    <xf numFmtId="10" fontId="1" fillId="0" borderId="0" xfId="1" applyNumberFormat="1" applyFont="1"/>
    <xf numFmtId="164" fontId="44" fillId="0" borderId="0" xfId="0" applyNumberFormat="1" applyFont="1" applyAlignment="1">
      <alignment wrapText="1"/>
    </xf>
    <xf numFmtId="164" fontId="11" fillId="0" borderId="1" xfId="0" applyNumberFormat="1" applyFont="1" applyBorder="1" applyAlignment="1">
      <alignment wrapText="1"/>
    </xf>
    <xf numFmtId="164" fontId="44" fillId="0" borderId="0" xfId="0" applyNumberFormat="1" applyFont="1" applyBorder="1" applyAlignment="1">
      <alignment wrapText="1"/>
    </xf>
    <xf numFmtId="164" fontId="11" fillId="0" borderId="3" xfId="0" applyNumberFormat="1" applyFont="1" applyBorder="1" applyAlignment="1">
      <alignment wrapText="1"/>
    </xf>
    <xf numFmtId="164" fontId="11" fillId="2" borderId="3" xfId="0" applyNumberFormat="1" applyFont="1" applyFill="1" applyBorder="1" applyAlignment="1">
      <alignment wrapText="1"/>
    </xf>
    <xf numFmtId="164" fontId="6" fillId="2" borderId="1" xfId="0" applyNumberFormat="1" applyFont="1" applyFill="1" applyBorder="1" applyAlignment="1">
      <alignment wrapText="1"/>
    </xf>
    <xf numFmtId="164" fontId="0" fillId="2" borderId="0" xfId="0" applyNumberFormat="1" applyFill="1" applyAlignment="1">
      <alignment wrapText="1"/>
    </xf>
    <xf numFmtId="164" fontId="0" fillId="2" borderId="0" xfId="0" applyNumberFormat="1" applyFont="1" applyFill="1" applyBorder="1" applyAlignment="1">
      <alignment wrapText="1"/>
    </xf>
    <xf numFmtId="164" fontId="7" fillId="2" borderId="1" xfId="0" applyNumberFormat="1" applyFont="1" applyFill="1" applyBorder="1" applyAlignment="1">
      <alignment wrapText="1"/>
    </xf>
    <xf numFmtId="0" fontId="1" fillId="30" borderId="0" xfId="0" applyFont="1" applyFill="1"/>
    <xf numFmtId="0" fontId="12" fillId="11" borderId="0" xfId="0" applyFont="1" applyFill="1" applyAlignment="1">
      <alignment horizontal="center" wrapText="1"/>
    </xf>
    <xf numFmtId="0" fontId="9" fillId="6"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4" fillId="3" borderId="1" xfId="0" applyFont="1" applyFill="1" applyBorder="1" applyAlignment="1">
      <alignment horizontal="left" vertical="top" wrapText="1" indent="1"/>
    </xf>
    <xf numFmtId="0" fontId="15" fillId="17" borderId="1" xfId="0" applyFont="1" applyFill="1" applyBorder="1" applyAlignment="1">
      <alignment horizontal="center" vertical="top" wrapText="1"/>
    </xf>
    <xf numFmtId="0" fontId="14" fillId="16" borderId="1" xfId="0" applyFont="1" applyFill="1" applyBorder="1" applyAlignment="1">
      <alignment horizontal="center" vertical="top" wrapText="1"/>
    </xf>
    <xf numFmtId="0" fontId="2" fillId="20" borderId="37" xfId="0" applyFont="1" applyFill="1" applyBorder="1" applyAlignment="1">
      <alignment horizontal="left" vertical="top" wrapText="1"/>
    </xf>
    <xf numFmtId="0" fontId="2" fillId="20" borderId="38" xfId="0" applyFont="1" applyFill="1" applyBorder="1" applyAlignment="1">
      <alignment horizontal="left" vertical="top" wrapText="1"/>
    </xf>
    <xf numFmtId="0" fontId="2" fillId="3" borderId="37" xfId="0" applyFont="1" applyFill="1" applyBorder="1" applyAlignment="1">
      <alignment horizontal="left" vertical="top" wrapText="1"/>
    </xf>
    <xf numFmtId="0" fontId="2" fillId="3" borderId="38" xfId="0" applyFont="1" applyFill="1" applyBorder="1" applyAlignment="1">
      <alignment horizontal="left" vertical="top" wrapText="1"/>
    </xf>
    <xf numFmtId="0" fontId="4" fillId="3" borderId="37"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20" borderId="37" xfId="0" applyFont="1" applyFill="1" applyBorder="1" applyAlignment="1">
      <alignment horizontal="left" vertical="top" wrapText="1"/>
    </xf>
    <xf numFmtId="0" fontId="4" fillId="20" borderId="38" xfId="0" applyFont="1" applyFill="1" applyBorder="1" applyAlignment="1">
      <alignment horizontal="left" vertical="top" wrapText="1"/>
    </xf>
    <xf numFmtId="167" fontId="0" fillId="0" borderId="6" xfId="0" applyNumberFormat="1" applyBorder="1" applyAlignment="1">
      <alignment horizontal="center"/>
    </xf>
    <xf numFmtId="167" fontId="0" fillId="0" borderId="28" xfId="0" applyNumberFormat="1" applyBorder="1" applyAlignment="1">
      <alignment horizontal="center"/>
    </xf>
    <xf numFmtId="167" fontId="0" fillId="0" borderId="15" xfId="0" applyNumberFormat="1" applyBorder="1" applyAlignment="1">
      <alignment horizontal="center"/>
    </xf>
    <xf numFmtId="167" fontId="0" fillId="0" borderId="25" xfId="0" applyNumberFormat="1" applyBorder="1" applyAlignment="1">
      <alignment horizontal="center"/>
    </xf>
    <xf numFmtId="167" fontId="0" fillId="0" borderId="16" xfId="0" applyNumberFormat="1" applyBorder="1" applyAlignment="1">
      <alignment horizontal="center"/>
    </xf>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9" xfId="0" applyNumberFormat="1"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24" xfId="0" applyNumberFormat="1" applyBorder="1" applyAlignment="1">
      <alignment horizontal="center"/>
    </xf>
    <xf numFmtId="167" fontId="0" fillId="0" borderId="1" xfId="0" applyNumberFormat="1" applyBorder="1" applyAlignment="1">
      <alignment horizontal="center"/>
    </xf>
    <xf numFmtId="167" fontId="0" fillId="0" borderId="3" xfId="0" applyNumberFormat="1" applyBorder="1" applyAlignment="1">
      <alignment horizontal="center"/>
    </xf>
    <xf numFmtId="0" fontId="6" fillId="13" borderId="1" xfId="0" applyFont="1" applyFill="1" applyBorder="1" applyAlignment="1">
      <alignment horizontal="center"/>
    </xf>
    <xf numFmtId="0" fontId="6" fillId="13" borderId="6" xfId="0" applyFont="1" applyFill="1" applyBorder="1" applyAlignment="1">
      <alignment horizontal="center"/>
    </xf>
    <xf numFmtId="0" fontId="6" fillId="13" borderId="7" xfId="0" applyFont="1" applyFill="1" applyBorder="1" applyAlignment="1">
      <alignment horizontal="center"/>
    </xf>
    <xf numFmtId="0" fontId="6" fillId="13" borderId="0" xfId="0" applyFont="1" applyFill="1" applyAlignment="1">
      <alignment horizontal="center"/>
    </xf>
    <xf numFmtId="166" fontId="25" fillId="2" borderId="17" xfId="0" applyNumberFormat="1" applyFont="1" applyFill="1" applyBorder="1" applyAlignment="1">
      <alignment horizontal="center"/>
    </xf>
    <xf numFmtId="166" fontId="25" fillId="2" borderId="29" xfId="0" applyNumberFormat="1" applyFont="1" applyFill="1" applyBorder="1" applyAlignment="1">
      <alignment horizontal="center"/>
    </xf>
    <xf numFmtId="0" fontId="28" fillId="0" borderId="1" xfId="0" applyFont="1" applyBorder="1" applyAlignment="1">
      <alignment horizontal="center"/>
    </xf>
  </cellXfs>
  <cellStyles count="4">
    <cellStyle name="Hipervínculo" xfId="3" builtinId="8"/>
    <cellStyle name="Moneda" xfId="2" builtinId="4"/>
    <cellStyle name="Normal" xfId="0" builtinId="0"/>
    <cellStyle name="Porcentaje" xfId="1" builtinId="5"/>
  </cellStyles>
  <dxfs count="2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D6F-41EE-AC1F-DFD212036C4A}"/>
            </c:ext>
          </c:extLst>
        </c:ser>
        <c:dLbls>
          <c:showLegendKey val="0"/>
          <c:showVal val="0"/>
          <c:showCatName val="0"/>
          <c:showSerName val="0"/>
          <c:showPercent val="0"/>
          <c:showBubbleSize val="0"/>
        </c:dLbls>
        <c:marker val="1"/>
        <c:smooth val="0"/>
        <c:axId val="281440448"/>
        <c:axId val="281436136"/>
      </c:lineChart>
      <c:catAx>
        <c:axId val="281440448"/>
        <c:scaling>
          <c:orientation val="minMax"/>
        </c:scaling>
        <c:delete val="0"/>
        <c:axPos val="b"/>
        <c:numFmt formatCode="0%" sourceLinked="1"/>
        <c:majorTickMark val="out"/>
        <c:minorTickMark val="none"/>
        <c:tickLblPos val="nextTo"/>
        <c:crossAx val="281436136"/>
        <c:crosses val="autoZero"/>
        <c:auto val="1"/>
        <c:lblAlgn val="ctr"/>
        <c:lblOffset val="100"/>
        <c:noMultiLvlLbl val="0"/>
      </c:catAx>
      <c:valAx>
        <c:axId val="281436136"/>
        <c:scaling>
          <c:orientation val="minMax"/>
          <c:max val="2"/>
        </c:scaling>
        <c:delete val="1"/>
        <c:axPos val="l"/>
        <c:majorGridlines/>
        <c:numFmt formatCode="General" sourceLinked="1"/>
        <c:majorTickMark val="out"/>
        <c:minorTickMark val="none"/>
        <c:tickLblPos val="none"/>
        <c:crossAx val="2814404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72F8-47B0-AD9E-F98980047305}"/>
            </c:ext>
          </c:extLst>
        </c:ser>
        <c:dLbls>
          <c:showLegendKey val="0"/>
          <c:showVal val="0"/>
          <c:showCatName val="0"/>
          <c:showSerName val="0"/>
          <c:showPercent val="0"/>
          <c:showBubbleSize val="0"/>
        </c:dLbls>
        <c:smooth val="0"/>
        <c:axId val="289854328"/>
        <c:axId val="289848056"/>
      </c:lineChart>
      <c:catAx>
        <c:axId val="289854328"/>
        <c:scaling>
          <c:orientation val="minMax"/>
        </c:scaling>
        <c:delete val="0"/>
        <c:axPos val="b"/>
        <c:numFmt formatCode="General" sourceLinked="1"/>
        <c:majorTickMark val="out"/>
        <c:minorTickMark val="none"/>
        <c:tickLblPos val="nextTo"/>
        <c:crossAx val="289848056"/>
        <c:crosses val="autoZero"/>
        <c:auto val="1"/>
        <c:lblAlgn val="ctr"/>
        <c:lblOffset val="100"/>
        <c:noMultiLvlLbl val="0"/>
      </c:catAx>
      <c:valAx>
        <c:axId val="289848056"/>
        <c:scaling>
          <c:orientation val="minMax"/>
          <c:max val="1"/>
        </c:scaling>
        <c:delete val="0"/>
        <c:axPos val="l"/>
        <c:majorGridlines/>
        <c:numFmt formatCode="General" sourceLinked="1"/>
        <c:majorTickMark val="out"/>
        <c:minorTickMark val="none"/>
        <c:tickLblPos val="nextTo"/>
        <c:crossAx val="2898543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3.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5.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6.gif"/><Relationship Id="rId10" Type="http://schemas.openxmlformats.org/officeDocument/2006/relationships/chart" Target="../charts/chart2.xml"/><Relationship Id="rId4" Type="http://schemas.openxmlformats.org/officeDocument/2006/relationships/hyperlink" Target="javascript:goAnchor('');" TargetMode="External"/><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F07B0355-74E9-45E0-B261-93AE43CCEC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81350" y="0"/>
          <a:ext cx="5670476" cy="11192381"/>
        </a:xfrm>
        <a:prstGeom prst="rect">
          <a:avLst/>
        </a:prstGeom>
        <a:noFill/>
      </xdr:spPr>
    </xdr:pic>
    <xdr:clientData/>
  </xdr:twoCellAnchor>
  <xdr:twoCellAnchor editAs="oneCell">
    <xdr:from>
      <xdr:col>12</xdr:col>
      <xdr:colOff>0</xdr:colOff>
      <xdr:row>0</xdr:row>
      <xdr:rowOff>0</xdr:rowOff>
    </xdr:from>
    <xdr:to>
      <xdr:col>19</xdr:col>
      <xdr:colOff>381635</xdr:colOff>
      <xdr:row>29</xdr:row>
      <xdr:rowOff>635</xdr:rowOff>
    </xdr:to>
    <xdr:pic>
      <xdr:nvPicPr>
        <xdr:cNvPr id="4" name="Imagen 3">
          <a:extLst>
            <a:ext uri="{FF2B5EF4-FFF2-40B4-BE49-F238E27FC236}">
              <a16:creationId xmlns:a16="http://schemas.microsoft.com/office/drawing/2014/main" id="{DC659E68-F3C7-43CE-8326-E122D1E8061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49350" y="0"/>
          <a:ext cx="5715635" cy="55251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a:extLst>
            <a:ext uri="{FF2B5EF4-FFF2-40B4-BE49-F238E27FC236}">
              <a16:creationId xmlns:a16="http://schemas.microsoft.com/office/drawing/2014/main" id="{159B154A-DDFF-46F5-89CE-3433D1D092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a:extLst>
            <a:ext uri="{FF2B5EF4-FFF2-40B4-BE49-F238E27FC236}">
              <a16:creationId xmlns:a16="http://schemas.microsoft.com/office/drawing/2014/main" id="{89CBF0E5-D836-4888-9EED-F25CD4420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190501</xdr:colOff>
      <xdr:row>1</xdr:row>
      <xdr:rowOff>190499</xdr:rowOff>
    </xdr:from>
    <xdr:to>
      <xdr:col>16</xdr:col>
      <xdr:colOff>5834063</xdr:colOff>
      <xdr:row>29</xdr:row>
      <xdr:rowOff>137583</xdr:rowOff>
    </xdr:to>
    <xdr:graphicFrame macro="">
      <xdr:nvGraphicFramePr>
        <xdr:cNvPr id="2" name="2 Gráfico">
          <a:extLst>
            <a:ext uri="{FF2B5EF4-FFF2-40B4-BE49-F238E27FC236}">
              <a16:creationId xmlns:a16="http://schemas.microsoft.com/office/drawing/2014/main" id="{F99C94AF-2754-4A7D-B5DB-CEBA12327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2"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D79FBA0-703A-4D4E-A164-4E1632E6CE28}"/>
            </a:ext>
          </a:extLst>
        </xdr:cNvPr>
        <xdr:cNvSpPr>
          <a:spLocks noChangeAspect="1" noChangeArrowheads="1"/>
        </xdr:cNvSpPr>
      </xdr:nvSpPr>
      <xdr:spPr bwMode="auto">
        <a:xfrm>
          <a:off x="0" y="2394585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 name="Picture 2" descr="Hattrick Supporter">
          <a:hlinkClick xmlns:r="http://schemas.openxmlformats.org/officeDocument/2006/relationships" r:id="rId2" tooltip="Hattrick Supporter"/>
          <a:extLst>
            <a:ext uri="{FF2B5EF4-FFF2-40B4-BE49-F238E27FC236}">
              <a16:creationId xmlns:a16="http://schemas.microsoft.com/office/drawing/2014/main" id="{E99A4091-602E-45E5-A955-9BFC97E789E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13635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4" name="Picture 3" descr="Hattrick Supporter">
          <a:hlinkClick xmlns:r="http://schemas.openxmlformats.org/officeDocument/2006/relationships" r:id="rId2" tooltip="Hattrick Supporter"/>
          <a:extLst>
            <a:ext uri="{FF2B5EF4-FFF2-40B4-BE49-F238E27FC236}">
              <a16:creationId xmlns:a16="http://schemas.microsoft.com/office/drawing/2014/main" id="{7C20FAD0-40D4-4B22-941F-C48A157B6039}"/>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32685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5" name="Picture 4" descr="¡Volver arriba!">
          <a:hlinkClick xmlns:r="http://schemas.openxmlformats.org/officeDocument/2006/relationships" r:id="rId4"/>
          <a:extLst>
            <a:ext uri="{FF2B5EF4-FFF2-40B4-BE49-F238E27FC236}">
              <a16:creationId xmlns:a16="http://schemas.microsoft.com/office/drawing/2014/main" id="{C6D6542E-4C86-4166-BE1E-A27789A0DF4C}"/>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51735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6"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41762B2F-56E6-4645-A65C-B2F5F7CA165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70785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7" name="ft_copy_posting_link_id1" descr="http://www86.hattrick.org/Img/Icons/transparent.gif">
          <a:extLst>
            <a:ext uri="{FF2B5EF4-FFF2-40B4-BE49-F238E27FC236}">
              <a16:creationId xmlns:a16="http://schemas.microsoft.com/office/drawing/2014/main" id="{A425CCAB-92B9-40A6-8874-1E6C28DA130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89835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8" name="Picture 14" descr="Hattrick Supporter">
          <a:hlinkClick xmlns:r="http://schemas.openxmlformats.org/officeDocument/2006/relationships" r:id="rId2" tooltip="Hattrick Supporter"/>
          <a:extLst>
            <a:ext uri="{FF2B5EF4-FFF2-40B4-BE49-F238E27FC236}">
              <a16:creationId xmlns:a16="http://schemas.microsoft.com/office/drawing/2014/main" id="{66B561F3-3D67-4DD9-A94A-BBFB3923EB0E}"/>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546985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9" name="Picture 16" descr="Argentina">
          <a:hlinkClick xmlns:r="http://schemas.openxmlformats.org/officeDocument/2006/relationships" r:id="rId7"/>
          <a:extLst>
            <a:ext uri="{FF2B5EF4-FFF2-40B4-BE49-F238E27FC236}">
              <a16:creationId xmlns:a16="http://schemas.microsoft.com/office/drawing/2014/main" id="{EB92D8DE-FB8C-4FF2-BA99-2D1E6D490C1E}"/>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585085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10"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8C95C82F-DA40-40A5-B795-4B50C77ACBA4}"/>
            </a:ext>
          </a:extLst>
        </xdr:cNvPr>
        <xdr:cNvSpPr>
          <a:spLocks noChangeAspect="1" noChangeArrowheads="1"/>
        </xdr:cNvSpPr>
      </xdr:nvSpPr>
      <xdr:spPr bwMode="auto">
        <a:xfrm>
          <a:off x="0" y="4261485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11" name="Picture 18" descr="Hattrick Supporter">
          <a:hlinkClick xmlns:r="http://schemas.openxmlformats.org/officeDocument/2006/relationships" r:id="rId2" tooltip="Hattrick Supporter"/>
          <a:extLst>
            <a:ext uri="{FF2B5EF4-FFF2-40B4-BE49-F238E27FC236}">
              <a16:creationId xmlns:a16="http://schemas.microsoft.com/office/drawing/2014/main" id="{AA98FDDF-468E-4FFD-BBA3-43C5A9C9BA8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80535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12" name="Picture 19" descr="¡Volver arriba!">
          <a:hlinkClick xmlns:r="http://schemas.openxmlformats.org/officeDocument/2006/relationships" r:id="rId4"/>
          <a:extLst>
            <a:ext uri="{FF2B5EF4-FFF2-40B4-BE49-F238E27FC236}">
              <a16:creationId xmlns:a16="http://schemas.microsoft.com/office/drawing/2014/main" id="{965D8C9B-3E06-43AF-B28A-F61A8619035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99585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13"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BC65A38E-6453-483F-B3DE-B24D37B62202}"/>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18635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14" name="ft_copy_posting_link_id2" descr="http://www86.hattrick.org/Img/Icons/transparent.gif">
          <a:extLst>
            <a:ext uri="{FF2B5EF4-FFF2-40B4-BE49-F238E27FC236}">
              <a16:creationId xmlns:a16="http://schemas.microsoft.com/office/drawing/2014/main" id="{FF2D27A0-F070-4FAD-AD5E-620D26C8D6A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37685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15" name="Picture 29" descr="Hattrick Supporter">
          <a:hlinkClick xmlns:r="http://schemas.openxmlformats.org/officeDocument/2006/relationships" r:id="rId2" tooltip="Hattrick Supporter"/>
          <a:extLst>
            <a:ext uri="{FF2B5EF4-FFF2-40B4-BE49-F238E27FC236}">
              <a16:creationId xmlns:a16="http://schemas.microsoft.com/office/drawing/2014/main" id="{D9D94F73-BCFE-45A2-8FBB-C3F5C72101D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94835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16" name="Picture 31" descr="Argentina">
          <a:hlinkClick xmlns:r="http://schemas.openxmlformats.org/officeDocument/2006/relationships" r:id="rId7"/>
          <a:extLst>
            <a:ext uri="{FF2B5EF4-FFF2-40B4-BE49-F238E27FC236}">
              <a16:creationId xmlns:a16="http://schemas.microsoft.com/office/drawing/2014/main" id="{95CF5C6F-9C7A-410D-942F-24375FBFF66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432935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17"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C1E9AAB-3DCE-444C-8379-0CB85438636E}"/>
            </a:ext>
          </a:extLst>
        </xdr:cNvPr>
        <xdr:cNvSpPr>
          <a:spLocks noChangeAspect="1" noChangeArrowheads="1"/>
        </xdr:cNvSpPr>
      </xdr:nvSpPr>
      <xdr:spPr bwMode="auto">
        <a:xfrm>
          <a:off x="0" y="2108835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18" name="Picture 2" descr="Hattrick Supporter">
          <a:hlinkClick xmlns:r="http://schemas.openxmlformats.org/officeDocument/2006/relationships" r:id="rId2" tooltip="Hattrick Supporter"/>
          <a:extLst>
            <a:ext uri="{FF2B5EF4-FFF2-40B4-BE49-F238E27FC236}">
              <a16:creationId xmlns:a16="http://schemas.microsoft.com/office/drawing/2014/main" id="{54C02ED1-8787-4968-A28F-2522949D98F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19" name="Picture 3" descr="Hattrick Supporter">
          <a:hlinkClick xmlns:r="http://schemas.openxmlformats.org/officeDocument/2006/relationships" r:id="rId2" tooltip="Hattrick Supporter"/>
          <a:extLst>
            <a:ext uri="{FF2B5EF4-FFF2-40B4-BE49-F238E27FC236}">
              <a16:creationId xmlns:a16="http://schemas.microsoft.com/office/drawing/2014/main" id="{B831F7E4-D14A-479A-B27A-060F5EB82A46}"/>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0" name="Picture 4" descr="¡Volver arriba!">
          <a:hlinkClick xmlns:r="http://schemas.openxmlformats.org/officeDocument/2006/relationships" r:id="rId4"/>
          <a:extLst>
            <a:ext uri="{FF2B5EF4-FFF2-40B4-BE49-F238E27FC236}">
              <a16:creationId xmlns:a16="http://schemas.microsoft.com/office/drawing/2014/main" id="{ED777F64-F1F7-4C9D-A885-398C08B16E3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1"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E8C0D904-9507-4454-B35B-AE027DD657F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2" name="ft_copy_posting_link_id1" descr="http://www86.hattrick.org/Img/Icons/transparent.gif">
          <a:extLst>
            <a:ext uri="{FF2B5EF4-FFF2-40B4-BE49-F238E27FC236}">
              <a16:creationId xmlns:a16="http://schemas.microsoft.com/office/drawing/2014/main" id="{F91AE88B-EED8-4361-9152-83AE749BCF7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23" name="Picture 14" descr="Hattrick Supporter">
          <a:hlinkClick xmlns:r="http://schemas.openxmlformats.org/officeDocument/2006/relationships" r:id="rId2" tooltip="Hattrick Supporter"/>
          <a:extLst>
            <a:ext uri="{FF2B5EF4-FFF2-40B4-BE49-F238E27FC236}">
              <a16:creationId xmlns:a16="http://schemas.microsoft.com/office/drawing/2014/main" id="{F9D5F7E6-949D-4D6C-A284-0A305AD7282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24" name="Picture 15" descr="¡Conectado!">
          <a:extLst>
            <a:ext uri="{FF2B5EF4-FFF2-40B4-BE49-F238E27FC236}">
              <a16:creationId xmlns:a16="http://schemas.microsoft.com/office/drawing/2014/main" id="{C2B6E091-53E9-445C-99E3-5239D5CBB467}"/>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4775" y="2108835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5" name="Picture 16" descr="Argentina">
          <a:hlinkClick xmlns:r="http://schemas.openxmlformats.org/officeDocument/2006/relationships" r:id="rId7"/>
          <a:extLst>
            <a:ext uri="{FF2B5EF4-FFF2-40B4-BE49-F238E27FC236}">
              <a16:creationId xmlns:a16="http://schemas.microsoft.com/office/drawing/2014/main" id="{3274E23C-0BF3-4E81-8892-ADD5C80DB55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26"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01EF10A-34FB-4414-BE95-0BD1C4CBCBDF}"/>
            </a:ext>
          </a:extLst>
        </xdr:cNvPr>
        <xdr:cNvSpPr>
          <a:spLocks noChangeAspect="1" noChangeArrowheads="1"/>
        </xdr:cNvSpPr>
      </xdr:nvSpPr>
      <xdr:spPr bwMode="auto">
        <a:xfrm>
          <a:off x="0" y="3632835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27" name="Picture 18" descr="Hattrick Supporter">
          <a:hlinkClick xmlns:r="http://schemas.openxmlformats.org/officeDocument/2006/relationships" r:id="rId2" tooltip="Hattrick Supporter"/>
          <a:extLst>
            <a:ext uri="{FF2B5EF4-FFF2-40B4-BE49-F238E27FC236}">
              <a16:creationId xmlns:a16="http://schemas.microsoft.com/office/drawing/2014/main" id="{FD388DA7-4017-4D20-8182-07221E3A23C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8" name="Picture 19" descr="¡Volver arriba!">
          <a:hlinkClick xmlns:r="http://schemas.openxmlformats.org/officeDocument/2006/relationships" r:id="rId4"/>
          <a:extLst>
            <a:ext uri="{FF2B5EF4-FFF2-40B4-BE49-F238E27FC236}">
              <a16:creationId xmlns:a16="http://schemas.microsoft.com/office/drawing/2014/main" id="{42853201-C1B2-4FB3-9614-B90F303B156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9"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3F1A0517-5431-4168-8B22-2312EF2539C6}"/>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0" name="ft_copy_posting_link_id2" descr="http://www86.hattrick.org/Img/Icons/transparent.gif">
          <a:extLst>
            <a:ext uri="{FF2B5EF4-FFF2-40B4-BE49-F238E27FC236}">
              <a16:creationId xmlns:a16="http://schemas.microsoft.com/office/drawing/2014/main" id="{1AA2E43E-98A1-486C-8CB6-CF0D038B2B3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31" name="Picture 29" descr="Hattrick Supporter">
          <a:hlinkClick xmlns:r="http://schemas.openxmlformats.org/officeDocument/2006/relationships" r:id="rId2" tooltip="Hattrick Supporter"/>
          <a:extLst>
            <a:ext uri="{FF2B5EF4-FFF2-40B4-BE49-F238E27FC236}">
              <a16:creationId xmlns:a16="http://schemas.microsoft.com/office/drawing/2014/main" id="{4BE16E88-C95E-42AB-AF8C-EF11BD3BF3C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2" name="Picture 31" descr="Argentina">
          <a:hlinkClick xmlns:r="http://schemas.openxmlformats.org/officeDocument/2006/relationships" r:id="rId7"/>
          <a:extLst>
            <a:ext uri="{FF2B5EF4-FFF2-40B4-BE49-F238E27FC236}">
              <a16:creationId xmlns:a16="http://schemas.microsoft.com/office/drawing/2014/main" id="{F14810D7-7E19-4DC1-8B07-557C0902CFF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33" name="48 Gráfico">
          <a:extLst>
            <a:ext uri="{FF2B5EF4-FFF2-40B4-BE49-F238E27FC236}">
              <a16:creationId xmlns:a16="http://schemas.microsoft.com/office/drawing/2014/main" id="{8BDAD9E0-D91F-4E87-8585-0DBDA8C7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4"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77.hattrick.org/Forum/Read.aspx?t=11886114&amp;n=198&amp;v=0&amp;mr=0"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S127"/>
  <sheetViews>
    <sheetView tabSelected="1" zoomScale="80" zoomScaleNormal="80" workbookViewId="0">
      <selection activeCell="T15" sqref="T15"/>
    </sheetView>
  </sheetViews>
  <sheetFormatPr baseColWidth="10" defaultColWidth="9.140625" defaultRowHeight="15.75" x14ac:dyDescent="0.25"/>
  <cols>
    <col min="1" max="1" width="7" customWidth="1"/>
    <col min="2" max="3" width="9.140625" bestFit="1" customWidth="1"/>
    <col min="4" max="5" width="8.85546875" bestFit="1" customWidth="1"/>
    <col min="6" max="6" width="7" customWidth="1"/>
    <col min="7" max="7" width="4.85546875" bestFit="1" customWidth="1"/>
    <col min="8" max="8" width="5.85546875" style="25" customWidth="1"/>
    <col min="9" max="23" width="4.85546875" bestFit="1" customWidth="1"/>
    <col min="24" max="24" width="6.28515625" style="26" customWidth="1"/>
    <col min="25" max="25" width="9.140625" customWidth="1"/>
    <col min="26" max="43" width="4" bestFit="1" customWidth="1"/>
    <col min="44" max="44" width="3" bestFit="1" customWidth="1"/>
    <col min="45" max="45" width="5.5703125" bestFit="1" customWidth="1"/>
  </cols>
  <sheetData>
    <row r="1" spans="1:45" x14ac:dyDescent="0.25">
      <c r="A1" s="1" t="s">
        <v>0</v>
      </c>
      <c r="B1" s="1"/>
      <c r="C1" s="1"/>
      <c r="D1" s="1"/>
      <c r="E1" s="1"/>
      <c r="F1" s="1"/>
      <c r="G1" s="1"/>
      <c r="H1" s="2"/>
      <c r="I1" s="1"/>
      <c r="J1" s="1"/>
      <c r="K1" s="1"/>
      <c r="L1" s="1"/>
      <c r="M1" s="1"/>
      <c r="N1" s="1"/>
      <c r="O1" s="1"/>
      <c r="P1" s="1"/>
      <c r="Q1" s="1"/>
      <c r="R1" s="1"/>
      <c r="S1" s="1"/>
      <c r="T1" s="1"/>
      <c r="U1" s="1"/>
      <c r="V1" s="1"/>
      <c r="W1" s="1"/>
      <c r="X1" s="3"/>
      <c r="Y1" s="4" t="s">
        <v>1</v>
      </c>
    </row>
    <row r="2" spans="1:45" x14ac:dyDescent="0.25">
      <c r="A2" s="5" t="s">
        <v>2</v>
      </c>
      <c r="B2" s="6">
        <v>17</v>
      </c>
      <c r="C2" s="6">
        <v>18</v>
      </c>
      <c r="D2" s="6">
        <v>19</v>
      </c>
      <c r="E2" s="6">
        <v>20</v>
      </c>
      <c r="F2" s="6">
        <v>21</v>
      </c>
      <c r="G2" s="7">
        <v>22</v>
      </c>
      <c r="H2" s="6">
        <v>23</v>
      </c>
      <c r="I2" s="6">
        <v>24</v>
      </c>
      <c r="J2" s="6">
        <v>25</v>
      </c>
      <c r="K2" s="6">
        <v>26</v>
      </c>
      <c r="L2" s="6">
        <v>27</v>
      </c>
      <c r="M2" s="8">
        <v>28</v>
      </c>
      <c r="N2" s="8">
        <v>29</v>
      </c>
      <c r="O2" s="8">
        <v>30</v>
      </c>
      <c r="P2" s="8">
        <v>31</v>
      </c>
      <c r="Q2" s="6">
        <v>32</v>
      </c>
      <c r="R2" s="6">
        <v>33</v>
      </c>
      <c r="S2" s="6">
        <v>34</v>
      </c>
      <c r="T2" s="6">
        <v>35</v>
      </c>
      <c r="U2" s="6">
        <v>36</v>
      </c>
      <c r="V2" s="6">
        <v>37</v>
      </c>
      <c r="W2" s="6">
        <v>38</v>
      </c>
      <c r="X2" s="9"/>
      <c r="Y2" s="1" t="s">
        <v>3</v>
      </c>
    </row>
    <row r="3" spans="1:45" ht="16.5" thickBot="1" x14ac:dyDescent="0.3">
      <c r="A3" s="10">
        <v>0.05</v>
      </c>
      <c r="B3" s="220">
        <v>3.2</v>
      </c>
      <c r="C3" s="220">
        <v>3.7</v>
      </c>
      <c r="D3" s="220">
        <v>4.0999999999999996</v>
      </c>
      <c r="E3" s="220">
        <v>4.4000000000000004</v>
      </c>
      <c r="F3" s="220">
        <v>4.5999999999999996</v>
      </c>
      <c r="G3" s="221">
        <v>4.7</v>
      </c>
      <c r="H3" s="220">
        <v>4.55</v>
      </c>
      <c r="I3" s="220">
        <v>4.4000000000000004</v>
      </c>
      <c r="J3" s="220">
        <v>4.25</v>
      </c>
      <c r="K3" s="220">
        <v>4.0999999999999996</v>
      </c>
      <c r="L3" s="220">
        <v>3.95</v>
      </c>
      <c r="M3" s="222">
        <v>3.8</v>
      </c>
      <c r="N3" s="222">
        <v>3.6500000000000004</v>
      </c>
      <c r="O3" s="222">
        <v>3.5</v>
      </c>
      <c r="P3" s="222">
        <v>3.3499999999999996</v>
      </c>
      <c r="Q3" s="220">
        <v>3.1500000000000004</v>
      </c>
      <c r="R3" s="220">
        <v>2.95</v>
      </c>
      <c r="S3" s="220">
        <v>2.65</v>
      </c>
      <c r="T3" s="220">
        <v>2.2999999999999998</v>
      </c>
      <c r="U3" s="220">
        <v>1.9</v>
      </c>
      <c r="V3" s="220">
        <v>1.4500000000000002</v>
      </c>
      <c r="W3" s="220">
        <v>0.95</v>
      </c>
      <c r="X3" s="14"/>
      <c r="Y3" s="1"/>
    </row>
    <row r="4" spans="1:45" ht="16.5" thickBot="1" x14ac:dyDescent="0.3">
      <c r="A4" s="10">
        <v>0.06</v>
      </c>
      <c r="B4" s="220">
        <v>3.5700000000000003</v>
      </c>
      <c r="C4" s="220">
        <v>4.07</v>
      </c>
      <c r="D4" s="220">
        <v>4.47</v>
      </c>
      <c r="E4" s="220">
        <v>4.7699999999999996</v>
      </c>
      <c r="F4" s="220">
        <v>4.97</v>
      </c>
      <c r="G4" s="221">
        <v>5.07</v>
      </c>
      <c r="H4" s="220">
        <v>4.92</v>
      </c>
      <c r="I4" s="220">
        <v>4.7699999999999996</v>
      </c>
      <c r="J4" s="220">
        <v>4.62</v>
      </c>
      <c r="K4" s="220">
        <v>4.47</v>
      </c>
      <c r="L4" s="220">
        <v>4.32</v>
      </c>
      <c r="M4" s="222">
        <v>4.17</v>
      </c>
      <c r="N4" s="222">
        <v>4.0199999999999996</v>
      </c>
      <c r="O4" s="222">
        <v>3.87</v>
      </c>
      <c r="P4" s="222">
        <v>3.7199999999999998</v>
      </c>
      <c r="Q4" s="220">
        <v>3.5199999999999996</v>
      </c>
      <c r="R4" s="220">
        <v>3.3200000000000003</v>
      </c>
      <c r="S4" s="220">
        <v>3.0199999999999996</v>
      </c>
      <c r="T4" s="220">
        <v>2.67</v>
      </c>
      <c r="U4" s="220">
        <v>2.27</v>
      </c>
      <c r="V4" s="220">
        <v>1.8199999999999998</v>
      </c>
      <c r="W4" s="220">
        <v>1.3199999999999998</v>
      </c>
      <c r="X4" s="14"/>
      <c r="Y4" s="15" t="s">
        <v>4</v>
      </c>
      <c r="Z4" s="15">
        <v>0</v>
      </c>
      <c r="AA4" s="15">
        <v>5</v>
      </c>
      <c r="AB4" s="15">
        <v>10</v>
      </c>
      <c r="AC4" s="15">
        <v>15</v>
      </c>
      <c r="AD4" s="15">
        <v>20</v>
      </c>
      <c r="AE4" s="15">
        <v>25</v>
      </c>
      <c r="AF4" s="15">
        <v>30</v>
      </c>
      <c r="AG4" s="15">
        <v>35</v>
      </c>
      <c r="AH4" s="15">
        <v>40</v>
      </c>
      <c r="AI4" s="15">
        <v>45</v>
      </c>
      <c r="AJ4" s="15">
        <v>50</v>
      </c>
      <c r="AK4" s="15">
        <v>55</v>
      </c>
      <c r="AL4" s="15">
        <v>60</v>
      </c>
      <c r="AM4" s="15">
        <v>65</v>
      </c>
      <c r="AN4" s="15">
        <v>70</v>
      </c>
      <c r="AO4" s="15">
        <v>75</v>
      </c>
      <c r="AP4" s="15">
        <v>80</v>
      </c>
      <c r="AQ4" s="15">
        <v>85</v>
      </c>
      <c r="AR4" s="15">
        <v>90</v>
      </c>
      <c r="AS4" s="15" t="s">
        <v>5</v>
      </c>
    </row>
    <row r="5" spans="1:45" ht="16.5" thickBot="1" x14ac:dyDescent="0.3">
      <c r="A5" s="10">
        <v>7.0000000000000007E-2</v>
      </c>
      <c r="B5" s="220">
        <v>3.92</v>
      </c>
      <c r="C5" s="220">
        <v>4.42</v>
      </c>
      <c r="D5" s="220">
        <v>4.82</v>
      </c>
      <c r="E5" s="220">
        <v>5.12</v>
      </c>
      <c r="F5" s="220">
        <v>5.32</v>
      </c>
      <c r="G5" s="223">
        <v>5.42</v>
      </c>
      <c r="H5" s="220">
        <v>5.27</v>
      </c>
      <c r="I5" s="220">
        <v>5.12</v>
      </c>
      <c r="J5" s="220">
        <v>4.97</v>
      </c>
      <c r="K5" s="220">
        <v>4.82</v>
      </c>
      <c r="L5" s="220">
        <v>4.67</v>
      </c>
      <c r="M5" s="222">
        <v>4.5199999999999996</v>
      </c>
      <c r="N5" s="222">
        <v>4.37</v>
      </c>
      <c r="O5" s="222">
        <v>4.22</v>
      </c>
      <c r="P5" s="222">
        <v>4.07</v>
      </c>
      <c r="Q5" s="220">
        <v>3.87</v>
      </c>
      <c r="R5" s="220">
        <v>3.67</v>
      </c>
      <c r="S5" s="220">
        <v>3.37</v>
      </c>
      <c r="T5" s="220">
        <v>3.0199999999999996</v>
      </c>
      <c r="U5" s="220">
        <v>2.62</v>
      </c>
      <c r="V5" s="220">
        <v>2.17</v>
      </c>
      <c r="W5" s="220">
        <v>1.67</v>
      </c>
      <c r="X5" s="14"/>
      <c r="Y5" s="15">
        <v>9</v>
      </c>
      <c r="Z5" s="15">
        <v>100</v>
      </c>
      <c r="AA5" s="15">
        <v>100</v>
      </c>
      <c r="AB5" s="15">
        <v>100</v>
      </c>
      <c r="AC5" s="15">
        <v>100</v>
      </c>
      <c r="AD5" s="15">
        <v>100</v>
      </c>
      <c r="AE5" s="15">
        <v>100</v>
      </c>
      <c r="AF5" s="15">
        <v>100</v>
      </c>
      <c r="AG5" s="15">
        <v>100</v>
      </c>
      <c r="AH5" s="15">
        <v>100</v>
      </c>
      <c r="AI5" s="15">
        <v>100</v>
      </c>
      <c r="AJ5" s="15">
        <v>100</v>
      </c>
      <c r="AK5" s="15">
        <v>100</v>
      </c>
      <c r="AL5" s="15">
        <v>100</v>
      </c>
      <c r="AM5" s="15">
        <v>100</v>
      </c>
      <c r="AN5" s="15">
        <v>100</v>
      </c>
      <c r="AO5" s="15">
        <v>100</v>
      </c>
      <c r="AP5" s="15">
        <v>100</v>
      </c>
      <c r="AQ5" s="15">
        <v>100</v>
      </c>
      <c r="AR5" s="15">
        <v>99</v>
      </c>
      <c r="AS5" s="15">
        <v>99.95</v>
      </c>
    </row>
    <row r="6" spans="1:45" ht="19.5" thickBot="1" x14ac:dyDescent="0.35">
      <c r="A6" s="10">
        <v>0.08</v>
      </c>
      <c r="B6" s="220">
        <v>4.24</v>
      </c>
      <c r="C6" s="220">
        <v>4.74</v>
      </c>
      <c r="D6" s="220">
        <v>5.14</v>
      </c>
      <c r="E6" s="220">
        <v>5.44</v>
      </c>
      <c r="F6" s="220">
        <v>5.64</v>
      </c>
      <c r="G6" s="221">
        <v>5.74</v>
      </c>
      <c r="H6" s="220">
        <v>5.59</v>
      </c>
      <c r="I6" s="220">
        <v>5.44</v>
      </c>
      <c r="J6" s="220">
        <v>5.29</v>
      </c>
      <c r="K6" s="220">
        <v>5.14</v>
      </c>
      <c r="L6" s="220">
        <v>4.99</v>
      </c>
      <c r="M6" s="222">
        <v>4.84</v>
      </c>
      <c r="N6" s="222">
        <v>4.6900000000000004</v>
      </c>
      <c r="O6" s="222">
        <v>4.54</v>
      </c>
      <c r="P6" s="222">
        <v>4.3899999999999997</v>
      </c>
      <c r="Q6" s="220">
        <v>4.1900000000000004</v>
      </c>
      <c r="R6" s="220">
        <v>3.99</v>
      </c>
      <c r="S6" s="220">
        <v>3.6900000000000004</v>
      </c>
      <c r="T6" s="220">
        <v>3.34</v>
      </c>
      <c r="U6" s="220">
        <v>2.94</v>
      </c>
      <c r="V6" s="220">
        <v>2.4900000000000002</v>
      </c>
      <c r="W6" s="220">
        <v>1.9900000000000002</v>
      </c>
      <c r="X6" s="17"/>
      <c r="Y6" s="15">
        <v>8.9</v>
      </c>
      <c r="Z6" s="15">
        <v>100</v>
      </c>
      <c r="AA6" s="15">
        <v>100</v>
      </c>
      <c r="AB6" s="15">
        <v>100</v>
      </c>
      <c r="AC6" s="15">
        <v>100</v>
      </c>
      <c r="AD6" s="15">
        <v>100</v>
      </c>
      <c r="AE6" s="15">
        <v>100</v>
      </c>
      <c r="AF6" s="15">
        <v>100</v>
      </c>
      <c r="AG6" s="15">
        <v>100</v>
      </c>
      <c r="AH6" s="15">
        <v>100</v>
      </c>
      <c r="AI6" s="15">
        <v>100</v>
      </c>
      <c r="AJ6" s="15">
        <v>100</v>
      </c>
      <c r="AK6" s="15">
        <v>100</v>
      </c>
      <c r="AL6" s="15">
        <v>100</v>
      </c>
      <c r="AM6" s="15">
        <v>100</v>
      </c>
      <c r="AN6" s="15">
        <v>100</v>
      </c>
      <c r="AO6" s="15">
        <v>100</v>
      </c>
      <c r="AP6" s="15">
        <v>100</v>
      </c>
      <c r="AQ6" s="15">
        <v>100</v>
      </c>
      <c r="AR6" s="15">
        <v>98</v>
      </c>
      <c r="AS6" s="15">
        <v>99.89</v>
      </c>
    </row>
    <row r="7" spans="1:45" ht="16.5" thickBot="1" x14ac:dyDescent="0.3">
      <c r="A7" s="10">
        <v>0.09</v>
      </c>
      <c r="B7" s="220">
        <v>4.53</v>
      </c>
      <c r="C7" s="220">
        <v>5.03</v>
      </c>
      <c r="D7" s="220">
        <v>5.43</v>
      </c>
      <c r="E7" s="220">
        <v>5.73</v>
      </c>
      <c r="F7" s="220">
        <v>5.93</v>
      </c>
      <c r="G7" s="224">
        <v>6.03</v>
      </c>
      <c r="H7" s="220">
        <v>5.88</v>
      </c>
      <c r="I7" s="220">
        <v>5.73</v>
      </c>
      <c r="J7" s="220">
        <v>5.58</v>
      </c>
      <c r="K7" s="220">
        <v>5.43</v>
      </c>
      <c r="L7" s="220">
        <v>5.28</v>
      </c>
      <c r="M7" s="222">
        <v>5.13</v>
      </c>
      <c r="N7" s="222">
        <v>4.9800000000000004</v>
      </c>
      <c r="O7" s="222">
        <v>4.83</v>
      </c>
      <c r="P7" s="222">
        <v>4.68</v>
      </c>
      <c r="Q7" s="220">
        <v>4.4800000000000004</v>
      </c>
      <c r="R7" s="220">
        <v>4.28</v>
      </c>
      <c r="S7" s="220">
        <v>3.9800000000000004</v>
      </c>
      <c r="T7" s="220">
        <v>3.63</v>
      </c>
      <c r="U7" s="220">
        <v>3.2300000000000004</v>
      </c>
      <c r="V7" s="220">
        <v>2.78</v>
      </c>
      <c r="W7" s="220">
        <v>2.2799999999999998</v>
      </c>
      <c r="X7" s="14"/>
      <c r="Y7" s="15">
        <v>8.8000000000000007</v>
      </c>
      <c r="Z7" s="15">
        <v>100</v>
      </c>
      <c r="AA7" s="15">
        <v>100</v>
      </c>
      <c r="AB7" s="15">
        <v>100</v>
      </c>
      <c r="AC7" s="15">
        <v>100</v>
      </c>
      <c r="AD7" s="15">
        <v>100</v>
      </c>
      <c r="AE7" s="15">
        <v>100</v>
      </c>
      <c r="AF7" s="15">
        <v>100</v>
      </c>
      <c r="AG7" s="15">
        <v>100</v>
      </c>
      <c r="AH7" s="15">
        <v>100</v>
      </c>
      <c r="AI7" s="15">
        <v>100</v>
      </c>
      <c r="AJ7" s="15">
        <v>100</v>
      </c>
      <c r="AK7" s="15">
        <v>100</v>
      </c>
      <c r="AL7" s="15">
        <v>100</v>
      </c>
      <c r="AM7" s="15">
        <v>100</v>
      </c>
      <c r="AN7" s="15">
        <v>100</v>
      </c>
      <c r="AO7" s="15">
        <v>100</v>
      </c>
      <c r="AP7" s="15">
        <v>100</v>
      </c>
      <c r="AQ7" s="15">
        <v>100</v>
      </c>
      <c r="AR7" s="15">
        <v>97</v>
      </c>
      <c r="AS7" s="15">
        <v>99.84</v>
      </c>
    </row>
    <row r="8" spans="1:45" ht="19.5" thickBot="1" x14ac:dyDescent="0.35">
      <c r="A8" s="18">
        <v>0.1</v>
      </c>
      <c r="B8" s="19">
        <v>4.8099999999999996</v>
      </c>
      <c r="C8" s="19">
        <v>5.31</v>
      </c>
      <c r="D8" s="19">
        <v>5.71</v>
      </c>
      <c r="E8" s="19">
        <v>6.01</v>
      </c>
      <c r="F8" s="19">
        <v>6.21</v>
      </c>
      <c r="G8" s="12">
        <v>6.31</v>
      </c>
      <c r="H8" s="19">
        <v>6.16</v>
      </c>
      <c r="I8" s="225">
        <v>6.01</v>
      </c>
      <c r="J8" s="19">
        <v>5.86</v>
      </c>
      <c r="K8" s="19">
        <v>5.71</v>
      </c>
      <c r="L8" s="19">
        <v>5.56</v>
      </c>
      <c r="M8" s="20">
        <v>5.41</v>
      </c>
      <c r="N8" s="20">
        <v>5.26</v>
      </c>
      <c r="O8" s="20">
        <v>5.1100000000000003</v>
      </c>
      <c r="P8" s="20">
        <v>4.96</v>
      </c>
      <c r="Q8" s="19">
        <v>4.76</v>
      </c>
      <c r="R8" s="19">
        <v>4.5599999999999996</v>
      </c>
      <c r="S8" s="19">
        <v>4.26</v>
      </c>
      <c r="T8" s="19">
        <v>3.91</v>
      </c>
      <c r="U8" s="19">
        <v>3.51</v>
      </c>
      <c r="V8" s="19">
        <v>3.0599999999999996</v>
      </c>
      <c r="W8" s="19">
        <v>2.56</v>
      </c>
      <c r="X8" s="14"/>
      <c r="Y8" s="15">
        <v>8.6999999999999993</v>
      </c>
      <c r="Z8" s="15">
        <v>100</v>
      </c>
      <c r="AA8" s="15">
        <v>100</v>
      </c>
      <c r="AB8" s="15">
        <v>100</v>
      </c>
      <c r="AC8" s="15">
        <v>100</v>
      </c>
      <c r="AD8" s="15">
        <v>100</v>
      </c>
      <c r="AE8" s="15">
        <v>100</v>
      </c>
      <c r="AF8" s="15">
        <v>100</v>
      </c>
      <c r="AG8" s="15">
        <v>100</v>
      </c>
      <c r="AH8" s="15">
        <v>100</v>
      </c>
      <c r="AI8" s="15">
        <v>100</v>
      </c>
      <c r="AJ8" s="15">
        <v>100</v>
      </c>
      <c r="AK8" s="15">
        <v>100</v>
      </c>
      <c r="AL8" s="15">
        <v>100</v>
      </c>
      <c r="AM8" s="15">
        <v>100</v>
      </c>
      <c r="AN8" s="15">
        <v>100</v>
      </c>
      <c r="AO8" s="15">
        <v>100</v>
      </c>
      <c r="AP8" s="15">
        <v>100</v>
      </c>
      <c r="AQ8" s="15">
        <v>100</v>
      </c>
      <c r="AR8" s="15">
        <v>96</v>
      </c>
      <c r="AS8" s="15">
        <v>99.79</v>
      </c>
    </row>
    <row r="9" spans="1:45" ht="16.5" thickBot="1" x14ac:dyDescent="0.3">
      <c r="A9" s="10">
        <v>0.11</v>
      </c>
      <c r="B9" s="11">
        <v>5.0599999999999996</v>
      </c>
      <c r="C9" s="11">
        <v>5.56</v>
      </c>
      <c r="D9" s="11">
        <v>5.96</v>
      </c>
      <c r="E9" s="11">
        <v>6.26</v>
      </c>
      <c r="F9" s="11">
        <v>6.46</v>
      </c>
      <c r="G9" s="16">
        <v>6.56</v>
      </c>
      <c r="H9" s="11">
        <v>6.41</v>
      </c>
      <c r="I9" s="11">
        <v>6.26</v>
      </c>
      <c r="J9" s="11">
        <v>6.11</v>
      </c>
      <c r="K9" s="226">
        <v>5.96</v>
      </c>
      <c r="L9" s="11">
        <v>5.81</v>
      </c>
      <c r="M9" s="13">
        <v>5.66</v>
      </c>
      <c r="N9" s="13">
        <v>5.51</v>
      </c>
      <c r="O9" s="13">
        <v>5.36</v>
      </c>
      <c r="P9" s="13">
        <v>5.21</v>
      </c>
      <c r="Q9" s="11">
        <v>5.01</v>
      </c>
      <c r="R9" s="11">
        <v>4.8099999999999996</v>
      </c>
      <c r="S9" s="11">
        <v>4.51</v>
      </c>
      <c r="T9" s="11">
        <v>4.16</v>
      </c>
      <c r="U9" s="11">
        <v>3.76</v>
      </c>
      <c r="V9" s="11">
        <v>3.3099999999999996</v>
      </c>
      <c r="W9" s="11">
        <v>2.81</v>
      </c>
      <c r="X9" s="14"/>
      <c r="Y9" s="15">
        <v>8.6</v>
      </c>
      <c r="Z9" s="15">
        <v>100</v>
      </c>
      <c r="AA9" s="15">
        <v>100</v>
      </c>
      <c r="AB9" s="15">
        <v>100</v>
      </c>
      <c r="AC9" s="15">
        <v>100</v>
      </c>
      <c r="AD9" s="15">
        <v>100</v>
      </c>
      <c r="AE9" s="15">
        <v>100</v>
      </c>
      <c r="AF9" s="15">
        <v>100</v>
      </c>
      <c r="AG9" s="15">
        <v>100</v>
      </c>
      <c r="AH9" s="15">
        <v>100</v>
      </c>
      <c r="AI9" s="15">
        <v>100</v>
      </c>
      <c r="AJ9" s="15">
        <v>100</v>
      </c>
      <c r="AK9" s="15">
        <v>100</v>
      </c>
      <c r="AL9" s="15">
        <v>100</v>
      </c>
      <c r="AM9" s="15">
        <v>100</v>
      </c>
      <c r="AN9" s="15">
        <v>100</v>
      </c>
      <c r="AO9" s="15">
        <v>100</v>
      </c>
      <c r="AP9" s="15">
        <v>100</v>
      </c>
      <c r="AQ9" s="15">
        <v>98</v>
      </c>
      <c r="AR9" s="15">
        <v>95</v>
      </c>
      <c r="AS9" s="15">
        <v>99.63</v>
      </c>
    </row>
    <row r="10" spans="1:45" ht="19.5" thickBot="1" x14ac:dyDescent="0.35">
      <c r="A10" s="18">
        <v>0.12</v>
      </c>
      <c r="B10" s="19">
        <v>5.3</v>
      </c>
      <c r="C10" s="19">
        <v>5.8</v>
      </c>
      <c r="D10" s="19">
        <v>6.2</v>
      </c>
      <c r="E10" s="19">
        <v>6.5</v>
      </c>
      <c r="F10" s="19">
        <v>6.7</v>
      </c>
      <c r="G10" s="12">
        <v>6.8</v>
      </c>
      <c r="H10" s="19">
        <v>6.65</v>
      </c>
      <c r="I10" s="19">
        <v>6.5</v>
      </c>
      <c r="J10" s="19">
        <v>6.35</v>
      </c>
      <c r="K10" s="19">
        <v>6.2</v>
      </c>
      <c r="L10" s="225">
        <v>6.05</v>
      </c>
      <c r="M10" s="20">
        <v>5.9</v>
      </c>
      <c r="N10" s="20">
        <v>5.75</v>
      </c>
      <c r="O10" s="20">
        <v>5.6</v>
      </c>
      <c r="P10" s="20">
        <v>5.45</v>
      </c>
      <c r="Q10" s="20">
        <v>5.25</v>
      </c>
      <c r="R10" s="20">
        <v>5.05</v>
      </c>
      <c r="S10" s="20">
        <v>4.75</v>
      </c>
      <c r="T10" s="20">
        <v>4.4000000000000004</v>
      </c>
      <c r="U10" s="20">
        <v>4</v>
      </c>
      <c r="V10" s="20">
        <v>3.55</v>
      </c>
      <c r="W10" s="20">
        <v>3.05</v>
      </c>
      <c r="X10" s="9"/>
      <c r="Y10" s="15">
        <v>8.5</v>
      </c>
      <c r="Z10" s="15">
        <v>100</v>
      </c>
      <c r="AA10" s="15">
        <v>100</v>
      </c>
      <c r="AB10" s="15">
        <v>100</v>
      </c>
      <c r="AC10" s="15">
        <v>100</v>
      </c>
      <c r="AD10" s="15">
        <v>100</v>
      </c>
      <c r="AE10" s="15">
        <v>100</v>
      </c>
      <c r="AF10" s="15">
        <v>100</v>
      </c>
      <c r="AG10" s="15">
        <v>100</v>
      </c>
      <c r="AH10" s="15">
        <v>100</v>
      </c>
      <c r="AI10" s="15">
        <v>100</v>
      </c>
      <c r="AJ10" s="15">
        <v>100</v>
      </c>
      <c r="AK10" s="15">
        <v>100</v>
      </c>
      <c r="AL10" s="15">
        <v>100</v>
      </c>
      <c r="AM10" s="15">
        <v>100</v>
      </c>
      <c r="AN10" s="15">
        <v>100</v>
      </c>
      <c r="AO10" s="15">
        <v>100</v>
      </c>
      <c r="AP10" s="15">
        <v>100</v>
      </c>
      <c r="AQ10" s="15">
        <v>98</v>
      </c>
      <c r="AR10" s="15">
        <v>94</v>
      </c>
      <c r="AS10" s="15">
        <v>99.58</v>
      </c>
    </row>
    <row r="11" spans="1:45" ht="16.5" thickBot="1" x14ac:dyDescent="0.3">
      <c r="A11" s="10">
        <v>0.13</v>
      </c>
      <c r="B11" s="11">
        <v>5.52</v>
      </c>
      <c r="C11" s="11">
        <v>6.02</v>
      </c>
      <c r="D11" s="11">
        <v>6.42</v>
      </c>
      <c r="E11" s="11">
        <v>6.72</v>
      </c>
      <c r="F11" s="11">
        <v>6.92</v>
      </c>
      <c r="G11" s="21">
        <v>7.02</v>
      </c>
      <c r="H11" s="11">
        <v>6.87</v>
      </c>
      <c r="I11" s="11">
        <v>6.72</v>
      </c>
      <c r="J11" s="11">
        <v>6.57</v>
      </c>
      <c r="K11" s="11">
        <v>6.42</v>
      </c>
      <c r="L11" s="11">
        <v>6.27</v>
      </c>
      <c r="M11" s="13">
        <v>6.12</v>
      </c>
      <c r="N11" s="227">
        <v>5.97</v>
      </c>
      <c r="O11" s="13">
        <v>5.82</v>
      </c>
      <c r="P11" s="13">
        <v>5.67</v>
      </c>
      <c r="Q11" s="11">
        <v>5.47</v>
      </c>
      <c r="R11" s="11">
        <v>5.27</v>
      </c>
      <c r="S11" s="11">
        <v>4.97</v>
      </c>
      <c r="T11" s="11">
        <v>4.62</v>
      </c>
      <c r="U11" s="11">
        <v>4.22</v>
      </c>
      <c r="V11" s="11">
        <v>3.7699999999999996</v>
      </c>
      <c r="W11" s="11">
        <v>3.2699999999999996</v>
      </c>
      <c r="X11" s="14"/>
      <c r="Y11" s="15">
        <v>8.4</v>
      </c>
      <c r="Z11" s="15">
        <v>100</v>
      </c>
      <c r="AA11" s="15">
        <v>100</v>
      </c>
      <c r="AB11" s="15">
        <v>100</v>
      </c>
      <c r="AC11" s="15">
        <v>100</v>
      </c>
      <c r="AD11" s="15">
        <v>100</v>
      </c>
      <c r="AE11" s="15">
        <v>100</v>
      </c>
      <c r="AF11" s="15">
        <v>100</v>
      </c>
      <c r="AG11" s="15">
        <v>100</v>
      </c>
      <c r="AH11" s="15">
        <v>100</v>
      </c>
      <c r="AI11" s="15">
        <v>100</v>
      </c>
      <c r="AJ11" s="15">
        <v>100</v>
      </c>
      <c r="AK11" s="15">
        <v>100</v>
      </c>
      <c r="AL11" s="15">
        <v>100</v>
      </c>
      <c r="AM11" s="15">
        <v>100</v>
      </c>
      <c r="AN11" s="15">
        <v>100</v>
      </c>
      <c r="AO11" s="15">
        <v>100</v>
      </c>
      <c r="AP11" s="15">
        <v>99</v>
      </c>
      <c r="AQ11" s="15">
        <v>96</v>
      </c>
      <c r="AR11" s="15">
        <v>93</v>
      </c>
      <c r="AS11" s="15">
        <v>99.37</v>
      </c>
    </row>
    <row r="12" spans="1:45" ht="16.5" thickBot="1" x14ac:dyDescent="0.3">
      <c r="A12" s="10">
        <v>0.14000000000000001</v>
      </c>
      <c r="B12" s="11">
        <v>5.72</v>
      </c>
      <c r="C12" s="11">
        <v>6.22</v>
      </c>
      <c r="D12" s="11">
        <v>6.62</v>
      </c>
      <c r="E12" s="11">
        <v>6.92</v>
      </c>
      <c r="F12" s="11">
        <v>7.1199999999999992</v>
      </c>
      <c r="G12" s="12">
        <v>7.2200000000000006</v>
      </c>
      <c r="H12" s="11">
        <v>7.07</v>
      </c>
      <c r="I12" s="11">
        <v>6.92</v>
      </c>
      <c r="J12" s="11">
        <v>6.77</v>
      </c>
      <c r="K12" s="11">
        <v>6.62</v>
      </c>
      <c r="L12" s="11">
        <v>6.47</v>
      </c>
      <c r="M12" s="13">
        <v>6.32</v>
      </c>
      <c r="N12" s="13">
        <v>6.17</v>
      </c>
      <c r="O12" s="227">
        <v>6.02</v>
      </c>
      <c r="P12" s="13">
        <v>5.87</v>
      </c>
      <c r="Q12" s="11">
        <v>5.67</v>
      </c>
      <c r="R12" s="11">
        <v>5.47</v>
      </c>
      <c r="S12" s="11">
        <v>5.17</v>
      </c>
      <c r="T12" s="11">
        <v>4.82</v>
      </c>
      <c r="U12" s="11">
        <v>4.42</v>
      </c>
      <c r="V12" s="11">
        <v>3.9699999999999998</v>
      </c>
      <c r="W12" s="11">
        <v>3.4699999999999998</v>
      </c>
      <c r="X12" s="14"/>
      <c r="Y12" s="15">
        <v>8.3000000000000007</v>
      </c>
      <c r="Z12" s="15">
        <v>100</v>
      </c>
      <c r="AA12" s="15">
        <v>100</v>
      </c>
      <c r="AB12" s="15">
        <v>100</v>
      </c>
      <c r="AC12" s="15">
        <v>100</v>
      </c>
      <c r="AD12" s="15">
        <v>100</v>
      </c>
      <c r="AE12" s="15">
        <v>100</v>
      </c>
      <c r="AF12" s="15">
        <v>100</v>
      </c>
      <c r="AG12" s="15">
        <v>100</v>
      </c>
      <c r="AH12" s="15">
        <v>100</v>
      </c>
      <c r="AI12" s="15">
        <v>100</v>
      </c>
      <c r="AJ12" s="15">
        <v>100</v>
      </c>
      <c r="AK12" s="15">
        <v>100</v>
      </c>
      <c r="AL12" s="15">
        <v>100</v>
      </c>
      <c r="AM12" s="15">
        <v>100</v>
      </c>
      <c r="AN12" s="15">
        <v>100</v>
      </c>
      <c r="AO12" s="15">
        <v>100</v>
      </c>
      <c r="AP12" s="15">
        <v>99</v>
      </c>
      <c r="AQ12" s="15">
        <v>95</v>
      </c>
      <c r="AR12" s="15">
        <v>92</v>
      </c>
      <c r="AS12" s="15">
        <v>99.26</v>
      </c>
    </row>
    <row r="13" spans="1:45" ht="16.5" thickBot="1" x14ac:dyDescent="0.3">
      <c r="A13" s="10">
        <v>0.15</v>
      </c>
      <c r="B13" s="11">
        <v>5.91</v>
      </c>
      <c r="C13" s="11">
        <v>6.41</v>
      </c>
      <c r="D13" s="11">
        <v>6.81</v>
      </c>
      <c r="E13" s="11">
        <v>7.1099999999999994</v>
      </c>
      <c r="F13" s="11">
        <v>7.3100000000000005</v>
      </c>
      <c r="G13" s="12">
        <v>7.41</v>
      </c>
      <c r="H13" s="11">
        <v>7.26</v>
      </c>
      <c r="I13" s="11">
        <v>7.1099999999999994</v>
      </c>
      <c r="J13" s="11">
        <v>6.96</v>
      </c>
      <c r="K13" s="11">
        <v>6.81</v>
      </c>
      <c r="L13" s="11">
        <v>6.66</v>
      </c>
      <c r="M13" s="13">
        <v>6.51</v>
      </c>
      <c r="N13" s="13">
        <v>6.36</v>
      </c>
      <c r="O13" s="13">
        <v>6.21</v>
      </c>
      <c r="P13" s="227">
        <v>6.06</v>
      </c>
      <c r="Q13" s="11">
        <v>5.86</v>
      </c>
      <c r="R13" s="11">
        <v>5.66</v>
      </c>
      <c r="S13" s="11">
        <v>5.36</v>
      </c>
      <c r="T13" s="11">
        <v>5.01</v>
      </c>
      <c r="U13" s="11">
        <v>4.6100000000000003</v>
      </c>
      <c r="V13" s="11">
        <v>4.16</v>
      </c>
      <c r="W13" s="11">
        <v>3.66</v>
      </c>
      <c r="X13" s="14"/>
      <c r="Y13" s="15">
        <v>8.1999999999999993</v>
      </c>
      <c r="Z13" s="15">
        <v>100</v>
      </c>
      <c r="AA13" s="15">
        <v>100</v>
      </c>
      <c r="AB13" s="15">
        <v>100</v>
      </c>
      <c r="AC13" s="15">
        <v>100</v>
      </c>
      <c r="AD13" s="15">
        <v>100</v>
      </c>
      <c r="AE13" s="15">
        <v>100</v>
      </c>
      <c r="AF13" s="15">
        <v>100</v>
      </c>
      <c r="AG13" s="15">
        <v>100</v>
      </c>
      <c r="AH13" s="15">
        <v>100</v>
      </c>
      <c r="AI13" s="15">
        <v>100</v>
      </c>
      <c r="AJ13" s="15">
        <v>100</v>
      </c>
      <c r="AK13" s="15">
        <v>100</v>
      </c>
      <c r="AL13" s="15">
        <v>100</v>
      </c>
      <c r="AM13" s="15">
        <v>100</v>
      </c>
      <c r="AN13" s="15">
        <v>100</v>
      </c>
      <c r="AO13" s="15">
        <v>100</v>
      </c>
      <c r="AP13" s="15">
        <v>97</v>
      </c>
      <c r="AQ13" s="15">
        <v>94</v>
      </c>
      <c r="AR13" s="15">
        <v>91</v>
      </c>
      <c r="AS13" s="15">
        <v>99.05</v>
      </c>
    </row>
    <row r="14" spans="1:45" ht="16.5" thickBot="1" x14ac:dyDescent="0.3">
      <c r="A14" s="10">
        <v>0.16</v>
      </c>
      <c r="B14" s="11">
        <v>6.09</v>
      </c>
      <c r="C14" s="11">
        <v>6.59</v>
      </c>
      <c r="D14" s="11">
        <v>6.99</v>
      </c>
      <c r="E14" s="11">
        <v>7.2899999999999991</v>
      </c>
      <c r="F14" s="11">
        <v>7.49</v>
      </c>
      <c r="G14" s="16">
        <v>7.59</v>
      </c>
      <c r="H14" s="11">
        <v>7.4399999999999995</v>
      </c>
      <c r="I14" s="11">
        <v>7.2899999999999991</v>
      </c>
      <c r="J14" s="11">
        <v>7.1400000000000006</v>
      </c>
      <c r="K14" s="11">
        <v>6.99</v>
      </c>
      <c r="L14" s="11">
        <v>6.84</v>
      </c>
      <c r="M14" s="13">
        <v>6.69</v>
      </c>
      <c r="N14" s="13">
        <v>6.54</v>
      </c>
      <c r="O14" s="13">
        <v>6.39</v>
      </c>
      <c r="P14" s="13">
        <v>6.24</v>
      </c>
      <c r="Q14" s="226">
        <v>6.04</v>
      </c>
      <c r="R14" s="11">
        <v>5.84</v>
      </c>
      <c r="S14" s="11">
        <v>5.54</v>
      </c>
      <c r="T14" s="11">
        <v>5.19</v>
      </c>
      <c r="U14" s="11">
        <v>4.79</v>
      </c>
      <c r="V14" s="11">
        <v>4.34</v>
      </c>
      <c r="W14" s="11">
        <v>3.84</v>
      </c>
      <c r="X14" s="14"/>
      <c r="Y14" s="15">
        <v>8.1</v>
      </c>
      <c r="Z14" s="15">
        <v>100</v>
      </c>
      <c r="AA14" s="15">
        <v>100</v>
      </c>
      <c r="AB14" s="15">
        <v>100</v>
      </c>
      <c r="AC14" s="15">
        <v>100</v>
      </c>
      <c r="AD14" s="15">
        <v>100</v>
      </c>
      <c r="AE14" s="15">
        <v>100</v>
      </c>
      <c r="AF14" s="15">
        <v>100</v>
      </c>
      <c r="AG14" s="15">
        <v>100</v>
      </c>
      <c r="AH14" s="15">
        <v>100</v>
      </c>
      <c r="AI14" s="15">
        <v>100</v>
      </c>
      <c r="AJ14" s="15">
        <v>100</v>
      </c>
      <c r="AK14" s="15">
        <v>100</v>
      </c>
      <c r="AL14" s="15">
        <v>100</v>
      </c>
      <c r="AM14" s="15">
        <v>100</v>
      </c>
      <c r="AN14" s="15">
        <v>100</v>
      </c>
      <c r="AO14" s="15">
        <v>100</v>
      </c>
      <c r="AP14" s="15">
        <v>97</v>
      </c>
      <c r="AQ14" s="15">
        <v>93</v>
      </c>
      <c r="AR14" s="15">
        <v>90</v>
      </c>
      <c r="AS14" s="15">
        <v>98.95</v>
      </c>
    </row>
    <row r="15" spans="1:45" ht="19.5" thickBot="1" x14ac:dyDescent="0.35">
      <c r="A15" s="18">
        <v>0.17</v>
      </c>
      <c r="B15" s="19">
        <v>6.25</v>
      </c>
      <c r="C15" s="19">
        <v>6.75</v>
      </c>
      <c r="D15" s="19">
        <v>7.15</v>
      </c>
      <c r="E15" s="19">
        <v>7.4499999999999993</v>
      </c>
      <c r="F15" s="19">
        <v>7.65</v>
      </c>
      <c r="G15" s="12">
        <v>7.75</v>
      </c>
      <c r="H15" s="19">
        <v>7.6</v>
      </c>
      <c r="I15" s="19">
        <v>7.4499999999999993</v>
      </c>
      <c r="J15" s="19">
        <v>7.3000000000000007</v>
      </c>
      <c r="K15" s="19">
        <v>7.15</v>
      </c>
      <c r="L15" s="19">
        <v>7</v>
      </c>
      <c r="M15" s="20">
        <v>6.85</v>
      </c>
      <c r="N15" s="20">
        <v>6.7</v>
      </c>
      <c r="O15" s="20">
        <v>6.55</v>
      </c>
      <c r="P15" s="20">
        <v>6.4</v>
      </c>
      <c r="Q15" s="19">
        <v>6.2</v>
      </c>
      <c r="R15" s="225">
        <v>6</v>
      </c>
      <c r="S15" s="19">
        <v>5.7</v>
      </c>
      <c r="T15" s="19">
        <v>5.35</v>
      </c>
      <c r="U15" s="19">
        <v>4.95</v>
      </c>
      <c r="V15" s="19">
        <v>4.5</v>
      </c>
      <c r="W15" s="19">
        <v>4</v>
      </c>
      <c r="X15" s="17"/>
      <c r="Y15" s="15">
        <v>8</v>
      </c>
      <c r="Z15" s="15">
        <v>100</v>
      </c>
      <c r="AA15" s="15">
        <v>100</v>
      </c>
      <c r="AB15" s="15">
        <v>100</v>
      </c>
      <c r="AC15" s="15">
        <v>100</v>
      </c>
      <c r="AD15" s="15">
        <v>100</v>
      </c>
      <c r="AE15" s="15">
        <v>100</v>
      </c>
      <c r="AF15" s="15">
        <v>100</v>
      </c>
      <c r="AG15" s="15">
        <v>100</v>
      </c>
      <c r="AH15" s="15">
        <v>100</v>
      </c>
      <c r="AI15" s="15">
        <v>99</v>
      </c>
      <c r="AJ15" s="15">
        <v>100</v>
      </c>
      <c r="AK15" s="15">
        <v>100</v>
      </c>
      <c r="AL15" s="15">
        <v>100</v>
      </c>
      <c r="AM15" s="15">
        <v>100</v>
      </c>
      <c r="AN15" s="15">
        <v>100</v>
      </c>
      <c r="AO15" s="15">
        <v>99</v>
      </c>
      <c r="AP15" s="15">
        <v>95</v>
      </c>
      <c r="AQ15" s="15">
        <v>92</v>
      </c>
      <c r="AR15" s="15">
        <v>89</v>
      </c>
      <c r="AS15" s="15">
        <v>98.63</v>
      </c>
    </row>
    <row r="16" spans="1:45" ht="16.5" thickBot="1" x14ac:dyDescent="0.3">
      <c r="A16" s="10">
        <v>0.18</v>
      </c>
      <c r="B16" s="11">
        <v>6.4</v>
      </c>
      <c r="C16" s="11">
        <v>6.9</v>
      </c>
      <c r="D16" s="11">
        <v>7.3000000000000007</v>
      </c>
      <c r="E16" s="11">
        <v>7.6</v>
      </c>
      <c r="F16" s="11">
        <v>7.8000000000000007</v>
      </c>
      <c r="G16" s="21">
        <v>7.9</v>
      </c>
      <c r="H16" s="11">
        <v>7.75</v>
      </c>
      <c r="I16" s="11">
        <v>7.6</v>
      </c>
      <c r="J16" s="11">
        <v>7.4499999999999993</v>
      </c>
      <c r="K16" s="11">
        <v>7.3000000000000007</v>
      </c>
      <c r="L16" s="11">
        <v>7.15</v>
      </c>
      <c r="M16" s="13">
        <v>7</v>
      </c>
      <c r="N16" s="13">
        <v>6.85</v>
      </c>
      <c r="O16" s="13">
        <v>6.7</v>
      </c>
      <c r="P16" s="13">
        <v>6.55</v>
      </c>
      <c r="Q16" s="11">
        <v>6.35</v>
      </c>
      <c r="R16" s="11">
        <v>6.15</v>
      </c>
      <c r="S16" s="226">
        <v>5.85</v>
      </c>
      <c r="T16" s="11">
        <v>5.5</v>
      </c>
      <c r="U16" s="11">
        <v>5.0999999999999996</v>
      </c>
      <c r="V16" s="11">
        <v>4.6500000000000004</v>
      </c>
      <c r="W16" s="11">
        <v>4.1500000000000004</v>
      </c>
      <c r="X16" s="14"/>
      <c r="Y16" s="15">
        <v>7.9</v>
      </c>
      <c r="Z16" s="15">
        <v>100</v>
      </c>
      <c r="AA16" s="15">
        <v>100</v>
      </c>
      <c r="AB16" s="15">
        <v>100</v>
      </c>
      <c r="AC16" s="15">
        <v>100</v>
      </c>
      <c r="AD16" s="15">
        <v>100</v>
      </c>
      <c r="AE16" s="15">
        <v>100</v>
      </c>
      <c r="AF16" s="15">
        <v>100</v>
      </c>
      <c r="AG16" s="15">
        <v>100</v>
      </c>
      <c r="AH16" s="15">
        <v>100</v>
      </c>
      <c r="AI16" s="15">
        <v>99</v>
      </c>
      <c r="AJ16" s="15">
        <v>100</v>
      </c>
      <c r="AK16" s="15">
        <v>100</v>
      </c>
      <c r="AL16" s="15">
        <v>100</v>
      </c>
      <c r="AM16" s="15">
        <v>100</v>
      </c>
      <c r="AN16" s="15">
        <v>100</v>
      </c>
      <c r="AO16" s="15">
        <v>98</v>
      </c>
      <c r="AP16" s="15">
        <v>95</v>
      </c>
      <c r="AQ16" s="15">
        <v>92</v>
      </c>
      <c r="AR16" s="15">
        <v>88</v>
      </c>
      <c r="AS16" s="15">
        <v>98.53</v>
      </c>
    </row>
    <row r="17" spans="1:45" ht="16.5" thickBot="1" x14ac:dyDescent="0.3">
      <c r="A17" s="10">
        <v>0.19</v>
      </c>
      <c r="B17" s="11">
        <v>6.54</v>
      </c>
      <c r="C17" s="11">
        <v>7.0399999999999991</v>
      </c>
      <c r="D17" s="11">
        <v>7.4399999999999995</v>
      </c>
      <c r="E17" s="11">
        <v>7.74</v>
      </c>
      <c r="F17" s="11">
        <v>7.9399999999999995</v>
      </c>
      <c r="G17" s="16">
        <v>8.0399999999999991</v>
      </c>
      <c r="H17" s="11">
        <v>7.8900000000000006</v>
      </c>
      <c r="I17" s="11">
        <v>7.74</v>
      </c>
      <c r="J17" s="11">
        <v>7.59</v>
      </c>
      <c r="K17" s="11">
        <v>7.4399999999999995</v>
      </c>
      <c r="L17" s="11">
        <v>7.2899999999999991</v>
      </c>
      <c r="M17" s="13">
        <v>7.1400000000000006</v>
      </c>
      <c r="N17" s="13">
        <v>6.99</v>
      </c>
      <c r="O17" s="13">
        <v>6.84</v>
      </c>
      <c r="P17" s="13">
        <v>6.69</v>
      </c>
      <c r="Q17" s="11">
        <v>6.49</v>
      </c>
      <c r="R17" s="11">
        <v>6.29</v>
      </c>
      <c r="S17" s="226">
        <v>5.99</v>
      </c>
      <c r="T17" s="11">
        <v>5.64</v>
      </c>
      <c r="U17" s="11">
        <v>5.24</v>
      </c>
      <c r="V17" s="11">
        <v>4.79</v>
      </c>
      <c r="W17" s="11">
        <v>4.29</v>
      </c>
      <c r="X17" s="14"/>
      <c r="Y17" s="15">
        <v>7.8</v>
      </c>
      <c r="Z17" s="15">
        <v>100</v>
      </c>
      <c r="AA17" s="15">
        <v>100</v>
      </c>
      <c r="AB17" s="15">
        <v>100</v>
      </c>
      <c r="AC17" s="15">
        <v>100</v>
      </c>
      <c r="AD17" s="15">
        <v>100</v>
      </c>
      <c r="AE17" s="15">
        <v>100</v>
      </c>
      <c r="AF17" s="15">
        <v>100</v>
      </c>
      <c r="AG17" s="15">
        <v>100</v>
      </c>
      <c r="AH17" s="15">
        <v>100</v>
      </c>
      <c r="AI17" s="15">
        <v>98</v>
      </c>
      <c r="AJ17" s="15">
        <v>100</v>
      </c>
      <c r="AK17" s="15">
        <v>100</v>
      </c>
      <c r="AL17" s="15">
        <v>100</v>
      </c>
      <c r="AM17" s="15">
        <v>100</v>
      </c>
      <c r="AN17" s="15">
        <v>100</v>
      </c>
      <c r="AO17" s="15">
        <v>97</v>
      </c>
      <c r="AP17" s="15">
        <v>94</v>
      </c>
      <c r="AQ17" s="15">
        <v>91</v>
      </c>
      <c r="AR17" s="15">
        <v>87</v>
      </c>
      <c r="AS17" s="15">
        <v>98.26</v>
      </c>
    </row>
    <row r="18" spans="1:45" ht="19.5" thickBot="1" x14ac:dyDescent="0.35">
      <c r="A18" s="18">
        <v>0.2</v>
      </c>
      <c r="B18" s="22">
        <v>6.67</v>
      </c>
      <c r="C18" s="22">
        <v>7.17</v>
      </c>
      <c r="D18" s="22">
        <v>7.57</v>
      </c>
      <c r="E18" s="22">
        <v>7.8699999999999992</v>
      </c>
      <c r="F18" s="22">
        <v>8.07</v>
      </c>
      <c r="G18" s="19">
        <v>8.17</v>
      </c>
      <c r="H18" s="22">
        <v>8.02</v>
      </c>
      <c r="I18" s="22">
        <v>7.8699999999999992</v>
      </c>
      <c r="J18" s="22">
        <v>7.7200000000000006</v>
      </c>
      <c r="K18" s="22">
        <v>7.57</v>
      </c>
      <c r="L18" s="22">
        <v>7.42</v>
      </c>
      <c r="M18" s="22">
        <v>7.27</v>
      </c>
      <c r="N18" s="22">
        <v>7.1199999999999992</v>
      </c>
      <c r="O18" s="22">
        <v>6.97</v>
      </c>
      <c r="P18" s="22">
        <v>6.82</v>
      </c>
      <c r="Q18" s="22">
        <v>6.62</v>
      </c>
      <c r="R18" s="22">
        <v>6.42</v>
      </c>
      <c r="S18" s="228">
        <v>6.12</v>
      </c>
      <c r="T18" s="22">
        <v>5.77</v>
      </c>
      <c r="U18" s="22">
        <v>5.37</v>
      </c>
      <c r="V18" s="22">
        <v>4.92</v>
      </c>
      <c r="W18" s="22">
        <v>4.42</v>
      </c>
      <c r="X18" s="14"/>
      <c r="Y18" s="15">
        <v>7.7</v>
      </c>
      <c r="Z18" s="15">
        <v>100</v>
      </c>
      <c r="AA18" s="15">
        <v>100</v>
      </c>
      <c r="AB18" s="15">
        <v>100</v>
      </c>
      <c r="AC18" s="15">
        <v>100</v>
      </c>
      <c r="AD18" s="15">
        <v>100</v>
      </c>
      <c r="AE18" s="15">
        <v>100</v>
      </c>
      <c r="AF18" s="15">
        <v>100</v>
      </c>
      <c r="AG18" s="15">
        <v>100</v>
      </c>
      <c r="AH18" s="15">
        <v>100</v>
      </c>
      <c r="AI18" s="15">
        <v>97</v>
      </c>
      <c r="AJ18" s="15">
        <v>100</v>
      </c>
      <c r="AK18" s="15">
        <v>100</v>
      </c>
      <c r="AL18" s="15">
        <v>100</v>
      </c>
      <c r="AM18" s="15">
        <v>100</v>
      </c>
      <c r="AN18" s="15">
        <v>99</v>
      </c>
      <c r="AO18" s="15">
        <v>96</v>
      </c>
      <c r="AP18" s="15">
        <v>93</v>
      </c>
      <c r="AQ18" s="15">
        <v>89</v>
      </c>
      <c r="AR18" s="15">
        <v>86</v>
      </c>
      <c r="AS18" s="15">
        <v>97.89</v>
      </c>
    </row>
    <row r="19" spans="1:45" ht="16.5" thickBot="1" x14ac:dyDescent="0.3">
      <c r="A19" s="10">
        <v>0.21</v>
      </c>
      <c r="B19" s="11">
        <v>6.8</v>
      </c>
      <c r="C19" s="11">
        <v>7.3000000000000007</v>
      </c>
      <c r="D19" s="11">
        <v>7.6999999999999993</v>
      </c>
      <c r="E19" s="11">
        <v>8</v>
      </c>
      <c r="F19" s="11">
        <v>8.1999999999999993</v>
      </c>
      <c r="G19" s="21">
        <v>8.3000000000000007</v>
      </c>
      <c r="H19" s="11">
        <v>8.15</v>
      </c>
      <c r="I19" s="11">
        <v>8</v>
      </c>
      <c r="J19" s="11">
        <v>7.85</v>
      </c>
      <c r="K19" s="11">
        <v>7.6999999999999993</v>
      </c>
      <c r="L19" s="11">
        <v>7.5500000000000007</v>
      </c>
      <c r="M19" s="13">
        <v>7.4</v>
      </c>
      <c r="N19" s="13">
        <v>7.25</v>
      </c>
      <c r="O19" s="13">
        <v>7.1</v>
      </c>
      <c r="P19" s="13">
        <v>6.95</v>
      </c>
      <c r="Q19" s="11">
        <v>6.75</v>
      </c>
      <c r="R19" s="11">
        <v>6.55</v>
      </c>
      <c r="S19" s="226">
        <v>6.25</v>
      </c>
      <c r="T19" s="11">
        <v>5.9</v>
      </c>
      <c r="U19" s="11">
        <v>5.5</v>
      </c>
      <c r="V19" s="11">
        <v>5.05</v>
      </c>
      <c r="W19" s="11">
        <v>4.55</v>
      </c>
      <c r="X19" s="14"/>
      <c r="Y19" s="15">
        <v>7.6</v>
      </c>
      <c r="Z19" s="15">
        <v>100</v>
      </c>
      <c r="AA19" s="15">
        <v>100</v>
      </c>
      <c r="AB19" s="15">
        <v>100</v>
      </c>
      <c r="AC19" s="15">
        <v>100</v>
      </c>
      <c r="AD19" s="15">
        <v>100</v>
      </c>
      <c r="AE19" s="15">
        <v>100</v>
      </c>
      <c r="AF19" s="15">
        <v>100</v>
      </c>
      <c r="AG19" s="15">
        <v>100</v>
      </c>
      <c r="AH19" s="15">
        <v>100</v>
      </c>
      <c r="AI19" s="15">
        <v>96</v>
      </c>
      <c r="AJ19" s="15">
        <v>100</v>
      </c>
      <c r="AK19" s="15">
        <v>100</v>
      </c>
      <c r="AL19" s="15">
        <v>100</v>
      </c>
      <c r="AM19" s="15">
        <v>100</v>
      </c>
      <c r="AN19" s="15">
        <v>98</v>
      </c>
      <c r="AO19" s="15">
        <v>95</v>
      </c>
      <c r="AP19" s="15">
        <v>91</v>
      </c>
      <c r="AQ19" s="15">
        <v>88</v>
      </c>
      <c r="AR19" s="15">
        <v>85</v>
      </c>
      <c r="AS19" s="15">
        <v>97.53</v>
      </c>
    </row>
    <row r="20" spans="1:45" ht="16.5" thickBot="1" x14ac:dyDescent="0.3">
      <c r="A20" s="10">
        <v>0.22</v>
      </c>
      <c r="B20" s="11">
        <v>6.91</v>
      </c>
      <c r="C20" s="11">
        <v>7.41</v>
      </c>
      <c r="D20" s="11">
        <v>7.8100000000000005</v>
      </c>
      <c r="E20" s="11">
        <v>8.11</v>
      </c>
      <c r="F20" s="11">
        <v>8.31</v>
      </c>
      <c r="G20" s="12">
        <v>8.33</v>
      </c>
      <c r="H20" s="11">
        <v>8.26</v>
      </c>
      <c r="I20" s="11">
        <v>8.11</v>
      </c>
      <c r="J20" s="11">
        <v>7.9600000000000009</v>
      </c>
      <c r="K20" s="11">
        <v>7.8100000000000005</v>
      </c>
      <c r="L20" s="11">
        <v>7.66</v>
      </c>
      <c r="M20" s="13">
        <v>7.51</v>
      </c>
      <c r="N20" s="13">
        <v>7.3599999999999994</v>
      </c>
      <c r="O20" s="13">
        <v>7.2100000000000009</v>
      </c>
      <c r="P20" s="13">
        <v>7.0600000000000005</v>
      </c>
      <c r="Q20" s="11">
        <v>6.86</v>
      </c>
      <c r="R20" s="11">
        <v>6.66</v>
      </c>
      <c r="S20" s="11">
        <v>6.36</v>
      </c>
      <c r="T20" s="226">
        <v>6.01</v>
      </c>
      <c r="U20" s="11">
        <v>5.61</v>
      </c>
      <c r="V20" s="11">
        <v>5.16</v>
      </c>
      <c r="W20" s="11">
        <v>4.66</v>
      </c>
      <c r="X20" s="14"/>
      <c r="Y20" s="15">
        <v>7.5</v>
      </c>
      <c r="Z20" s="15">
        <v>100</v>
      </c>
      <c r="AA20" s="15">
        <v>100</v>
      </c>
      <c r="AB20" s="15">
        <v>100</v>
      </c>
      <c r="AC20" s="15">
        <v>100</v>
      </c>
      <c r="AD20" s="15">
        <v>100</v>
      </c>
      <c r="AE20" s="15">
        <v>100</v>
      </c>
      <c r="AF20" s="15">
        <v>100</v>
      </c>
      <c r="AG20" s="15">
        <v>100</v>
      </c>
      <c r="AH20" s="15">
        <v>100</v>
      </c>
      <c r="AI20" s="15">
        <v>96</v>
      </c>
      <c r="AJ20" s="15">
        <v>100</v>
      </c>
      <c r="AK20" s="15">
        <v>100</v>
      </c>
      <c r="AL20" s="15">
        <v>100</v>
      </c>
      <c r="AM20" s="15">
        <v>100</v>
      </c>
      <c r="AN20" s="15">
        <v>98</v>
      </c>
      <c r="AO20" s="15">
        <v>95</v>
      </c>
      <c r="AP20" s="15">
        <v>91</v>
      </c>
      <c r="AQ20" s="15">
        <v>88</v>
      </c>
      <c r="AR20" s="15">
        <v>84</v>
      </c>
      <c r="AS20" s="15">
        <v>97.47</v>
      </c>
    </row>
    <row r="21" spans="1:45" ht="16.5" thickBot="1" x14ac:dyDescent="0.3">
      <c r="A21" s="10">
        <v>0.23</v>
      </c>
      <c r="B21" s="11">
        <v>7.01</v>
      </c>
      <c r="C21" s="11">
        <v>7.51</v>
      </c>
      <c r="D21" s="11">
        <v>7.91</v>
      </c>
      <c r="E21" s="11">
        <v>8.2100000000000009</v>
      </c>
      <c r="F21" s="11">
        <v>8.33</v>
      </c>
      <c r="G21" s="12">
        <v>8.33</v>
      </c>
      <c r="H21" s="11">
        <v>8.33</v>
      </c>
      <c r="I21" s="11">
        <v>8.2100000000000009</v>
      </c>
      <c r="J21" s="11">
        <v>8.06</v>
      </c>
      <c r="K21" s="11">
        <v>7.91</v>
      </c>
      <c r="L21" s="11">
        <v>7.76</v>
      </c>
      <c r="M21" s="13">
        <v>7.6099999999999994</v>
      </c>
      <c r="N21" s="13">
        <v>7.4600000000000009</v>
      </c>
      <c r="O21" s="13">
        <v>7.3100000000000005</v>
      </c>
      <c r="P21" s="13">
        <v>7.16</v>
      </c>
      <c r="Q21" s="11">
        <v>6.96</v>
      </c>
      <c r="R21" s="11">
        <v>6.76</v>
      </c>
      <c r="S21" s="11">
        <v>6.46</v>
      </c>
      <c r="T21" s="226">
        <v>6.11</v>
      </c>
      <c r="U21" s="11">
        <v>5.71</v>
      </c>
      <c r="V21" s="11">
        <v>5.26</v>
      </c>
      <c r="W21" s="11">
        <v>4.76</v>
      </c>
      <c r="X21" s="14"/>
      <c r="Y21" s="15">
        <v>7.4</v>
      </c>
      <c r="Z21" s="15">
        <v>100</v>
      </c>
      <c r="AA21" s="15">
        <v>100</v>
      </c>
      <c r="AB21" s="15">
        <v>100</v>
      </c>
      <c r="AC21" s="15">
        <v>100</v>
      </c>
      <c r="AD21" s="15">
        <v>100</v>
      </c>
      <c r="AE21" s="15">
        <v>100</v>
      </c>
      <c r="AF21" s="15">
        <v>100</v>
      </c>
      <c r="AG21" s="15">
        <v>100</v>
      </c>
      <c r="AH21" s="15">
        <v>99</v>
      </c>
      <c r="AI21" s="15">
        <v>96</v>
      </c>
      <c r="AJ21" s="15">
        <v>100</v>
      </c>
      <c r="AK21" s="15">
        <v>100</v>
      </c>
      <c r="AL21" s="15">
        <v>100</v>
      </c>
      <c r="AM21" s="15">
        <v>100</v>
      </c>
      <c r="AN21" s="15">
        <v>97</v>
      </c>
      <c r="AO21" s="15">
        <v>94</v>
      </c>
      <c r="AP21" s="15">
        <v>90</v>
      </c>
      <c r="AQ21" s="15">
        <v>87</v>
      </c>
      <c r="AR21" s="15">
        <v>83</v>
      </c>
      <c r="AS21" s="15">
        <v>97.16</v>
      </c>
    </row>
    <row r="22" spans="1:45" ht="16.5" thickBot="1" x14ac:dyDescent="0.3">
      <c r="A22" s="10">
        <v>0.24</v>
      </c>
      <c r="B22" s="11">
        <v>7.1099999999999994</v>
      </c>
      <c r="C22" s="11">
        <v>7.6099999999999994</v>
      </c>
      <c r="D22" s="11">
        <v>8.01</v>
      </c>
      <c r="E22" s="11">
        <v>8.31</v>
      </c>
      <c r="F22" s="11">
        <v>8.33</v>
      </c>
      <c r="G22" s="12">
        <v>8.33</v>
      </c>
      <c r="H22" s="11">
        <v>8.33</v>
      </c>
      <c r="I22" s="11">
        <v>8.31</v>
      </c>
      <c r="J22" s="11">
        <v>8.16</v>
      </c>
      <c r="K22" s="11">
        <v>8.01</v>
      </c>
      <c r="L22" s="11">
        <v>7.8599999999999994</v>
      </c>
      <c r="M22" s="13">
        <v>7.7100000000000009</v>
      </c>
      <c r="N22" s="13">
        <v>7.5600000000000005</v>
      </c>
      <c r="O22" s="13">
        <v>7.41</v>
      </c>
      <c r="P22" s="13">
        <v>7.26</v>
      </c>
      <c r="Q22" s="11">
        <v>7.0600000000000005</v>
      </c>
      <c r="R22" s="11">
        <v>6.86</v>
      </c>
      <c r="S22" s="11">
        <v>6.56</v>
      </c>
      <c r="T22" s="226">
        <v>6.21</v>
      </c>
      <c r="U22" s="11">
        <v>5.81</v>
      </c>
      <c r="V22" s="11">
        <v>5.36</v>
      </c>
      <c r="W22" s="11">
        <v>4.8600000000000003</v>
      </c>
      <c r="X22" s="14"/>
      <c r="Y22" s="15">
        <v>7.3</v>
      </c>
      <c r="Z22" s="15">
        <v>100</v>
      </c>
      <c r="AA22" s="15">
        <v>100</v>
      </c>
      <c r="AB22" s="15">
        <v>100</v>
      </c>
      <c r="AC22" s="15">
        <v>100</v>
      </c>
      <c r="AD22" s="15">
        <v>100</v>
      </c>
      <c r="AE22" s="15">
        <v>100</v>
      </c>
      <c r="AF22" s="15">
        <v>100</v>
      </c>
      <c r="AG22" s="15">
        <v>100</v>
      </c>
      <c r="AH22" s="15">
        <v>98</v>
      </c>
      <c r="AI22" s="15">
        <v>95</v>
      </c>
      <c r="AJ22" s="15">
        <v>100</v>
      </c>
      <c r="AK22" s="15">
        <v>100</v>
      </c>
      <c r="AL22" s="15">
        <v>100</v>
      </c>
      <c r="AM22" s="15">
        <v>100</v>
      </c>
      <c r="AN22" s="15">
        <v>96</v>
      </c>
      <c r="AO22" s="15">
        <v>93</v>
      </c>
      <c r="AP22" s="15">
        <v>89</v>
      </c>
      <c r="AQ22" s="15">
        <v>86</v>
      </c>
      <c r="AR22" s="15">
        <v>82</v>
      </c>
      <c r="AS22" s="15">
        <v>96.79</v>
      </c>
    </row>
    <row r="23" spans="1:45" ht="16.5" thickBot="1" x14ac:dyDescent="0.3">
      <c r="A23" s="10">
        <v>0.25</v>
      </c>
      <c r="B23" s="11">
        <v>7.1999999999999993</v>
      </c>
      <c r="C23" s="11">
        <v>7.6999999999999993</v>
      </c>
      <c r="D23" s="11">
        <v>8.1</v>
      </c>
      <c r="E23" s="11">
        <v>8.33</v>
      </c>
      <c r="F23" s="11">
        <v>8.33</v>
      </c>
      <c r="G23" s="12">
        <v>8.33</v>
      </c>
      <c r="H23" s="11">
        <v>8.33</v>
      </c>
      <c r="I23" s="11">
        <v>8.33</v>
      </c>
      <c r="J23" s="11">
        <v>8.25</v>
      </c>
      <c r="K23" s="11">
        <v>8.1</v>
      </c>
      <c r="L23" s="11">
        <v>7.9499999999999993</v>
      </c>
      <c r="M23" s="13">
        <v>7.8000000000000007</v>
      </c>
      <c r="N23" s="13">
        <v>7.65</v>
      </c>
      <c r="O23" s="13">
        <v>7.5</v>
      </c>
      <c r="P23" s="13">
        <v>7.35</v>
      </c>
      <c r="Q23" s="11">
        <v>7.15</v>
      </c>
      <c r="R23" s="11">
        <v>6.95</v>
      </c>
      <c r="S23" s="11">
        <v>6.65</v>
      </c>
      <c r="T23" s="226">
        <v>6.3</v>
      </c>
      <c r="U23" s="11">
        <v>5.9</v>
      </c>
      <c r="V23" s="11">
        <v>5.45</v>
      </c>
      <c r="W23" s="11">
        <v>4.95</v>
      </c>
      <c r="X23" s="14"/>
      <c r="Y23" s="15">
        <v>7.2</v>
      </c>
      <c r="Z23" s="15">
        <v>100</v>
      </c>
      <c r="AA23" s="15">
        <v>100</v>
      </c>
      <c r="AB23" s="15">
        <v>100</v>
      </c>
      <c r="AC23" s="15">
        <v>100</v>
      </c>
      <c r="AD23" s="15">
        <v>100</v>
      </c>
      <c r="AE23" s="15">
        <v>100</v>
      </c>
      <c r="AF23" s="15">
        <v>100</v>
      </c>
      <c r="AG23" s="15">
        <v>100</v>
      </c>
      <c r="AH23" s="15">
        <v>98</v>
      </c>
      <c r="AI23" s="15">
        <v>94</v>
      </c>
      <c r="AJ23" s="15">
        <v>100</v>
      </c>
      <c r="AK23" s="15">
        <v>100</v>
      </c>
      <c r="AL23" s="15">
        <v>100</v>
      </c>
      <c r="AM23" s="15">
        <v>99</v>
      </c>
      <c r="AN23" s="15">
        <v>95</v>
      </c>
      <c r="AO23" s="15">
        <v>92</v>
      </c>
      <c r="AP23" s="15">
        <v>88</v>
      </c>
      <c r="AQ23" s="15">
        <v>85</v>
      </c>
      <c r="AR23" s="15">
        <v>81</v>
      </c>
      <c r="AS23" s="15">
        <v>96.42</v>
      </c>
    </row>
    <row r="24" spans="1:45" ht="16.5" thickBot="1" x14ac:dyDescent="0.3">
      <c r="A24" s="10">
        <v>0.26</v>
      </c>
      <c r="B24" s="11">
        <v>7.2799999999999994</v>
      </c>
      <c r="C24" s="11">
        <v>7.7799999999999994</v>
      </c>
      <c r="D24" s="11">
        <v>8.18</v>
      </c>
      <c r="E24" s="11">
        <v>8.33</v>
      </c>
      <c r="F24" s="11">
        <v>8.33</v>
      </c>
      <c r="G24" s="12">
        <v>8.33</v>
      </c>
      <c r="H24" s="11">
        <v>8.33</v>
      </c>
      <c r="I24" s="11">
        <v>8.33</v>
      </c>
      <c r="J24" s="11">
        <v>8.33</v>
      </c>
      <c r="K24" s="11">
        <v>8.18</v>
      </c>
      <c r="L24" s="11">
        <v>8.0299999999999994</v>
      </c>
      <c r="M24" s="13">
        <v>7.8800000000000008</v>
      </c>
      <c r="N24" s="13">
        <v>7.73</v>
      </c>
      <c r="O24" s="13">
        <v>7.58</v>
      </c>
      <c r="P24" s="13">
        <v>7.43</v>
      </c>
      <c r="Q24" s="11">
        <v>7.23</v>
      </c>
      <c r="R24" s="11">
        <v>7.0299999999999994</v>
      </c>
      <c r="S24" s="11">
        <v>6.73</v>
      </c>
      <c r="T24" s="11">
        <v>6.38</v>
      </c>
      <c r="U24" s="226">
        <v>5.98</v>
      </c>
      <c r="V24" s="11">
        <v>5.53</v>
      </c>
      <c r="W24" s="11">
        <v>5.03</v>
      </c>
      <c r="X24" s="14"/>
      <c r="Y24" s="15">
        <v>7.1</v>
      </c>
      <c r="Z24" s="15">
        <v>100</v>
      </c>
      <c r="AA24" s="15">
        <v>100</v>
      </c>
      <c r="AB24" s="15">
        <v>100</v>
      </c>
      <c r="AC24" s="15">
        <v>100</v>
      </c>
      <c r="AD24" s="15">
        <v>100</v>
      </c>
      <c r="AE24" s="15">
        <v>100</v>
      </c>
      <c r="AF24" s="15">
        <v>100</v>
      </c>
      <c r="AG24" s="15">
        <v>100</v>
      </c>
      <c r="AH24" s="15">
        <v>97</v>
      </c>
      <c r="AI24" s="15">
        <v>94</v>
      </c>
      <c r="AJ24" s="15">
        <v>100</v>
      </c>
      <c r="AK24" s="15">
        <v>100</v>
      </c>
      <c r="AL24" s="15">
        <v>100</v>
      </c>
      <c r="AM24" s="15">
        <v>98</v>
      </c>
      <c r="AN24" s="15">
        <v>95</v>
      </c>
      <c r="AO24" s="15">
        <v>91</v>
      </c>
      <c r="AP24" s="15">
        <v>87</v>
      </c>
      <c r="AQ24" s="15">
        <v>84</v>
      </c>
      <c r="AR24" s="15">
        <v>80</v>
      </c>
      <c r="AS24" s="15">
        <v>96.11</v>
      </c>
    </row>
    <row r="25" spans="1:45" ht="16.5" thickBot="1" x14ac:dyDescent="0.3">
      <c r="A25" s="10">
        <v>0.27</v>
      </c>
      <c r="B25" s="11">
        <v>7.3599999999999994</v>
      </c>
      <c r="C25" s="11">
        <v>7.8599999999999994</v>
      </c>
      <c r="D25" s="11">
        <v>8.26</v>
      </c>
      <c r="E25" s="11">
        <v>8.33</v>
      </c>
      <c r="F25" s="11">
        <v>8.33</v>
      </c>
      <c r="G25" s="12">
        <v>8.33</v>
      </c>
      <c r="H25" s="11">
        <v>8.33</v>
      </c>
      <c r="I25" s="11">
        <v>8.33</v>
      </c>
      <c r="J25" s="11">
        <v>8.33</v>
      </c>
      <c r="K25" s="11">
        <v>8.26</v>
      </c>
      <c r="L25" s="11">
        <v>8.11</v>
      </c>
      <c r="M25" s="13">
        <v>7.9600000000000009</v>
      </c>
      <c r="N25" s="13">
        <v>7.8100000000000005</v>
      </c>
      <c r="O25" s="13">
        <v>7.66</v>
      </c>
      <c r="P25" s="13">
        <v>7.51</v>
      </c>
      <c r="Q25" s="11">
        <v>7.3100000000000005</v>
      </c>
      <c r="R25" s="11">
        <v>7.1099999999999994</v>
      </c>
      <c r="S25" s="11">
        <v>6.81</v>
      </c>
      <c r="T25" s="11">
        <v>6.46</v>
      </c>
      <c r="U25" s="226">
        <v>6.06</v>
      </c>
      <c r="V25" s="11">
        <v>5.61</v>
      </c>
      <c r="W25" s="11">
        <v>5.1100000000000003</v>
      </c>
      <c r="X25" s="14"/>
      <c r="Y25" s="15">
        <v>7</v>
      </c>
      <c r="Z25" s="15">
        <v>100</v>
      </c>
      <c r="AA25" s="15">
        <v>100</v>
      </c>
      <c r="AB25" s="15">
        <v>100</v>
      </c>
      <c r="AC25" s="15">
        <v>100</v>
      </c>
      <c r="AD25" s="15">
        <v>100</v>
      </c>
      <c r="AE25" s="15">
        <v>100</v>
      </c>
      <c r="AF25" s="15">
        <v>100</v>
      </c>
      <c r="AG25" s="15">
        <v>100</v>
      </c>
      <c r="AH25" s="15">
        <v>96</v>
      </c>
      <c r="AI25" s="15">
        <v>93</v>
      </c>
      <c r="AJ25" s="15">
        <v>100</v>
      </c>
      <c r="AK25" s="15">
        <v>100</v>
      </c>
      <c r="AL25" s="15">
        <v>100</v>
      </c>
      <c r="AM25" s="15">
        <v>97</v>
      </c>
      <c r="AN25" s="15">
        <v>94</v>
      </c>
      <c r="AO25" s="15">
        <v>90</v>
      </c>
      <c r="AP25" s="15">
        <v>86</v>
      </c>
      <c r="AQ25" s="15">
        <v>82</v>
      </c>
      <c r="AR25" s="15">
        <v>79</v>
      </c>
      <c r="AS25" s="15">
        <v>95.79</v>
      </c>
    </row>
    <row r="26" spans="1:45" ht="16.5" thickBot="1" x14ac:dyDescent="0.3">
      <c r="A26" s="10">
        <v>0.28000000000000003</v>
      </c>
      <c r="B26" s="11">
        <v>7.43</v>
      </c>
      <c r="C26" s="11">
        <v>7.93</v>
      </c>
      <c r="D26" s="11">
        <v>8.33</v>
      </c>
      <c r="E26" s="11">
        <v>8.33</v>
      </c>
      <c r="F26" s="11">
        <v>8.33</v>
      </c>
      <c r="G26" s="12">
        <v>8.33</v>
      </c>
      <c r="H26" s="11">
        <v>8.33</v>
      </c>
      <c r="I26" s="11">
        <v>8.33</v>
      </c>
      <c r="J26" s="11">
        <v>8.33</v>
      </c>
      <c r="K26" s="11">
        <v>8.33</v>
      </c>
      <c r="L26" s="11">
        <v>8.18</v>
      </c>
      <c r="M26" s="13">
        <v>8.0299999999999994</v>
      </c>
      <c r="N26" s="13">
        <v>7.8800000000000008</v>
      </c>
      <c r="O26" s="13">
        <v>7.73</v>
      </c>
      <c r="P26" s="13">
        <v>7.58</v>
      </c>
      <c r="Q26" s="11">
        <v>7.3800000000000008</v>
      </c>
      <c r="R26" s="11">
        <v>7.18</v>
      </c>
      <c r="S26" s="11">
        <v>6.88</v>
      </c>
      <c r="T26" s="11">
        <v>6.53</v>
      </c>
      <c r="U26" s="226">
        <v>6.13</v>
      </c>
      <c r="V26" s="11">
        <v>5.68</v>
      </c>
      <c r="W26" s="11">
        <v>5.18</v>
      </c>
      <c r="X26" s="14"/>
      <c r="Y26" s="15">
        <v>6.9</v>
      </c>
      <c r="Z26" s="15">
        <v>100</v>
      </c>
      <c r="AA26" s="15">
        <v>100</v>
      </c>
      <c r="AB26" s="15">
        <v>100</v>
      </c>
      <c r="AC26" s="15">
        <v>100</v>
      </c>
      <c r="AD26" s="15">
        <v>100</v>
      </c>
      <c r="AE26" s="15">
        <v>100</v>
      </c>
      <c r="AF26" s="15">
        <v>100</v>
      </c>
      <c r="AG26" s="15">
        <v>100</v>
      </c>
      <c r="AH26" s="15">
        <v>96</v>
      </c>
      <c r="AI26" s="15">
        <v>92</v>
      </c>
      <c r="AJ26" s="15">
        <v>100</v>
      </c>
      <c r="AK26" s="15">
        <v>100</v>
      </c>
      <c r="AL26" s="15">
        <v>100</v>
      </c>
      <c r="AM26" s="15">
        <v>96</v>
      </c>
      <c r="AN26" s="15">
        <v>93</v>
      </c>
      <c r="AO26" s="15">
        <v>89</v>
      </c>
      <c r="AP26" s="15">
        <v>85</v>
      </c>
      <c r="AQ26" s="15">
        <v>82</v>
      </c>
      <c r="AR26" s="15">
        <v>78</v>
      </c>
      <c r="AS26" s="15">
        <v>95.32</v>
      </c>
    </row>
    <row r="27" spans="1:45" ht="16.5" thickBot="1" x14ac:dyDescent="0.3">
      <c r="A27" s="10">
        <v>0.28999999999999998</v>
      </c>
      <c r="B27" s="11">
        <v>7.5</v>
      </c>
      <c r="C27" s="11">
        <v>8</v>
      </c>
      <c r="D27" s="11">
        <v>8.33</v>
      </c>
      <c r="E27" s="11">
        <v>8.33</v>
      </c>
      <c r="F27" s="11">
        <v>8.33</v>
      </c>
      <c r="G27" s="12">
        <v>8.33</v>
      </c>
      <c r="H27" s="11">
        <v>8.33</v>
      </c>
      <c r="I27" s="11">
        <v>8.33</v>
      </c>
      <c r="J27" s="11">
        <v>8.33</v>
      </c>
      <c r="K27" s="11">
        <v>8.33</v>
      </c>
      <c r="L27" s="11">
        <v>8.25</v>
      </c>
      <c r="M27" s="13">
        <v>8.1</v>
      </c>
      <c r="N27" s="13">
        <v>7.9499999999999993</v>
      </c>
      <c r="O27" s="13">
        <v>7.8000000000000007</v>
      </c>
      <c r="P27" s="13">
        <v>7.65</v>
      </c>
      <c r="Q27" s="11">
        <v>7.4499999999999993</v>
      </c>
      <c r="R27" s="11">
        <v>7.25</v>
      </c>
      <c r="S27" s="11">
        <v>6.95</v>
      </c>
      <c r="T27" s="11">
        <v>6.6</v>
      </c>
      <c r="U27" s="226">
        <v>6.2</v>
      </c>
      <c r="V27" s="11">
        <v>5.75</v>
      </c>
      <c r="W27" s="11">
        <v>5.25</v>
      </c>
      <c r="X27" s="14"/>
      <c r="Y27" s="15">
        <v>6.8</v>
      </c>
      <c r="Z27" s="15">
        <v>100</v>
      </c>
      <c r="AA27" s="15">
        <v>100</v>
      </c>
      <c r="AB27" s="15">
        <v>100</v>
      </c>
      <c r="AC27" s="15">
        <v>100</v>
      </c>
      <c r="AD27" s="15">
        <v>100</v>
      </c>
      <c r="AE27" s="15">
        <v>100</v>
      </c>
      <c r="AF27" s="15">
        <v>100</v>
      </c>
      <c r="AG27" s="15">
        <v>99</v>
      </c>
      <c r="AH27" s="15">
        <v>95</v>
      </c>
      <c r="AI27" s="15">
        <v>91</v>
      </c>
      <c r="AJ27" s="15">
        <v>100</v>
      </c>
      <c r="AK27" s="15">
        <v>100</v>
      </c>
      <c r="AL27" s="15">
        <v>99</v>
      </c>
      <c r="AM27" s="15">
        <v>95</v>
      </c>
      <c r="AN27" s="15">
        <v>91</v>
      </c>
      <c r="AO27" s="15">
        <v>88</v>
      </c>
      <c r="AP27" s="15">
        <v>84</v>
      </c>
      <c r="AQ27" s="15">
        <v>80</v>
      </c>
      <c r="AR27" s="15">
        <v>77</v>
      </c>
      <c r="AS27" s="15">
        <v>94.68</v>
      </c>
    </row>
    <row r="28" spans="1:45" ht="16.5" thickBot="1" x14ac:dyDescent="0.3">
      <c r="A28" s="10">
        <v>0.3</v>
      </c>
      <c r="B28" s="11">
        <v>7.5600000000000005</v>
      </c>
      <c r="C28" s="11">
        <v>8.06</v>
      </c>
      <c r="D28" s="11">
        <v>8.33</v>
      </c>
      <c r="E28" s="11">
        <v>8.33</v>
      </c>
      <c r="F28" s="11">
        <v>8.33</v>
      </c>
      <c r="G28" s="12">
        <v>8.33</v>
      </c>
      <c r="H28" s="11">
        <v>8.33</v>
      </c>
      <c r="I28" s="11">
        <v>8.33</v>
      </c>
      <c r="J28" s="11">
        <v>8.33</v>
      </c>
      <c r="K28" s="11">
        <v>8.33</v>
      </c>
      <c r="L28" s="11">
        <v>8.31</v>
      </c>
      <c r="M28" s="13">
        <v>8.16</v>
      </c>
      <c r="N28" s="13">
        <v>8.01</v>
      </c>
      <c r="O28" s="13">
        <v>7.8599999999999994</v>
      </c>
      <c r="P28" s="13">
        <v>7.7100000000000009</v>
      </c>
      <c r="Q28" s="11">
        <v>7.51</v>
      </c>
      <c r="R28" s="11">
        <v>7.3100000000000005</v>
      </c>
      <c r="S28" s="11">
        <v>7.01</v>
      </c>
      <c r="T28" s="11">
        <v>6.66</v>
      </c>
      <c r="U28" s="226">
        <v>6.26</v>
      </c>
      <c r="V28" s="11">
        <v>5.81</v>
      </c>
      <c r="W28" s="11">
        <v>5.31</v>
      </c>
      <c r="X28" s="14"/>
      <c r="Y28" s="15">
        <v>6.7</v>
      </c>
      <c r="Z28" s="15">
        <v>100</v>
      </c>
      <c r="AA28" s="15">
        <v>100</v>
      </c>
      <c r="AB28" s="15">
        <v>100</v>
      </c>
      <c r="AC28" s="15">
        <v>100</v>
      </c>
      <c r="AD28" s="15">
        <v>100</v>
      </c>
      <c r="AE28" s="15">
        <v>100</v>
      </c>
      <c r="AF28" s="15">
        <v>100</v>
      </c>
      <c r="AG28" s="15">
        <v>99</v>
      </c>
      <c r="AH28" s="15">
        <v>95</v>
      </c>
      <c r="AI28" s="15">
        <v>91</v>
      </c>
      <c r="AJ28" s="15">
        <v>100</v>
      </c>
      <c r="AK28" s="15">
        <v>100</v>
      </c>
      <c r="AL28" s="15">
        <v>99</v>
      </c>
      <c r="AM28" s="15">
        <v>95</v>
      </c>
      <c r="AN28" s="15">
        <v>91</v>
      </c>
      <c r="AO28" s="15">
        <v>87</v>
      </c>
      <c r="AP28" s="15">
        <v>84</v>
      </c>
      <c r="AQ28" s="15">
        <v>80</v>
      </c>
      <c r="AR28" s="15">
        <v>76</v>
      </c>
      <c r="AS28" s="15">
        <v>94.58</v>
      </c>
    </row>
    <row r="29" spans="1:45" ht="16.5" thickBot="1" x14ac:dyDescent="0.3">
      <c r="A29" s="10">
        <v>0.31</v>
      </c>
      <c r="B29" s="11">
        <v>7.6199999999999992</v>
      </c>
      <c r="C29" s="11">
        <v>8.1199999999999992</v>
      </c>
      <c r="D29" s="11">
        <v>8.33</v>
      </c>
      <c r="E29" s="11">
        <v>8.33</v>
      </c>
      <c r="F29" s="11">
        <v>8.33</v>
      </c>
      <c r="G29" s="12">
        <v>8.33</v>
      </c>
      <c r="H29" s="11">
        <v>8.33</v>
      </c>
      <c r="I29" s="11">
        <v>8.33</v>
      </c>
      <c r="J29" s="11">
        <v>8.33</v>
      </c>
      <c r="K29" s="11">
        <v>8.33</v>
      </c>
      <c r="L29" s="11">
        <v>8.33</v>
      </c>
      <c r="M29" s="13">
        <v>8.2200000000000006</v>
      </c>
      <c r="N29" s="13">
        <v>8.07</v>
      </c>
      <c r="O29" s="13">
        <v>7.92</v>
      </c>
      <c r="P29" s="13">
        <v>7.77</v>
      </c>
      <c r="Q29" s="11">
        <v>7.57</v>
      </c>
      <c r="R29" s="11">
        <v>7.3699999999999992</v>
      </c>
      <c r="S29" s="11">
        <v>7.07</v>
      </c>
      <c r="T29" s="11">
        <v>6.72</v>
      </c>
      <c r="U29" s="226">
        <v>6.32</v>
      </c>
      <c r="V29" s="11">
        <v>5.87</v>
      </c>
      <c r="W29" s="11">
        <v>5.37</v>
      </c>
      <c r="X29" s="14"/>
      <c r="Y29" s="15">
        <v>6.6</v>
      </c>
      <c r="Z29" s="15">
        <v>100</v>
      </c>
      <c r="AA29" s="15">
        <v>100</v>
      </c>
      <c r="AB29" s="15">
        <v>100</v>
      </c>
      <c r="AC29" s="15">
        <v>100</v>
      </c>
      <c r="AD29" s="15">
        <v>100</v>
      </c>
      <c r="AE29" s="15">
        <v>100</v>
      </c>
      <c r="AF29" s="15">
        <v>100</v>
      </c>
      <c r="AG29" s="15">
        <v>98</v>
      </c>
      <c r="AH29" s="15">
        <v>94</v>
      </c>
      <c r="AI29" s="15">
        <v>90</v>
      </c>
      <c r="AJ29" s="15">
        <v>100</v>
      </c>
      <c r="AK29" s="15">
        <v>100</v>
      </c>
      <c r="AL29" s="15">
        <v>97</v>
      </c>
      <c r="AM29" s="15">
        <v>94</v>
      </c>
      <c r="AN29" s="15">
        <v>90</v>
      </c>
      <c r="AO29" s="15">
        <v>86</v>
      </c>
      <c r="AP29" s="15">
        <v>82</v>
      </c>
      <c r="AQ29" s="15">
        <v>78</v>
      </c>
      <c r="AR29" s="15">
        <v>75</v>
      </c>
      <c r="AS29" s="15">
        <v>93.89</v>
      </c>
    </row>
    <row r="30" spans="1:45" ht="16.5" thickBot="1" x14ac:dyDescent="0.3">
      <c r="A30" s="10">
        <v>0.32</v>
      </c>
      <c r="B30" s="11">
        <v>7.67</v>
      </c>
      <c r="C30" s="11">
        <v>8.17</v>
      </c>
      <c r="D30" s="11">
        <v>8.33</v>
      </c>
      <c r="E30" s="11">
        <v>8.33</v>
      </c>
      <c r="F30" s="11">
        <v>8.33</v>
      </c>
      <c r="G30" s="12">
        <v>8.33</v>
      </c>
      <c r="H30" s="11">
        <v>8.33</v>
      </c>
      <c r="I30" s="11">
        <v>8.33</v>
      </c>
      <c r="J30" s="11">
        <v>8.33</v>
      </c>
      <c r="K30" s="11">
        <v>8.33</v>
      </c>
      <c r="L30" s="11">
        <v>8.33</v>
      </c>
      <c r="M30" s="13">
        <v>8.27</v>
      </c>
      <c r="N30" s="13">
        <v>8.1199999999999992</v>
      </c>
      <c r="O30" s="13">
        <v>7.9700000000000006</v>
      </c>
      <c r="P30" s="13">
        <v>7.82</v>
      </c>
      <c r="Q30" s="11">
        <v>7.6199999999999992</v>
      </c>
      <c r="R30" s="11">
        <v>7.42</v>
      </c>
      <c r="S30" s="11">
        <v>7.1199999999999992</v>
      </c>
      <c r="T30" s="11">
        <v>6.77</v>
      </c>
      <c r="U30" s="226">
        <v>6.37</v>
      </c>
      <c r="V30" s="11">
        <v>5.92</v>
      </c>
      <c r="W30" s="11">
        <v>5.42</v>
      </c>
      <c r="X30" s="14"/>
      <c r="Y30" s="15">
        <v>6.5</v>
      </c>
      <c r="Z30" s="15">
        <v>100</v>
      </c>
      <c r="AA30" s="15">
        <v>100</v>
      </c>
      <c r="AB30" s="15">
        <v>100</v>
      </c>
      <c r="AC30" s="15">
        <v>100</v>
      </c>
      <c r="AD30" s="15">
        <v>100</v>
      </c>
      <c r="AE30" s="15">
        <v>100</v>
      </c>
      <c r="AF30" s="15">
        <v>100</v>
      </c>
      <c r="AG30" s="15">
        <v>97</v>
      </c>
      <c r="AH30" s="15">
        <v>93</v>
      </c>
      <c r="AI30" s="15">
        <v>90</v>
      </c>
      <c r="AJ30" s="15">
        <v>100</v>
      </c>
      <c r="AK30" s="15">
        <v>100</v>
      </c>
      <c r="AL30" s="15">
        <v>97</v>
      </c>
      <c r="AM30" s="15">
        <v>93</v>
      </c>
      <c r="AN30" s="15">
        <v>89</v>
      </c>
      <c r="AO30" s="15">
        <v>85</v>
      </c>
      <c r="AP30" s="15">
        <v>82</v>
      </c>
      <c r="AQ30" s="15">
        <v>78</v>
      </c>
      <c r="AR30" s="15">
        <v>74</v>
      </c>
      <c r="AS30" s="15">
        <v>93.58</v>
      </c>
    </row>
    <row r="31" spans="1:45" ht="16.5" thickBot="1" x14ac:dyDescent="0.3">
      <c r="A31" s="10">
        <v>0.33</v>
      </c>
      <c r="B31" s="11">
        <v>7.7200000000000006</v>
      </c>
      <c r="C31" s="11">
        <v>8.2200000000000006</v>
      </c>
      <c r="D31" s="11">
        <v>8.33</v>
      </c>
      <c r="E31" s="11">
        <v>8.33</v>
      </c>
      <c r="F31" s="11">
        <v>8.33</v>
      </c>
      <c r="G31" s="12">
        <v>8.33</v>
      </c>
      <c r="H31" s="11">
        <v>8.33</v>
      </c>
      <c r="I31" s="11">
        <v>8.33</v>
      </c>
      <c r="J31" s="11">
        <v>8.33</v>
      </c>
      <c r="K31" s="11">
        <v>8.33</v>
      </c>
      <c r="L31" s="11">
        <v>8.33</v>
      </c>
      <c r="M31" s="13">
        <v>8.32</v>
      </c>
      <c r="N31" s="13">
        <v>8.17</v>
      </c>
      <c r="O31" s="13">
        <v>8.02</v>
      </c>
      <c r="P31" s="13">
        <v>7.8699999999999992</v>
      </c>
      <c r="Q31" s="11">
        <v>7.67</v>
      </c>
      <c r="R31" s="11">
        <v>7.4700000000000006</v>
      </c>
      <c r="S31" s="11">
        <v>7.17</v>
      </c>
      <c r="T31" s="11">
        <v>6.82</v>
      </c>
      <c r="U31" s="11">
        <v>6.42</v>
      </c>
      <c r="V31" s="226">
        <v>5.97</v>
      </c>
      <c r="W31" s="11">
        <v>5.47</v>
      </c>
      <c r="X31" s="14"/>
      <c r="Y31" s="15">
        <v>6.4</v>
      </c>
      <c r="Z31" s="15">
        <v>100</v>
      </c>
      <c r="AA31" s="15">
        <v>100</v>
      </c>
      <c r="AB31" s="15">
        <v>100</v>
      </c>
      <c r="AC31" s="15">
        <v>100</v>
      </c>
      <c r="AD31" s="15">
        <v>100</v>
      </c>
      <c r="AE31" s="15">
        <v>100</v>
      </c>
      <c r="AF31" s="15">
        <v>100</v>
      </c>
      <c r="AG31" s="15">
        <v>97</v>
      </c>
      <c r="AH31" s="15">
        <v>93</v>
      </c>
      <c r="AI31" s="15">
        <v>89</v>
      </c>
      <c r="AJ31" s="15">
        <v>100</v>
      </c>
      <c r="AK31" s="15">
        <v>100</v>
      </c>
      <c r="AL31" s="15">
        <v>96</v>
      </c>
      <c r="AM31" s="15">
        <v>93</v>
      </c>
      <c r="AN31" s="15">
        <v>89</v>
      </c>
      <c r="AO31" s="15">
        <v>85</v>
      </c>
      <c r="AP31" s="15">
        <v>81</v>
      </c>
      <c r="AQ31" s="15">
        <v>77</v>
      </c>
      <c r="AR31" s="15">
        <v>73</v>
      </c>
      <c r="AS31" s="15">
        <v>93.32</v>
      </c>
    </row>
    <row r="32" spans="1:45" ht="16.5" thickBot="1" x14ac:dyDescent="0.3">
      <c r="A32" s="10">
        <v>0.34</v>
      </c>
      <c r="B32" s="11">
        <v>7.77</v>
      </c>
      <c r="C32" s="11">
        <v>8.27</v>
      </c>
      <c r="D32" s="11">
        <v>8.33</v>
      </c>
      <c r="E32" s="11">
        <v>8.33</v>
      </c>
      <c r="F32" s="11">
        <v>8.33</v>
      </c>
      <c r="G32" s="12">
        <v>8.33</v>
      </c>
      <c r="H32" s="11">
        <v>8.33</v>
      </c>
      <c r="I32" s="11">
        <v>8.33</v>
      </c>
      <c r="J32" s="11">
        <v>8.33</v>
      </c>
      <c r="K32" s="11">
        <v>8.33</v>
      </c>
      <c r="L32" s="11">
        <v>8.33</v>
      </c>
      <c r="M32" s="13">
        <v>8.33</v>
      </c>
      <c r="N32" s="13">
        <v>8.2200000000000006</v>
      </c>
      <c r="O32" s="13">
        <v>8.07</v>
      </c>
      <c r="P32" s="13">
        <v>7.92</v>
      </c>
      <c r="Q32" s="11">
        <v>7.7200000000000006</v>
      </c>
      <c r="R32" s="11">
        <v>7.52</v>
      </c>
      <c r="S32" s="11">
        <v>7.2200000000000006</v>
      </c>
      <c r="T32" s="11">
        <v>6.87</v>
      </c>
      <c r="U32" s="11">
        <v>6.47</v>
      </c>
      <c r="V32" s="226">
        <v>6.02</v>
      </c>
      <c r="W32" s="11">
        <v>5.52</v>
      </c>
      <c r="X32" s="14"/>
      <c r="Y32" s="15">
        <v>6.3</v>
      </c>
      <c r="Z32" s="15">
        <v>100</v>
      </c>
      <c r="AA32" s="15">
        <v>100</v>
      </c>
      <c r="AB32" s="15">
        <v>100</v>
      </c>
      <c r="AC32" s="15">
        <v>100</v>
      </c>
      <c r="AD32" s="15">
        <v>100</v>
      </c>
      <c r="AE32" s="15">
        <v>100</v>
      </c>
      <c r="AF32" s="15">
        <v>100</v>
      </c>
      <c r="AG32" s="15">
        <v>96</v>
      </c>
      <c r="AH32" s="15">
        <v>92</v>
      </c>
      <c r="AI32" s="15">
        <v>88</v>
      </c>
      <c r="AJ32" s="15">
        <v>100</v>
      </c>
      <c r="AK32" s="15">
        <v>99</v>
      </c>
      <c r="AL32" s="15">
        <v>95</v>
      </c>
      <c r="AM32" s="15">
        <v>91</v>
      </c>
      <c r="AN32" s="15">
        <v>88</v>
      </c>
      <c r="AO32" s="15">
        <v>84</v>
      </c>
      <c r="AP32" s="15">
        <v>80</v>
      </c>
      <c r="AQ32" s="15">
        <v>76</v>
      </c>
      <c r="AR32" s="15">
        <v>72</v>
      </c>
      <c r="AS32" s="15">
        <v>92.68</v>
      </c>
    </row>
    <row r="33" spans="1:45" ht="16.5" thickBot="1" x14ac:dyDescent="0.3">
      <c r="A33" s="10">
        <v>0.35</v>
      </c>
      <c r="B33" s="11">
        <v>7.8100000000000005</v>
      </c>
      <c r="C33" s="11">
        <v>8.31</v>
      </c>
      <c r="D33" s="11">
        <v>8.33</v>
      </c>
      <c r="E33" s="11">
        <v>8.33</v>
      </c>
      <c r="F33" s="11">
        <v>8.33</v>
      </c>
      <c r="G33" s="12">
        <v>8.33</v>
      </c>
      <c r="H33" s="11">
        <v>8.33</v>
      </c>
      <c r="I33" s="11">
        <v>8.33</v>
      </c>
      <c r="J33" s="11">
        <v>8.33</v>
      </c>
      <c r="K33" s="11">
        <v>8.33</v>
      </c>
      <c r="L33" s="11">
        <v>8.33</v>
      </c>
      <c r="M33" s="13">
        <v>8.33</v>
      </c>
      <c r="N33" s="13">
        <v>8.26</v>
      </c>
      <c r="O33" s="13">
        <v>8.11</v>
      </c>
      <c r="P33" s="13">
        <v>7.9600000000000009</v>
      </c>
      <c r="Q33" s="11">
        <v>7.76</v>
      </c>
      <c r="R33" s="11">
        <v>7.5600000000000005</v>
      </c>
      <c r="S33" s="11">
        <v>7.26</v>
      </c>
      <c r="T33" s="11">
        <v>6.91</v>
      </c>
      <c r="U33" s="11">
        <v>6.51</v>
      </c>
      <c r="V33" s="226">
        <v>6.06</v>
      </c>
      <c r="W33" s="11">
        <v>5.56</v>
      </c>
      <c r="X33" s="14"/>
      <c r="Y33" s="15">
        <v>6.2</v>
      </c>
      <c r="Z33" s="15">
        <v>100</v>
      </c>
      <c r="AA33" s="15">
        <v>100</v>
      </c>
      <c r="AB33" s="15">
        <v>100</v>
      </c>
      <c r="AC33" s="15">
        <v>100</v>
      </c>
      <c r="AD33" s="15">
        <v>100</v>
      </c>
      <c r="AE33" s="15">
        <v>100</v>
      </c>
      <c r="AF33" s="15">
        <v>99</v>
      </c>
      <c r="AG33" s="15">
        <v>95</v>
      </c>
      <c r="AH33" s="15">
        <v>91</v>
      </c>
      <c r="AI33" s="15">
        <v>87</v>
      </c>
      <c r="AJ33" s="15">
        <v>100</v>
      </c>
      <c r="AK33" s="15">
        <v>98</v>
      </c>
      <c r="AL33" s="15">
        <v>94</v>
      </c>
      <c r="AM33" s="15">
        <v>90</v>
      </c>
      <c r="AN33" s="15">
        <v>86</v>
      </c>
      <c r="AO33" s="15">
        <v>82</v>
      </c>
      <c r="AP33" s="15">
        <v>78</v>
      </c>
      <c r="AQ33" s="15">
        <v>75</v>
      </c>
      <c r="AR33" s="15">
        <v>71</v>
      </c>
      <c r="AS33" s="15">
        <v>91.89</v>
      </c>
    </row>
    <row r="34" spans="1:45" ht="16.5" thickBot="1" x14ac:dyDescent="0.3">
      <c r="A34" s="10">
        <v>0.36</v>
      </c>
      <c r="B34" s="11">
        <v>7.85</v>
      </c>
      <c r="C34" s="11">
        <v>8.33</v>
      </c>
      <c r="D34" s="11">
        <v>8.33</v>
      </c>
      <c r="E34" s="11">
        <v>8.33</v>
      </c>
      <c r="F34" s="11">
        <v>8.33</v>
      </c>
      <c r="G34" s="12">
        <v>8.33</v>
      </c>
      <c r="H34" s="11">
        <v>8.33</v>
      </c>
      <c r="I34" s="11">
        <v>8.33</v>
      </c>
      <c r="J34" s="11">
        <v>8.33</v>
      </c>
      <c r="K34" s="11">
        <v>8.33</v>
      </c>
      <c r="L34" s="11">
        <v>8.33</v>
      </c>
      <c r="M34" s="13">
        <v>8.33</v>
      </c>
      <c r="N34" s="13">
        <v>8.3000000000000007</v>
      </c>
      <c r="O34" s="13">
        <v>8.15</v>
      </c>
      <c r="P34" s="13">
        <v>8</v>
      </c>
      <c r="Q34" s="11">
        <v>7.8000000000000007</v>
      </c>
      <c r="R34" s="11">
        <v>7.6</v>
      </c>
      <c r="S34" s="11">
        <v>7.3000000000000007</v>
      </c>
      <c r="T34" s="11">
        <v>6.95</v>
      </c>
      <c r="U34" s="11">
        <v>6.55</v>
      </c>
      <c r="V34" s="226">
        <v>6.1</v>
      </c>
      <c r="W34" s="11">
        <v>5.6</v>
      </c>
      <c r="X34" s="14"/>
      <c r="Y34" s="15">
        <v>6.1</v>
      </c>
      <c r="Z34" s="15">
        <v>100</v>
      </c>
      <c r="AA34" s="15">
        <v>100</v>
      </c>
      <c r="AB34" s="15">
        <v>100</v>
      </c>
      <c r="AC34" s="15">
        <v>100</v>
      </c>
      <c r="AD34" s="15">
        <v>100</v>
      </c>
      <c r="AE34" s="15">
        <v>100</v>
      </c>
      <c r="AF34" s="15">
        <v>99</v>
      </c>
      <c r="AG34" s="15">
        <v>95</v>
      </c>
      <c r="AH34" s="15">
        <v>91</v>
      </c>
      <c r="AI34" s="15">
        <v>86</v>
      </c>
      <c r="AJ34" s="15">
        <v>100</v>
      </c>
      <c r="AK34" s="15">
        <v>98</v>
      </c>
      <c r="AL34" s="15">
        <v>93</v>
      </c>
      <c r="AM34" s="15">
        <v>89</v>
      </c>
      <c r="AN34" s="15">
        <v>86</v>
      </c>
      <c r="AO34" s="15">
        <v>81</v>
      </c>
      <c r="AP34" s="15">
        <v>78</v>
      </c>
      <c r="AQ34" s="15">
        <v>74</v>
      </c>
      <c r="AR34" s="15">
        <v>70</v>
      </c>
      <c r="AS34" s="15">
        <v>91.58</v>
      </c>
    </row>
    <row r="35" spans="1:45" ht="16.5" thickBot="1" x14ac:dyDescent="0.3">
      <c r="A35" s="10">
        <v>0.37</v>
      </c>
      <c r="B35" s="11">
        <v>7.8800000000000008</v>
      </c>
      <c r="C35" s="11">
        <v>8.33</v>
      </c>
      <c r="D35" s="11">
        <v>8.33</v>
      </c>
      <c r="E35" s="11">
        <v>8.33</v>
      </c>
      <c r="F35" s="11">
        <v>8.33</v>
      </c>
      <c r="G35" s="12">
        <v>8.33</v>
      </c>
      <c r="H35" s="11">
        <v>8.33</v>
      </c>
      <c r="I35" s="11">
        <v>8.33</v>
      </c>
      <c r="J35" s="11">
        <v>8.33</v>
      </c>
      <c r="K35" s="11">
        <v>8.33</v>
      </c>
      <c r="L35" s="11">
        <v>8.33</v>
      </c>
      <c r="M35" s="13">
        <v>8.33</v>
      </c>
      <c r="N35" s="13">
        <v>8.33</v>
      </c>
      <c r="O35" s="13">
        <v>8.18</v>
      </c>
      <c r="P35" s="13">
        <v>8.0299999999999994</v>
      </c>
      <c r="Q35" s="11">
        <v>7.83</v>
      </c>
      <c r="R35" s="11">
        <v>7.6300000000000008</v>
      </c>
      <c r="S35" s="11">
        <v>7.33</v>
      </c>
      <c r="T35" s="11">
        <v>6.98</v>
      </c>
      <c r="U35" s="11">
        <v>6.58</v>
      </c>
      <c r="V35" s="226">
        <v>6.13</v>
      </c>
      <c r="W35" s="11">
        <v>5.63</v>
      </c>
      <c r="X35" s="14"/>
      <c r="Y35" s="15">
        <v>6</v>
      </c>
      <c r="Z35" s="15">
        <v>100</v>
      </c>
      <c r="AA35" s="15">
        <v>100</v>
      </c>
      <c r="AB35" s="15">
        <v>100</v>
      </c>
      <c r="AC35" s="15">
        <v>100</v>
      </c>
      <c r="AD35" s="15">
        <v>100</v>
      </c>
      <c r="AE35" s="15">
        <v>100</v>
      </c>
      <c r="AF35" s="15">
        <v>98</v>
      </c>
      <c r="AG35" s="15">
        <v>94</v>
      </c>
      <c r="AH35" s="15">
        <v>90</v>
      </c>
      <c r="AI35" s="15">
        <v>86</v>
      </c>
      <c r="AJ35" s="15">
        <v>100</v>
      </c>
      <c r="AK35" s="15">
        <v>97</v>
      </c>
      <c r="AL35" s="15">
        <v>93</v>
      </c>
      <c r="AM35" s="15">
        <v>89</v>
      </c>
      <c r="AN35" s="15">
        <v>85</v>
      </c>
      <c r="AO35" s="15">
        <v>81</v>
      </c>
      <c r="AP35" s="15">
        <v>77</v>
      </c>
      <c r="AQ35" s="15">
        <v>73</v>
      </c>
      <c r="AR35" s="15">
        <v>69</v>
      </c>
      <c r="AS35" s="15">
        <v>91.16</v>
      </c>
    </row>
    <row r="36" spans="1:45" ht="16.5" thickBot="1" x14ac:dyDescent="0.3">
      <c r="A36" s="10">
        <v>0.38</v>
      </c>
      <c r="B36" s="11">
        <v>7.92</v>
      </c>
      <c r="C36" s="11">
        <v>8.33</v>
      </c>
      <c r="D36" s="11">
        <v>8.33</v>
      </c>
      <c r="E36" s="11">
        <v>8.33</v>
      </c>
      <c r="F36" s="11">
        <v>8.33</v>
      </c>
      <c r="G36" s="12">
        <v>8.33</v>
      </c>
      <c r="H36" s="11">
        <v>8.33</v>
      </c>
      <c r="I36" s="11">
        <v>8.33</v>
      </c>
      <c r="J36" s="11">
        <v>8.33</v>
      </c>
      <c r="K36" s="11">
        <v>8.33</v>
      </c>
      <c r="L36" s="11">
        <v>8.33</v>
      </c>
      <c r="M36" s="13">
        <v>8.33</v>
      </c>
      <c r="N36" s="13">
        <v>8.33</v>
      </c>
      <c r="O36" s="13">
        <v>8.2200000000000006</v>
      </c>
      <c r="P36" s="13">
        <v>8.07</v>
      </c>
      <c r="Q36" s="11">
        <v>7.8699999999999992</v>
      </c>
      <c r="R36" s="11">
        <v>7.67</v>
      </c>
      <c r="S36" s="11">
        <v>7.3699999999999992</v>
      </c>
      <c r="T36" s="11">
        <v>7.02</v>
      </c>
      <c r="U36" s="11">
        <v>6.62</v>
      </c>
      <c r="V36" s="226">
        <v>6.17</v>
      </c>
      <c r="W36" s="11">
        <v>5.67</v>
      </c>
      <c r="X36" s="14"/>
      <c r="Y36" s="15">
        <v>5.9</v>
      </c>
      <c r="Z36" s="15">
        <v>100</v>
      </c>
      <c r="AA36" s="15">
        <v>100</v>
      </c>
      <c r="AB36" s="15">
        <v>100</v>
      </c>
      <c r="AC36" s="15">
        <v>100</v>
      </c>
      <c r="AD36" s="15">
        <v>100</v>
      </c>
      <c r="AE36" s="15">
        <v>100</v>
      </c>
      <c r="AF36" s="15">
        <v>98</v>
      </c>
      <c r="AG36" s="15">
        <v>94</v>
      </c>
      <c r="AH36" s="15">
        <v>90</v>
      </c>
      <c r="AI36" s="15">
        <v>86</v>
      </c>
      <c r="AJ36" s="15">
        <v>100</v>
      </c>
      <c r="AK36" s="15">
        <v>96</v>
      </c>
      <c r="AL36" s="15">
        <v>92</v>
      </c>
      <c r="AM36" s="15">
        <v>88</v>
      </c>
      <c r="AN36" s="15">
        <v>84</v>
      </c>
      <c r="AO36" s="15">
        <v>80</v>
      </c>
      <c r="AP36" s="15">
        <v>76</v>
      </c>
      <c r="AQ36" s="15">
        <v>72</v>
      </c>
      <c r="AR36" s="15">
        <v>68</v>
      </c>
      <c r="AS36" s="15">
        <v>90.74</v>
      </c>
    </row>
    <row r="37" spans="1:45" ht="16.5" thickBot="1" x14ac:dyDescent="0.3">
      <c r="A37" s="10">
        <v>0.39</v>
      </c>
      <c r="B37" s="11">
        <v>7.9499999999999993</v>
      </c>
      <c r="C37" s="11">
        <v>8.33</v>
      </c>
      <c r="D37" s="11">
        <v>8.33</v>
      </c>
      <c r="E37" s="11">
        <v>8.33</v>
      </c>
      <c r="F37" s="11">
        <v>8.33</v>
      </c>
      <c r="G37" s="12">
        <v>8.33</v>
      </c>
      <c r="H37" s="11">
        <v>8.33</v>
      </c>
      <c r="I37" s="11">
        <v>8.33</v>
      </c>
      <c r="J37" s="11">
        <v>8.33</v>
      </c>
      <c r="K37" s="11">
        <v>8.33</v>
      </c>
      <c r="L37" s="11">
        <v>8.33</v>
      </c>
      <c r="M37" s="13">
        <v>8.33</v>
      </c>
      <c r="N37" s="13">
        <v>8.33</v>
      </c>
      <c r="O37" s="13">
        <v>8.25</v>
      </c>
      <c r="P37" s="13">
        <v>8.1</v>
      </c>
      <c r="Q37" s="11">
        <v>7.9</v>
      </c>
      <c r="R37" s="11">
        <v>7.6999999999999993</v>
      </c>
      <c r="S37" s="11">
        <v>7.4</v>
      </c>
      <c r="T37" s="11">
        <v>7.0500000000000007</v>
      </c>
      <c r="U37" s="11">
        <v>6.65</v>
      </c>
      <c r="V37" s="226">
        <v>6.2</v>
      </c>
      <c r="W37" s="11">
        <v>5.7</v>
      </c>
      <c r="X37" s="14"/>
      <c r="Y37" s="15">
        <v>5.8</v>
      </c>
      <c r="Z37" s="15">
        <v>100</v>
      </c>
      <c r="AA37" s="15">
        <v>100</v>
      </c>
      <c r="AB37" s="15">
        <v>100</v>
      </c>
      <c r="AC37" s="15">
        <v>100</v>
      </c>
      <c r="AD37" s="15">
        <v>100</v>
      </c>
      <c r="AE37" s="15">
        <v>100</v>
      </c>
      <c r="AF37" s="15">
        <v>97</v>
      </c>
      <c r="AG37" s="15">
        <v>93</v>
      </c>
      <c r="AH37" s="15">
        <v>89</v>
      </c>
      <c r="AI37" s="15">
        <v>85</v>
      </c>
      <c r="AJ37" s="15">
        <v>100</v>
      </c>
      <c r="AK37" s="15">
        <v>96</v>
      </c>
      <c r="AL37" s="15">
        <v>91</v>
      </c>
      <c r="AM37" s="15">
        <v>88</v>
      </c>
      <c r="AN37" s="15">
        <v>84</v>
      </c>
      <c r="AO37" s="15">
        <v>79</v>
      </c>
      <c r="AP37" s="15">
        <v>76</v>
      </c>
      <c r="AQ37" s="15">
        <v>71</v>
      </c>
      <c r="AR37" s="15">
        <v>67</v>
      </c>
      <c r="AS37" s="15">
        <v>90.32</v>
      </c>
    </row>
    <row r="38" spans="1:45" ht="16.5" thickBot="1" x14ac:dyDescent="0.3">
      <c r="A38" s="10">
        <v>0.4</v>
      </c>
      <c r="B38" s="11">
        <v>7.98</v>
      </c>
      <c r="C38" s="11">
        <v>8.33</v>
      </c>
      <c r="D38" s="11">
        <v>8.33</v>
      </c>
      <c r="E38" s="11">
        <v>8.33</v>
      </c>
      <c r="F38" s="11">
        <v>8.33</v>
      </c>
      <c r="G38" s="12">
        <v>8.33</v>
      </c>
      <c r="H38" s="11">
        <v>8.33</v>
      </c>
      <c r="I38" s="11">
        <v>8.33</v>
      </c>
      <c r="J38" s="11">
        <v>8.33</v>
      </c>
      <c r="K38" s="11">
        <v>8.33</v>
      </c>
      <c r="L38" s="11">
        <v>8.33</v>
      </c>
      <c r="M38" s="13">
        <v>8.33</v>
      </c>
      <c r="N38" s="13">
        <v>8.33</v>
      </c>
      <c r="O38" s="13">
        <v>8.2799999999999994</v>
      </c>
      <c r="P38" s="13">
        <v>8.1300000000000008</v>
      </c>
      <c r="Q38" s="11">
        <v>7.93</v>
      </c>
      <c r="R38" s="11">
        <v>7.73</v>
      </c>
      <c r="S38" s="11">
        <v>7.43</v>
      </c>
      <c r="T38" s="11">
        <v>7.08</v>
      </c>
      <c r="U38" s="11">
        <v>6.68</v>
      </c>
      <c r="V38" s="226">
        <v>6.23</v>
      </c>
      <c r="W38" s="11">
        <v>5.73</v>
      </c>
      <c r="X38" s="14"/>
      <c r="Y38" s="15">
        <v>5.7</v>
      </c>
      <c r="Z38" s="15">
        <v>100</v>
      </c>
      <c r="AA38" s="15">
        <v>100</v>
      </c>
      <c r="AB38" s="15">
        <v>100</v>
      </c>
      <c r="AC38" s="15">
        <v>100</v>
      </c>
      <c r="AD38" s="15">
        <v>100</v>
      </c>
      <c r="AE38" s="15">
        <v>100</v>
      </c>
      <c r="AF38" s="15">
        <v>97</v>
      </c>
      <c r="AG38" s="15">
        <v>93</v>
      </c>
      <c r="AH38" s="15">
        <v>88</v>
      </c>
      <c r="AI38" s="15">
        <v>85</v>
      </c>
      <c r="AJ38" s="15">
        <v>99</v>
      </c>
      <c r="AK38" s="15">
        <v>95</v>
      </c>
      <c r="AL38" s="15">
        <v>90</v>
      </c>
      <c r="AM38" s="15">
        <v>87</v>
      </c>
      <c r="AN38" s="15">
        <v>83</v>
      </c>
      <c r="AO38" s="15">
        <v>78</v>
      </c>
      <c r="AP38" s="15">
        <v>75</v>
      </c>
      <c r="AQ38" s="15">
        <v>70</v>
      </c>
      <c r="AR38" s="15">
        <v>66</v>
      </c>
      <c r="AS38" s="15">
        <v>89.79</v>
      </c>
    </row>
    <row r="39" spans="1:45" ht="16.5" thickBot="1" x14ac:dyDescent="0.3">
      <c r="A39" s="23">
        <v>0.41</v>
      </c>
      <c r="B39" s="11">
        <v>8.01</v>
      </c>
      <c r="C39" s="11">
        <v>8.33</v>
      </c>
      <c r="D39" s="11">
        <v>8.33</v>
      </c>
      <c r="E39" s="11">
        <v>8.33</v>
      </c>
      <c r="F39" s="11">
        <v>8.33</v>
      </c>
      <c r="G39" s="12">
        <v>8.33</v>
      </c>
      <c r="H39" s="11">
        <v>8.33</v>
      </c>
      <c r="I39" s="11">
        <v>8.33</v>
      </c>
      <c r="J39" s="11">
        <v>8.33</v>
      </c>
      <c r="K39" s="11">
        <v>8.33</v>
      </c>
      <c r="L39" s="11">
        <v>8.33</v>
      </c>
      <c r="M39" s="13">
        <v>8.33</v>
      </c>
      <c r="N39" s="13">
        <v>8.33</v>
      </c>
      <c r="O39" s="13">
        <v>8.31</v>
      </c>
      <c r="P39" s="13">
        <v>8.16</v>
      </c>
      <c r="Q39" s="11">
        <v>7.9600000000000009</v>
      </c>
      <c r="R39" s="11">
        <v>7.76</v>
      </c>
      <c r="S39" s="11">
        <v>7.4600000000000009</v>
      </c>
      <c r="T39" s="11">
        <v>7.1099999999999994</v>
      </c>
      <c r="U39" s="11">
        <v>6.71</v>
      </c>
      <c r="V39" s="11">
        <v>6.26</v>
      </c>
      <c r="W39" s="11">
        <v>5.76</v>
      </c>
      <c r="X39" s="14"/>
      <c r="Y39" s="15">
        <v>5.6</v>
      </c>
      <c r="Z39" s="15">
        <v>100</v>
      </c>
      <c r="AA39" s="15">
        <v>100</v>
      </c>
      <c r="AB39" s="15">
        <v>100</v>
      </c>
      <c r="AC39" s="15">
        <v>100</v>
      </c>
      <c r="AD39" s="15">
        <v>100</v>
      </c>
      <c r="AE39" s="15">
        <v>100</v>
      </c>
      <c r="AF39" s="15">
        <v>97</v>
      </c>
      <c r="AG39" s="15">
        <v>93</v>
      </c>
      <c r="AH39" s="15">
        <v>88</v>
      </c>
      <c r="AI39" s="15">
        <v>84</v>
      </c>
      <c r="AJ39" s="15">
        <v>99</v>
      </c>
      <c r="AK39" s="15">
        <v>95</v>
      </c>
      <c r="AL39" s="15">
        <v>90</v>
      </c>
      <c r="AM39" s="15">
        <v>86</v>
      </c>
      <c r="AN39" s="15">
        <v>82</v>
      </c>
      <c r="AO39" s="15">
        <v>78</v>
      </c>
      <c r="AP39" s="15">
        <v>74</v>
      </c>
      <c r="AQ39" s="15">
        <v>69</v>
      </c>
      <c r="AR39" s="15">
        <v>65</v>
      </c>
      <c r="AS39" s="15">
        <v>89.47</v>
      </c>
    </row>
    <row r="40" spans="1:45" ht="16.5" thickBot="1" x14ac:dyDescent="0.3">
      <c r="A40" s="23">
        <v>0.42</v>
      </c>
      <c r="B40" s="11">
        <v>8.0299999999999994</v>
      </c>
      <c r="C40" s="11">
        <v>8.33</v>
      </c>
      <c r="D40" s="11">
        <v>8.33</v>
      </c>
      <c r="E40" s="11">
        <v>8.33</v>
      </c>
      <c r="F40" s="11">
        <v>8.33</v>
      </c>
      <c r="G40" s="12">
        <v>8.33</v>
      </c>
      <c r="H40" s="11">
        <v>8.33</v>
      </c>
      <c r="I40" s="11">
        <v>8.33</v>
      </c>
      <c r="J40" s="11">
        <v>8.33</v>
      </c>
      <c r="K40" s="11">
        <v>8.33</v>
      </c>
      <c r="L40" s="11">
        <v>8.33</v>
      </c>
      <c r="M40" s="13">
        <v>8.33</v>
      </c>
      <c r="N40" s="13">
        <v>8.33</v>
      </c>
      <c r="O40" s="13">
        <v>8.33</v>
      </c>
      <c r="P40" s="13">
        <v>8.18</v>
      </c>
      <c r="Q40" s="11">
        <v>7.98</v>
      </c>
      <c r="R40" s="11">
        <v>7.7799999999999994</v>
      </c>
      <c r="S40" s="11">
        <v>7.48</v>
      </c>
      <c r="T40" s="11">
        <v>7.1300000000000008</v>
      </c>
      <c r="U40" s="11">
        <v>6.73</v>
      </c>
      <c r="V40" s="11">
        <v>6.28</v>
      </c>
      <c r="W40" s="11">
        <v>5.78</v>
      </c>
      <c r="X40" s="14"/>
      <c r="Y40" s="15">
        <v>5.5</v>
      </c>
      <c r="Z40" s="15">
        <v>100</v>
      </c>
      <c r="AA40" s="15">
        <v>100</v>
      </c>
      <c r="AB40" s="15">
        <v>100</v>
      </c>
      <c r="AC40" s="15">
        <v>100</v>
      </c>
      <c r="AD40" s="15">
        <v>100</v>
      </c>
      <c r="AE40" s="15">
        <v>100</v>
      </c>
      <c r="AF40" s="15">
        <v>96</v>
      </c>
      <c r="AG40" s="15">
        <v>92</v>
      </c>
      <c r="AH40" s="15">
        <v>87</v>
      </c>
      <c r="AI40" s="15">
        <v>83</v>
      </c>
      <c r="AJ40" s="15">
        <v>98</v>
      </c>
      <c r="AK40" s="15">
        <v>94</v>
      </c>
      <c r="AL40" s="15">
        <v>89</v>
      </c>
      <c r="AM40" s="15">
        <v>85</v>
      </c>
      <c r="AN40" s="15">
        <v>81</v>
      </c>
      <c r="AO40" s="15">
        <v>77</v>
      </c>
      <c r="AP40" s="15">
        <v>73</v>
      </c>
      <c r="AQ40" s="15">
        <v>68</v>
      </c>
      <c r="AR40" s="15">
        <v>64</v>
      </c>
      <c r="AS40" s="15">
        <v>88.79</v>
      </c>
    </row>
    <row r="41" spans="1:45" ht="16.5" thickBot="1" x14ac:dyDescent="0.3">
      <c r="A41" s="23">
        <v>0.43</v>
      </c>
      <c r="B41" s="11">
        <v>8.0500000000000007</v>
      </c>
      <c r="C41" s="11">
        <v>8.33</v>
      </c>
      <c r="D41" s="11">
        <v>8.33</v>
      </c>
      <c r="E41" s="11">
        <v>8.33</v>
      </c>
      <c r="F41" s="11">
        <v>8.33</v>
      </c>
      <c r="G41" s="12">
        <v>8.33</v>
      </c>
      <c r="H41" s="11">
        <v>8.33</v>
      </c>
      <c r="I41" s="11">
        <v>8.33</v>
      </c>
      <c r="J41" s="11">
        <v>8.33</v>
      </c>
      <c r="K41" s="11">
        <v>8.33</v>
      </c>
      <c r="L41" s="11">
        <v>8.33</v>
      </c>
      <c r="M41" s="13">
        <v>8.33</v>
      </c>
      <c r="N41" s="13">
        <v>8.33</v>
      </c>
      <c r="O41" s="13">
        <v>8.33</v>
      </c>
      <c r="P41" s="13">
        <v>8.1999999999999993</v>
      </c>
      <c r="Q41" s="11">
        <v>8</v>
      </c>
      <c r="R41" s="11">
        <v>7.8000000000000007</v>
      </c>
      <c r="S41" s="11">
        <v>7.5</v>
      </c>
      <c r="T41" s="11">
        <v>7.15</v>
      </c>
      <c r="U41" s="11">
        <v>6.75</v>
      </c>
      <c r="V41" s="11">
        <v>6.3</v>
      </c>
      <c r="W41" s="11">
        <v>5.8</v>
      </c>
      <c r="X41" s="14"/>
      <c r="Y41" s="15">
        <v>5.4</v>
      </c>
      <c r="Z41" s="15">
        <v>100</v>
      </c>
      <c r="AA41" s="15">
        <v>100</v>
      </c>
      <c r="AB41" s="15">
        <v>100</v>
      </c>
      <c r="AC41" s="15">
        <v>100</v>
      </c>
      <c r="AD41" s="15">
        <v>100</v>
      </c>
      <c r="AE41" s="15">
        <v>99</v>
      </c>
      <c r="AF41" s="15">
        <v>95</v>
      </c>
      <c r="AG41" s="15">
        <v>91</v>
      </c>
      <c r="AH41" s="15">
        <v>87</v>
      </c>
      <c r="AI41" s="15">
        <v>82</v>
      </c>
      <c r="AJ41" s="15">
        <v>97</v>
      </c>
      <c r="AK41" s="15">
        <v>93</v>
      </c>
      <c r="AL41" s="15">
        <v>88</v>
      </c>
      <c r="AM41" s="15">
        <v>84</v>
      </c>
      <c r="AN41" s="15">
        <v>80</v>
      </c>
      <c r="AO41" s="15">
        <v>76</v>
      </c>
      <c r="AP41" s="15">
        <v>72</v>
      </c>
      <c r="AQ41" s="15">
        <v>67</v>
      </c>
      <c r="AR41" s="15">
        <v>63</v>
      </c>
      <c r="AS41" s="15">
        <v>88.11</v>
      </c>
    </row>
    <row r="42" spans="1:45" ht="16.5" thickBot="1" x14ac:dyDescent="0.3">
      <c r="A42" s="23">
        <v>0.44</v>
      </c>
      <c r="B42" s="11">
        <v>8.08</v>
      </c>
      <c r="C42" s="11">
        <v>8.33</v>
      </c>
      <c r="D42" s="11">
        <v>8.33</v>
      </c>
      <c r="E42" s="11">
        <v>8.33</v>
      </c>
      <c r="F42" s="11">
        <v>8.33</v>
      </c>
      <c r="G42" s="12">
        <v>8.33</v>
      </c>
      <c r="H42" s="11">
        <v>8.33</v>
      </c>
      <c r="I42" s="11">
        <v>8.33</v>
      </c>
      <c r="J42" s="11">
        <v>8.33</v>
      </c>
      <c r="K42" s="11">
        <v>8.33</v>
      </c>
      <c r="L42" s="11">
        <v>8.33</v>
      </c>
      <c r="M42" s="13">
        <v>8.33</v>
      </c>
      <c r="N42" s="13">
        <v>8.33</v>
      </c>
      <c r="O42" s="13">
        <v>8.33</v>
      </c>
      <c r="P42" s="13">
        <v>8.23</v>
      </c>
      <c r="Q42" s="11">
        <v>8.0299999999999994</v>
      </c>
      <c r="R42" s="11">
        <v>7.83</v>
      </c>
      <c r="S42" s="11">
        <v>7.5299999999999994</v>
      </c>
      <c r="T42" s="11">
        <v>7.18</v>
      </c>
      <c r="U42" s="11">
        <v>6.78</v>
      </c>
      <c r="V42" s="11">
        <v>6.33</v>
      </c>
      <c r="W42" s="11">
        <v>5.83</v>
      </c>
      <c r="X42" s="14"/>
      <c r="Y42" s="15">
        <v>5.3</v>
      </c>
      <c r="Z42" s="15">
        <v>100</v>
      </c>
      <c r="AA42" s="15">
        <v>100</v>
      </c>
      <c r="AB42" s="15">
        <v>100</v>
      </c>
      <c r="AC42" s="15">
        <v>100</v>
      </c>
      <c r="AD42" s="15">
        <v>100</v>
      </c>
      <c r="AE42" s="15">
        <v>99</v>
      </c>
      <c r="AF42" s="15">
        <v>95</v>
      </c>
      <c r="AG42" s="15">
        <v>91</v>
      </c>
      <c r="AH42" s="15">
        <v>86</v>
      </c>
      <c r="AI42" s="15">
        <v>82</v>
      </c>
      <c r="AJ42" s="15">
        <v>97</v>
      </c>
      <c r="AK42" s="15">
        <v>92</v>
      </c>
      <c r="AL42" s="15">
        <v>88</v>
      </c>
      <c r="AM42" s="15">
        <v>84</v>
      </c>
      <c r="AN42" s="15">
        <v>80</v>
      </c>
      <c r="AO42" s="15">
        <v>75</v>
      </c>
      <c r="AP42" s="15">
        <v>71</v>
      </c>
      <c r="AQ42" s="15">
        <v>67</v>
      </c>
      <c r="AR42" s="15">
        <v>62</v>
      </c>
      <c r="AS42" s="15">
        <v>87.84</v>
      </c>
    </row>
    <row r="43" spans="1:45" ht="16.5" thickBot="1" x14ac:dyDescent="0.3">
      <c r="A43" s="23">
        <v>0.45</v>
      </c>
      <c r="B43" s="11">
        <v>8.1</v>
      </c>
      <c r="C43" s="11">
        <v>8.33</v>
      </c>
      <c r="D43" s="11">
        <v>8.33</v>
      </c>
      <c r="E43" s="11">
        <v>8.33</v>
      </c>
      <c r="F43" s="11">
        <v>8.33</v>
      </c>
      <c r="G43" s="12">
        <v>8.33</v>
      </c>
      <c r="H43" s="11">
        <v>8.33</v>
      </c>
      <c r="I43" s="11">
        <v>8.33</v>
      </c>
      <c r="J43" s="11">
        <v>8.33</v>
      </c>
      <c r="K43" s="11">
        <v>8.33</v>
      </c>
      <c r="L43" s="11">
        <v>8.33</v>
      </c>
      <c r="M43" s="13">
        <v>8.33</v>
      </c>
      <c r="N43" s="13">
        <v>8.33</v>
      </c>
      <c r="O43" s="13">
        <v>8.33</v>
      </c>
      <c r="P43" s="13">
        <v>8.25</v>
      </c>
      <c r="Q43" s="11">
        <v>8.0500000000000007</v>
      </c>
      <c r="R43" s="11">
        <v>7.85</v>
      </c>
      <c r="S43" s="11">
        <v>7.5500000000000007</v>
      </c>
      <c r="T43" s="11">
        <v>7.1999999999999993</v>
      </c>
      <c r="U43" s="11">
        <v>6.8</v>
      </c>
      <c r="V43" s="11">
        <v>6.35</v>
      </c>
      <c r="W43" s="11">
        <v>5.85</v>
      </c>
      <c r="X43" s="14"/>
      <c r="Y43" s="15">
        <v>5.2</v>
      </c>
      <c r="Z43" s="15">
        <v>100</v>
      </c>
      <c r="AA43" s="15">
        <v>100</v>
      </c>
      <c r="AB43" s="15">
        <v>100</v>
      </c>
      <c r="AC43" s="15">
        <v>100</v>
      </c>
      <c r="AD43" s="15">
        <v>100</v>
      </c>
      <c r="AE43" s="15">
        <v>99</v>
      </c>
      <c r="AF43" s="15">
        <v>94</v>
      </c>
      <c r="AG43" s="15">
        <v>90</v>
      </c>
      <c r="AH43" s="15">
        <v>86</v>
      </c>
      <c r="AI43" s="15">
        <v>81</v>
      </c>
      <c r="AJ43" s="15">
        <v>96</v>
      </c>
      <c r="AK43" s="15">
        <v>91</v>
      </c>
      <c r="AL43" s="15">
        <v>87</v>
      </c>
      <c r="AM43" s="15">
        <v>83</v>
      </c>
      <c r="AN43" s="15">
        <v>78</v>
      </c>
      <c r="AO43" s="15">
        <v>74</v>
      </c>
      <c r="AP43" s="15">
        <v>70</v>
      </c>
      <c r="AQ43" s="15">
        <v>66</v>
      </c>
      <c r="AR43" s="15">
        <v>61</v>
      </c>
      <c r="AS43" s="15">
        <v>87.16</v>
      </c>
    </row>
    <row r="44" spans="1:45" ht="16.5" thickBot="1" x14ac:dyDescent="0.3">
      <c r="A44" s="23">
        <v>0.46</v>
      </c>
      <c r="B44" s="11">
        <v>8.11</v>
      </c>
      <c r="C44" s="11">
        <v>8.33</v>
      </c>
      <c r="D44" s="11">
        <v>8.33</v>
      </c>
      <c r="E44" s="11">
        <v>8.33</v>
      </c>
      <c r="F44" s="11">
        <v>8.33</v>
      </c>
      <c r="G44" s="12">
        <v>8.33</v>
      </c>
      <c r="H44" s="11">
        <v>8.33</v>
      </c>
      <c r="I44" s="11">
        <v>8.33</v>
      </c>
      <c r="J44" s="11">
        <v>8.33</v>
      </c>
      <c r="K44" s="11">
        <v>8.33</v>
      </c>
      <c r="L44" s="11">
        <v>8.33</v>
      </c>
      <c r="M44" s="13">
        <v>8.33</v>
      </c>
      <c r="N44" s="13">
        <v>8.33</v>
      </c>
      <c r="O44" s="13">
        <v>8.33</v>
      </c>
      <c r="P44" s="13">
        <v>8.26</v>
      </c>
      <c r="Q44" s="11">
        <v>8.06</v>
      </c>
      <c r="R44" s="11">
        <v>7.8599999999999994</v>
      </c>
      <c r="S44" s="11">
        <v>7.5600000000000005</v>
      </c>
      <c r="T44" s="11">
        <v>7.2100000000000009</v>
      </c>
      <c r="U44" s="11">
        <v>6.81</v>
      </c>
      <c r="V44" s="11">
        <v>6.36</v>
      </c>
      <c r="W44" s="11">
        <v>5.86</v>
      </c>
      <c r="X44" s="14"/>
      <c r="Y44" s="15">
        <v>5.0999999999999996</v>
      </c>
      <c r="Z44" s="15">
        <v>100</v>
      </c>
      <c r="AA44" s="15">
        <v>100</v>
      </c>
      <c r="AB44" s="15">
        <v>100</v>
      </c>
      <c r="AC44" s="15">
        <v>100</v>
      </c>
      <c r="AD44" s="15">
        <v>100</v>
      </c>
      <c r="AE44" s="15">
        <v>98</v>
      </c>
      <c r="AF44" s="15">
        <v>94</v>
      </c>
      <c r="AG44" s="15">
        <v>89</v>
      </c>
      <c r="AH44" s="15">
        <v>85</v>
      </c>
      <c r="AI44" s="15">
        <v>81</v>
      </c>
      <c r="AJ44" s="15">
        <v>95</v>
      </c>
      <c r="AK44" s="15">
        <v>91</v>
      </c>
      <c r="AL44" s="15">
        <v>86</v>
      </c>
      <c r="AM44" s="15">
        <v>82</v>
      </c>
      <c r="AN44" s="15">
        <v>78</v>
      </c>
      <c r="AO44" s="15">
        <v>73</v>
      </c>
      <c r="AP44" s="15">
        <v>69</v>
      </c>
      <c r="AQ44" s="15">
        <v>64</v>
      </c>
      <c r="AR44" s="15">
        <v>60</v>
      </c>
      <c r="AS44" s="15">
        <v>86.58</v>
      </c>
    </row>
    <row r="45" spans="1:45" ht="16.5" thickBot="1" x14ac:dyDescent="0.3">
      <c r="A45" s="23">
        <v>0.47</v>
      </c>
      <c r="B45" s="11">
        <v>8.1300000000000008</v>
      </c>
      <c r="C45" s="11">
        <v>8.33</v>
      </c>
      <c r="D45" s="11">
        <v>8.33</v>
      </c>
      <c r="E45" s="11">
        <v>8.33</v>
      </c>
      <c r="F45" s="11">
        <v>8.33</v>
      </c>
      <c r="G45" s="12">
        <v>8.33</v>
      </c>
      <c r="H45" s="11">
        <v>8.33</v>
      </c>
      <c r="I45" s="11">
        <v>8.33</v>
      </c>
      <c r="J45" s="11">
        <v>8.33</v>
      </c>
      <c r="K45" s="11">
        <v>8.33</v>
      </c>
      <c r="L45" s="11">
        <v>8.33</v>
      </c>
      <c r="M45" s="13">
        <v>8.33</v>
      </c>
      <c r="N45" s="13">
        <v>8.33</v>
      </c>
      <c r="O45" s="13">
        <v>8.33</v>
      </c>
      <c r="P45" s="13">
        <v>8.2799999999999994</v>
      </c>
      <c r="Q45" s="11">
        <v>8.08</v>
      </c>
      <c r="R45" s="11">
        <v>7.8800000000000008</v>
      </c>
      <c r="S45" s="11">
        <v>7.58</v>
      </c>
      <c r="T45" s="11">
        <v>7.23</v>
      </c>
      <c r="U45" s="11">
        <v>6.83</v>
      </c>
      <c r="V45" s="11">
        <v>6.38</v>
      </c>
      <c r="W45" s="11">
        <v>5.88</v>
      </c>
      <c r="X45" s="14"/>
      <c r="Y45" s="15">
        <v>5</v>
      </c>
      <c r="Z45" s="15">
        <v>100</v>
      </c>
      <c r="AA45" s="15">
        <v>100</v>
      </c>
      <c r="AB45" s="15">
        <v>100</v>
      </c>
      <c r="AC45" s="15">
        <v>100</v>
      </c>
      <c r="AD45" s="15">
        <v>100</v>
      </c>
      <c r="AE45" s="15">
        <v>97</v>
      </c>
      <c r="AF45" s="15">
        <v>93</v>
      </c>
      <c r="AG45" s="15">
        <v>89</v>
      </c>
      <c r="AH45" s="15">
        <v>84</v>
      </c>
      <c r="AI45" s="15">
        <v>80</v>
      </c>
      <c r="AJ45" s="15">
        <v>95</v>
      </c>
      <c r="AK45" s="15">
        <v>90</v>
      </c>
      <c r="AL45" s="15">
        <v>85</v>
      </c>
      <c r="AM45" s="15">
        <v>81</v>
      </c>
      <c r="AN45" s="15">
        <v>77</v>
      </c>
      <c r="AO45" s="15">
        <v>72</v>
      </c>
      <c r="AP45" s="15">
        <v>68</v>
      </c>
      <c r="AQ45" s="15">
        <v>63</v>
      </c>
      <c r="AR45" s="15">
        <v>59</v>
      </c>
      <c r="AS45" s="15">
        <v>85.95</v>
      </c>
    </row>
    <row r="46" spans="1:45" x14ac:dyDescent="0.25">
      <c r="A46" s="23">
        <v>0.48</v>
      </c>
      <c r="B46" s="11">
        <v>8.15</v>
      </c>
      <c r="C46" s="11">
        <v>8.33</v>
      </c>
      <c r="D46" s="11">
        <v>8.33</v>
      </c>
      <c r="E46" s="11">
        <v>8.33</v>
      </c>
      <c r="F46" s="11">
        <v>8.33</v>
      </c>
      <c r="G46" s="12">
        <v>8.33</v>
      </c>
      <c r="H46" s="11">
        <v>8.33</v>
      </c>
      <c r="I46" s="11">
        <v>8.33</v>
      </c>
      <c r="J46" s="11">
        <v>8.33</v>
      </c>
      <c r="K46" s="11">
        <v>8.33</v>
      </c>
      <c r="L46" s="11">
        <v>8.33</v>
      </c>
      <c r="M46" s="13">
        <v>8.33</v>
      </c>
      <c r="N46" s="13">
        <v>8.33</v>
      </c>
      <c r="O46" s="13">
        <v>8.33</v>
      </c>
      <c r="P46" s="13">
        <v>8.3000000000000007</v>
      </c>
      <c r="Q46" s="11">
        <v>8.1</v>
      </c>
      <c r="R46" s="11">
        <v>7.9</v>
      </c>
      <c r="S46" s="11">
        <v>7.6</v>
      </c>
      <c r="T46" s="11">
        <v>7.25</v>
      </c>
      <c r="U46" s="11">
        <v>6.85</v>
      </c>
      <c r="V46" s="11">
        <v>6.4</v>
      </c>
      <c r="W46" s="11">
        <v>5.9</v>
      </c>
      <c r="X46" s="14"/>
    </row>
    <row r="47" spans="1:45" x14ac:dyDescent="0.25">
      <c r="A47" s="23">
        <v>0.49</v>
      </c>
      <c r="B47" s="11">
        <v>8.16</v>
      </c>
      <c r="C47" s="11">
        <v>8.33</v>
      </c>
      <c r="D47" s="11">
        <v>8.33</v>
      </c>
      <c r="E47" s="11">
        <v>8.33</v>
      </c>
      <c r="F47" s="11">
        <v>8.33</v>
      </c>
      <c r="G47" s="12">
        <v>8.33</v>
      </c>
      <c r="H47" s="11">
        <v>8.33</v>
      </c>
      <c r="I47" s="11">
        <v>8.33</v>
      </c>
      <c r="J47" s="11">
        <v>8.33</v>
      </c>
      <c r="K47" s="11">
        <v>8.33</v>
      </c>
      <c r="L47" s="11">
        <v>8.33</v>
      </c>
      <c r="M47" s="13">
        <v>8.33</v>
      </c>
      <c r="N47" s="13">
        <v>8.33</v>
      </c>
      <c r="O47" s="13">
        <v>8.33</v>
      </c>
      <c r="P47" s="13">
        <v>8.31</v>
      </c>
      <c r="Q47" s="11">
        <v>8.11</v>
      </c>
      <c r="R47" s="11">
        <v>7.91</v>
      </c>
      <c r="S47" s="11">
        <v>7.6099999999999994</v>
      </c>
      <c r="T47" s="11">
        <v>7.26</v>
      </c>
      <c r="U47" s="11">
        <v>6.86</v>
      </c>
      <c r="V47" s="11">
        <v>6.41</v>
      </c>
      <c r="W47" s="11">
        <v>5.91</v>
      </c>
      <c r="X47" s="14"/>
    </row>
    <row r="48" spans="1:45" x14ac:dyDescent="0.25">
      <c r="A48" s="23">
        <v>0.5</v>
      </c>
      <c r="B48" s="11">
        <v>8.18</v>
      </c>
      <c r="C48" s="11">
        <v>8.33</v>
      </c>
      <c r="D48" s="11">
        <v>8.33</v>
      </c>
      <c r="E48" s="11">
        <v>8.33</v>
      </c>
      <c r="F48" s="11">
        <v>8.33</v>
      </c>
      <c r="G48" s="12">
        <v>8.33</v>
      </c>
      <c r="H48" s="11">
        <v>8.33</v>
      </c>
      <c r="I48" s="11">
        <v>8.33</v>
      </c>
      <c r="J48" s="11">
        <v>8.33</v>
      </c>
      <c r="K48" s="11">
        <v>8.33</v>
      </c>
      <c r="L48" s="11">
        <v>8.33</v>
      </c>
      <c r="M48" s="13">
        <v>8.33</v>
      </c>
      <c r="N48" s="13">
        <v>8.33</v>
      </c>
      <c r="O48" s="13">
        <v>8.33</v>
      </c>
      <c r="P48" s="13">
        <v>8.33</v>
      </c>
      <c r="Q48" s="11">
        <v>8.1300000000000008</v>
      </c>
      <c r="R48" s="11">
        <v>7.93</v>
      </c>
      <c r="S48" s="11">
        <v>7.63</v>
      </c>
      <c r="T48" s="11">
        <v>7.2799999999999994</v>
      </c>
      <c r="U48" s="11">
        <v>6.88</v>
      </c>
      <c r="V48" s="11">
        <v>6.43</v>
      </c>
      <c r="W48" s="11">
        <v>5.93</v>
      </c>
      <c r="X48" s="14"/>
    </row>
    <row r="49" spans="1:24" x14ac:dyDescent="0.25">
      <c r="A49" s="24"/>
      <c r="B49" s="24"/>
      <c r="C49" s="24"/>
      <c r="D49" s="24"/>
      <c r="E49" s="24"/>
      <c r="F49" s="24"/>
    </row>
    <row r="50" spans="1:24" x14ac:dyDescent="0.25">
      <c r="A50" s="1" t="s">
        <v>6</v>
      </c>
      <c r="B50" s="24"/>
      <c r="C50" s="24"/>
      <c r="D50" s="24"/>
      <c r="E50" s="24"/>
      <c r="F50" s="24"/>
      <c r="G50" s="24"/>
      <c r="I50" s="24"/>
      <c r="J50" s="24"/>
      <c r="K50" s="24"/>
      <c r="L50" s="24"/>
      <c r="M50" s="24"/>
      <c r="N50" s="24"/>
      <c r="O50" s="24"/>
      <c r="P50" s="24"/>
      <c r="Q50" s="24"/>
      <c r="R50" s="24"/>
      <c r="S50" s="24"/>
      <c r="T50" s="24"/>
      <c r="U50" s="24"/>
      <c r="V50" s="24"/>
      <c r="W50" s="24"/>
      <c r="X50" s="27"/>
    </row>
    <row r="51" spans="1:24" x14ac:dyDescent="0.25">
      <c r="A51" s="1" t="s">
        <v>7</v>
      </c>
      <c r="B51" s="24"/>
      <c r="C51" s="24"/>
      <c r="D51" s="24"/>
      <c r="E51" s="24"/>
      <c r="F51" s="24"/>
      <c r="G51" s="24"/>
      <c r="I51" s="24"/>
      <c r="J51" s="24"/>
      <c r="K51" s="24"/>
      <c r="L51" s="24"/>
      <c r="M51" s="24"/>
      <c r="N51" s="24"/>
      <c r="O51" s="24"/>
      <c r="P51" s="24"/>
      <c r="Q51" s="24"/>
      <c r="R51" s="24"/>
      <c r="S51" s="24"/>
      <c r="T51" s="24"/>
      <c r="U51" s="24"/>
      <c r="V51" s="24"/>
      <c r="W51" s="24"/>
      <c r="X51" s="27"/>
    </row>
    <row r="52" spans="1:24" x14ac:dyDescent="0.25">
      <c r="A52" s="1" t="s">
        <v>8</v>
      </c>
      <c r="B52" s="24"/>
      <c r="C52" s="24"/>
      <c r="D52" s="24"/>
      <c r="E52" s="24"/>
      <c r="F52" s="24"/>
      <c r="G52" s="24"/>
      <c r="I52" s="24"/>
      <c r="J52" s="24"/>
      <c r="K52" s="24"/>
      <c r="L52" s="24"/>
      <c r="M52" s="24"/>
      <c r="N52" s="24"/>
      <c r="O52" s="24"/>
      <c r="P52" s="24"/>
      <c r="Q52" s="24"/>
      <c r="R52" s="24"/>
      <c r="S52" s="24"/>
      <c r="T52" s="24"/>
      <c r="U52" s="24"/>
      <c r="V52" s="24"/>
      <c r="W52" s="24"/>
      <c r="X52" s="27"/>
    </row>
    <row r="53" spans="1:24" x14ac:dyDescent="0.25">
      <c r="A53" s="24"/>
      <c r="B53" s="24"/>
      <c r="C53" s="24"/>
      <c r="D53" s="24"/>
      <c r="E53" s="24"/>
      <c r="F53" s="24"/>
      <c r="G53" s="24"/>
      <c r="I53" s="24"/>
      <c r="J53" s="24"/>
      <c r="K53" s="24"/>
      <c r="L53" s="24"/>
      <c r="M53" s="24"/>
      <c r="N53" s="24"/>
      <c r="O53" s="24"/>
      <c r="P53" s="24"/>
      <c r="Q53" s="24"/>
      <c r="R53" s="24"/>
      <c r="S53" s="24"/>
      <c r="T53" s="24"/>
      <c r="U53" s="24"/>
      <c r="V53" s="24"/>
      <c r="W53" s="24"/>
      <c r="X53" s="27"/>
    </row>
    <row r="54" spans="1:24" x14ac:dyDescent="0.25">
      <c r="A54" s="24"/>
      <c r="B54" s="24"/>
      <c r="C54" s="24"/>
      <c r="D54" s="24"/>
      <c r="E54" s="24"/>
      <c r="F54" s="24"/>
      <c r="G54" s="24"/>
      <c r="I54" s="24"/>
      <c r="J54" s="24"/>
      <c r="K54" s="24"/>
      <c r="L54" s="24"/>
      <c r="M54" s="24"/>
      <c r="N54" s="24"/>
      <c r="O54" s="24"/>
      <c r="P54" s="24"/>
      <c r="Q54" s="24"/>
      <c r="R54" s="24"/>
      <c r="S54" s="24"/>
      <c r="T54" s="24"/>
      <c r="U54" s="24"/>
      <c r="V54" s="24"/>
      <c r="W54" s="24"/>
      <c r="X54" s="27"/>
    </row>
    <row r="55" spans="1:24" x14ac:dyDescent="0.25">
      <c r="A55" s="24"/>
      <c r="B55" s="24"/>
      <c r="C55" s="24"/>
      <c r="D55" s="24"/>
      <c r="E55" s="24"/>
      <c r="F55" s="24"/>
      <c r="G55" s="24"/>
      <c r="I55" s="24"/>
      <c r="J55" s="24"/>
      <c r="K55" s="24"/>
      <c r="L55" s="24"/>
      <c r="M55" s="24"/>
      <c r="N55" s="24"/>
      <c r="O55" s="24"/>
      <c r="P55" s="24"/>
      <c r="Q55" s="24"/>
      <c r="R55" s="24"/>
      <c r="S55" s="24"/>
      <c r="T55" s="24"/>
      <c r="U55" s="24"/>
      <c r="V55" s="24"/>
      <c r="W55" s="24"/>
      <c r="X55" s="27"/>
    </row>
    <row r="56" spans="1:24" x14ac:dyDescent="0.25">
      <c r="A56" s="28" t="s">
        <v>9</v>
      </c>
      <c r="B56" s="24"/>
      <c r="C56" s="24"/>
      <c r="D56" s="24"/>
      <c r="E56" s="24"/>
      <c r="F56" s="24"/>
    </row>
    <row r="57" spans="1:24" x14ac:dyDescent="0.25">
      <c r="A57" s="24"/>
      <c r="B57" s="24"/>
      <c r="C57" s="24"/>
      <c r="D57" s="24"/>
      <c r="E57" s="24"/>
      <c r="F57" s="24"/>
    </row>
    <row r="58" spans="1:24" x14ac:dyDescent="0.25">
      <c r="A58" s="29" t="s">
        <v>10</v>
      </c>
      <c r="B58" s="29" t="s">
        <v>11</v>
      </c>
      <c r="C58" s="29" t="s">
        <v>12</v>
      </c>
      <c r="D58" s="29" t="s">
        <v>13</v>
      </c>
      <c r="E58" s="29" t="s">
        <v>14</v>
      </c>
      <c r="F58" s="29" t="s">
        <v>15</v>
      </c>
      <c r="H58" s="25" t="s">
        <v>16</v>
      </c>
    </row>
    <row r="59" spans="1:24" ht="23.25" x14ac:dyDescent="0.25">
      <c r="A59" s="30">
        <v>17</v>
      </c>
      <c r="B59" s="231" t="s">
        <v>17</v>
      </c>
      <c r="C59" s="31" t="s">
        <v>18</v>
      </c>
      <c r="D59" s="232" t="s">
        <v>19</v>
      </c>
      <c r="E59" s="232" t="s">
        <v>19</v>
      </c>
      <c r="F59" s="32" t="s">
        <v>20</v>
      </c>
      <c r="H59" s="33" t="s">
        <v>21</v>
      </c>
    </row>
    <row r="60" spans="1:24" ht="23.25" x14ac:dyDescent="0.25">
      <c r="A60" s="34">
        <v>18</v>
      </c>
      <c r="B60" s="231"/>
      <c r="C60" s="31" t="s">
        <v>22</v>
      </c>
      <c r="D60" s="232"/>
      <c r="E60" s="232"/>
      <c r="F60" s="32" t="s">
        <v>23</v>
      </c>
      <c r="H60" s="25" t="s">
        <v>24</v>
      </c>
    </row>
    <row r="61" spans="1:24" x14ac:dyDescent="0.25">
      <c r="A61" s="30">
        <v>19</v>
      </c>
      <c r="B61" s="231"/>
      <c r="C61" s="35"/>
      <c r="D61" s="232"/>
      <c r="E61" s="232"/>
      <c r="F61" s="36"/>
      <c r="H61" s="25" t="s">
        <v>25</v>
      </c>
      <c r="I61" s="24"/>
    </row>
    <row r="62" spans="1:24" x14ac:dyDescent="0.25">
      <c r="A62" s="34">
        <v>20</v>
      </c>
      <c r="B62" s="231"/>
      <c r="C62" s="32" t="s">
        <v>19</v>
      </c>
      <c r="D62" s="233" t="s">
        <v>20</v>
      </c>
      <c r="E62" s="32" t="s">
        <v>20</v>
      </c>
      <c r="F62" s="36"/>
      <c r="H62" s="25" t="s">
        <v>26</v>
      </c>
    </row>
    <row r="63" spans="1:24" ht="23.25" x14ac:dyDescent="0.25">
      <c r="A63" s="30">
        <v>21</v>
      </c>
      <c r="B63" s="234" t="s">
        <v>18</v>
      </c>
      <c r="C63" s="32" t="s">
        <v>27</v>
      </c>
      <c r="D63" s="233"/>
      <c r="E63" s="32" t="s">
        <v>23</v>
      </c>
      <c r="F63" s="36"/>
      <c r="H63" s="25" t="s">
        <v>28</v>
      </c>
    </row>
    <row r="64" spans="1:24" x14ac:dyDescent="0.25">
      <c r="A64" s="34">
        <v>22</v>
      </c>
      <c r="B64" s="234"/>
      <c r="C64" s="36"/>
      <c r="D64" s="233"/>
      <c r="E64" s="36"/>
      <c r="F64" s="36"/>
      <c r="H64" s="25" t="s">
        <v>29</v>
      </c>
    </row>
    <row r="65" spans="1:8" x14ac:dyDescent="0.25">
      <c r="A65" s="30">
        <v>23</v>
      </c>
      <c r="B65" s="234"/>
      <c r="C65" s="36"/>
      <c r="D65" s="233"/>
      <c r="E65" s="36"/>
      <c r="F65" s="36"/>
    </row>
    <row r="66" spans="1:8" x14ac:dyDescent="0.25">
      <c r="A66" s="34">
        <v>24</v>
      </c>
      <c r="B66" s="234"/>
      <c r="C66" s="36"/>
      <c r="D66" s="233"/>
      <c r="E66" s="36"/>
      <c r="F66" s="36"/>
      <c r="H66" s="25" t="s">
        <v>30</v>
      </c>
    </row>
    <row r="67" spans="1:8" x14ac:dyDescent="0.25">
      <c r="A67" s="30">
        <v>25</v>
      </c>
      <c r="B67" s="234"/>
      <c r="C67" s="36"/>
      <c r="D67" s="232" t="s">
        <v>19</v>
      </c>
      <c r="E67" s="36"/>
      <c r="F67" s="36"/>
      <c r="H67" s="25" t="s">
        <v>31</v>
      </c>
    </row>
    <row r="68" spans="1:8" x14ac:dyDescent="0.25">
      <c r="A68" s="34">
        <v>26</v>
      </c>
      <c r="B68" s="234"/>
      <c r="C68" s="232" t="s">
        <v>19</v>
      </c>
      <c r="D68" s="232"/>
      <c r="E68" s="36"/>
      <c r="F68" s="36"/>
    </row>
    <row r="69" spans="1:8" x14ac:dyDescent="0.25">
      <c r="A69" s="30">
        <v>27</v>
      </c>
      <c r="B69" s="231" t="s">
        <v>17</v>
      </c>
      <c r="C69" s="232"/>
      <c r="D69" s="232"/>
      <c r="E69" s="36"/>
      <c r="F69" s="36"/>
    </row>
    <row r="70" spans="1:8" x14ac:dyDescent="0.25">
      <c r="A70" s="34">
        <v>28</v>
      </c>
      <c r="B70" s="231"/>
      <c r="C70" s="234" t="s">
        <v>18</v>
      </c>
      <c r="D70" s="232"/>
      <c r="E70" s="36"/>
      <c r="F70" s="36"/>
      <c r="H70" s="25" t="s">
        <v>32</v>
      </c>
    </row>
    <row r="71" spans="1:8" x14ac:dyDescent="0.25">
      <c r="A71" s="30">
        <v>29</v>
      </c>
      <c r="B71" s="231"/>
      <c r="C71" s="234"/>
      <c r="D71" s="232"/>
      <c r="E71" s="36"/>
      <c r="F71" s="36"/>
    </row>
    <row r="72" spans="1:8" x14ac:dyDescent="0.25">
      <c r="A72" s="34">
        <v>30</v>
      </c>
      <c r="B72" s="231"/>
      <c r="C72" s="234"/>
      <c r="D72" s="234" t="s">
        <v>18</v>
      </c>
      <c r="E72" s="36"/>
      <c r="F72" s="36"/>
      <c r="H72" s="25" t="s">
        <v>33</v>
      </c>
    </row>
    <row r="73" spans="1:8" x14ac:dyDescent="0.25">
      <c r="A73" s="30">
        <v>31</v>
      </c>
      <c r="B73" s="231"/>
      <c r="C73" s="234"/>
      <c r="D73" s="234"/>
      <c r="E73" s="32" t="s">
        <v>19</v>
      </c>
      <c r="F73" s="36"/>
    </row>
    <row r="74" spans="1:8" x14ac:dyDescent="0.25">
      <c r="A74" s="34">
        <v>32</v>
      </c>
      <c r="B74" s="231"/>
      <c r="C74" s="234"/>
      <c r="D74" s="234"/>
      <c r="E74" s="32" t="s">
        <v>27</v>
      </c>
      <c r="F74" s="36"/>
      <c r="H74" s="25" t="s">
        <v>34</v>
      </c>
    </row>
    <row r="75" spans="1:8" ht="23.25" x14ac:dyDescent="0.25">
      <c r="A75" s="30">
        <v>33</v>
      </c>
      <c r="B75" s="231"/>
      <c r="C75" s="231" t="s">
        <v>17</v>
      </c>
      <c r="D75" s="234"/>
      <c r="E75" s="31" t="s">
        <v>18</v>
      </c>
      <c r="F75" s="31" t="s">
        <v>18</v>
      </c>
    </row>
    <row r="76" spans="1:8" x14ac:dyDescent="0.25">
      <c r="A76" s="34">
        <v>34</v>
      </c>
      <c r="B76" s="235" t="s">
        <v>35</v>
      </c>
      <c r="C76" s="231"/>
      <c r="D76" s="234"/>
      <c r="E76" s="31" t="s">
        <v>22</v>
      </c>
      <c r="F76" s="31" t="s">
        <v>22</v>
      </c>
      <c r="H76" s="25" t="s">
        <v>36</v>
      </c>
    </row>
    <row r="77" spans="1:8" x14ac:dyDescent="0.25">
      <c r="A77" s="30">
        <v>35</v>
      </c>
      <c r="B77" s="235"/>
      <c r="C77" s="235" t="s">
        <v>35</v>
      </c>
      <c r="D77" s="231" t="s">
        <v>17</v>
      </c>
      <c r="E77" s="231" t="s">
        <v>17</v>
      </c>
      <c r="F77" s="35"/>
    </row>
    <row r="78" spans="1:8" ht="23.25" x14ac:dyDescent="0.25">
      <c r="A78" s="34">
        <v>36</v>
      </c>
      <c r="B78" s="235"/>
      <c r="C78" s="235"/>
      <c r="D78" s="231"/>
      <c r="E78" s="231"/>
      <c r="F78" s="37" t="s">
        <v>17</v>
      </c>
      <c r="H78" s="25" t="s">
        <v>37</v>
      </c>
    </row>
    <row r="79" spans="1:8" x14ac:dyDescent="0.25">
      <c r="A79" s="230" t="s">
        <v>38</v>
      </c>
      <c r="B79" s="230"/>
      <c r="C79" s="230"/>
      <c r="D79" s="230"/>
      <c r="E79" s="230"/>
      <c r="F79" s="230"/>
    </row>
    <row r="80" spans="1:8" x14ac:dyDescent="0.25">
      <c r="A80" s="24"/>
      <c r="B80" s="24"/>
      <c r="C80" s="24"/>
      <c r="D80" s="24"/>
      <c r="E80" s="24"/>
      <c r="F80" s="24"/>
      <c r="H80" s="25" t="s">
        <v>39</v>
      </c>
    </row>
    <row r="81" spans="1:24" x14ac:dyDescent="0.25">
      <c r="A81" s="24"/>
      <c r="B81" s="24"/>
      <c r="C81" s="24"/>
      <c r="D81" s="24"/>
      <c r="E81" s="24"/>
      <c r="F81" s="24"/>
    </row>
    <row r="82" spans="1:24" x14ac:dyDescent="0.25">
      <c r="A82" s="24"/>
      <c r="B82" s="24"/>
      <c r="C82" s="24"/>
      <c r="D82" s="24"/>
      <c r="E82" s="24"/>
      <c r="F82" s="24"/>
      <c r="H82" s="25" t="s">
        <v>40</v>
      </c>
    </row>
    <row r="83" spans="1:24" x14ac:dyDescent="0.25">
      <c r="A83" s="24"/>
      <c r="B83" s="24"/>
      <c r="C83" s="24"/>
      <c r="D83" s="24"/>
      <c r="E83" s="24"/>
      <c r="F83" s="24"/>
    </row>
    <row r="84" spans="1:24" x14ac:dyDescent="0.25">
      <c r="A84" t="s">
        <v>41</v>
      </c>
      <c r="B84" s="24"/>
      <c r="C84" s="24"/>
      <c r="D84" s="24"/>
      <c r="E84" s="24"/>
      <c r="F84" s="24"/>
    </row>
    <row r="85" spans="1:24" x14ac:dyDescent="0.25">
      <c r="A85" t="s">
        <v>42</v>
      </c>
      <c r="B85" s="24"/>
      <c r="C85" s="24"/>
      <c r="D85" s="24"/>
      <c r="E85" s="24"/>
      <c r="F85" s="24"/>
    </row>
    <row r="86" spans="1:24" x14ac:dyDescent="0.25">
      <c r="A86" s="24" t="s">
        <v>43</v>
      </c>
      <c r="B86" s="24"/>
      <c r="C86" s="24"/>
      <c r="D86" s="24"/>
      <c r="E86" s="24"/>
      <c r="F86" s="24"/>
    </row>
    <row r="87" spans="1:24" x14ac:dyDescent="0.25">
      <c r="A87" s="24"/>
      <c r="B87" s="24"/>
      <c r="C87" s="24"/>
      <c r="D87" s="24"/>
      <c r="E87" s="24"/>
      <c r="F87" s="24"/>
      <c r="G87" s="24"/>
      <c r="I87" s="24"/>
      <c r="J87" s="24"/>
      <c r="K87" s="24"/>
      <c r="L87" s="24"/>
      <c r="M87" s="24"/>
      <c r="N87" s="24"/>
      <c r="O87" s="24"/>
      <c r="P87" s="24"/>
      <c r="Q87" s="24"/>
      <c r="R87" s="24"/>
      <c r="S87" s="24"/>
      <c r="T87" s="24"/>
      <c r="U87" s="24"/>
      <c r="V87" s="24"/>
      <c r="W87" s="24"/>
      <c r="X87" s="27"/>
    </row>
    <row r="88" spans="1:24" x14ac:dyDescent="0.25">
      <c r="A88" s="24"/>
      <c r="B88" s="24"/>
      <c r="C88" s="24"/>
      <c r="D88" s="24"/>
      <c r="E88" s="24"/>
      <c r="F88" s="24"/>
      <c r="G88" s="24"/>
      <c r="I88" s="24"/>
      <c r="J88" s="24"/>
      <c r="K88" s="24"/>
      <c r="L88" s="24"/>
      <c r="M88" s="24"/>
      <c r="N88" s="24"/>
      <c r="O88" s="24"/>
      <c r="P88" s="24"/>
      <c r="Q88" s="24"/>
      <c r="R88" s="24"/>
      <c r="S88" s="24"/>
      <c r="T88" s="24"/>
      <c r="U88" s="24"/>
      <c r="V88" s="24"/>
      <c r="W88" s="24"/>
      <c r="X88" s="27"/>
    </row>
    <row r="89" spans="1:24" x14ac:dyDescent="0.25">
      <c r="A89" s="24"/>
      <c r="B89" s="24"/>
      <c r="C89" s="24"/>
      <c r="D89" s="24"/>
      <c r="E89" s="24"/>
      <c r="F89" s="24"/>
      <c r="G89" s="24"/>
      <c r="I89" s="24"/>
      <c r="J89" s="24"/>
      <c r="K89" s="24"/>
      <c r="L89" s="24"/>
      <c r="M89" s="24"/>
      <c r="N89" s="24"/>
      <c r="O89" s="24"/>
      <c r="P89" s="24"/>
      <c r="Q89" s="24"/>
      <c r="R89" s="24"/>
      <c r="S89" s="24"/>
      <c r="T89" s="24"/>
      <c r="U89" s="24"/>
      <c r="V89" s="24"/>
      <c r="W89" s="24"/>
      <c r="X89" s="27"/>
    </row>
    <row r="90" spans="1:24" x14ac:dyDescent="0.25">
      <c r="A90" s="24"/>
      <c r="B90" s="24"/>
      <c r="C90" s="24"/>
      <c r="D90" s="24"/>
      <c r="E90" s="24"/>
      <c r="F90" s="24"/>
      <c r="G90" s="24"/>
      <c r="I90" s="24"/>
      <c r="J90" s="24"/>
      <c r="K90" s="24"/>
      <c r="L90" s="24"/>
      <c r="M90" s="24"/>
      <c r="N90" s="24"/>
      <c r="O90" s="24"/>
      <c r="P90" s="24"/>
      <c r="Q90" s="24"/>
      <c r="R90" s="24"/>
      <c r="S90" s="24"/>
      <c r="T90" s="24"/>
      <c r="U90" s="24"/>
      <c r="V90" s="24"/>
      <c r="W90" s="24"/>
      <c r="X90" s="27"/>
    </row>
    <row r="91" spans="1:24" x14ac:dyDescent="0.25">
      <c r="A91" s="24"/>
      <c r="B91" s="24"/>
      <c r="C91" s="24"/>
      <c r="D91" s="24"/>
      <c r="E91" s="24"/>
      <c r="F91" s="24"/>
      <c r="G91" s="24"/>
      <c r="I91" s="24"/>
      <c r="J91" s="24"/>
      <c r="K91" s="24"/>
      <c r="L91" s="24"/>
      <c r="M91" s="24"/>
      <c r="N91" s="24"/>
      <c r="O91" s="24"/>
      <c r="P91" s="24"/>
      <c r="Q91" s="24"/>
      <c r="R91" s="24"/>
      <c r="S91" s="24"/>
      <c r="T91" s="24"/>
      <c r="U91" s="24"/>
      <c r="V91" s="24"/>
      <c r="W91" s="24"/>
      <c r="X91" s="27"/>
    </row>
    <row r="92" spans="1:24" x14ac:dyDescent="0.25">
      <c r="A92" s="24"/>
      <c r="B92" s="24"/>
      <c r="C92" s="24"/>
      <c r="D92" s="24"/>
      <c r="E92" s="24"/>
      <c r="F92" s="24"/>
      <c r="G92" s="24"/>
      <c r="I92" s="24"/>
      <c r="J92" s="24"/>
      <c r="K92" s="24"/>
      <c r="L92" s="24"/>
      <c r="M92" s="24"/>
      <c r="N92" s="24"/>
      <c r="O92" s="24"/>
      <c r="P92" s="24"/>
      <c r="Q92" s="24"/>
      <c r="R92" s="24"/>
      <c r="S92" s="24"/>
      <c r="T92" s="24"/>
      <c r="U92" s="24"/>
      <c r="V92" s="24"/>
      <c r="W92" s="24"/>
      <c r="X92" s="27"/>
    </row>
    <row r="93" spans="1:24" x14ac:dyDescent="0.25">
      <c r="A93" s="24"/>
      <c r="B93" s="24"/>
      <c r="C93" s="24"/>
      <c r="D93" s="24"/>
      <c r="E93" s="24"/>
      <c r="F93" s="24"/>
      <c r="G93" s="24"/>
      <c r="I93" s="24"/>
      <c r="J93" s="24"/>
      <c r="K93" s="24"/>
      <c r="L93" s="24"/>
      <c r="M93" s="24"/>
      <c r="N93" s="24"/>
      <c r="O93" s="24"/>
      <c r="P93" s="24"/>
      <c r="Q93" s="24"/>
      <c r="R93" s="24"/>
      <c r="S93" s="24"/>
      <c r="T93" s="24"/>
      <c r="U93" s="24"/>
      <c r="V93" s="24"/>
      <c r="W93" s="24"/>
      <c r="X93" s="27"/>
    </row>
    <row r="94" spans="1:24" x14ac:dyDescent="0.25">
      <c r="A94" s="24"/>
      <c r="B94" s="24"/>
      <c r="C94" s="24"/>
      <c r="D94" s="24"/>
      <c r="E94" s="24"/>
      <c r="F94" s="24"/>
      <c r="G94" s="24"/>
      <c r="I94" s="24"/>
      <c r="J94" s="24"/>
      <c r="K94" s="24"/>
      <c r="L94" s="24"/>
      <c r="M94" s="24"/>
      <c r="N94" s="24"/>
      <c r="O94" s="24"/>
      <c r="P94" s="24"/>
      <c r="Q94" s="24"/>
      <c r="R94" s="24"/>
      <c r="S94" s="24"/>
      <c r="T94" s="24"/>
      <c r="U94" s="24"/>
      <c r="V94" s="24"/>
      <c r="W94" s="24"/>
      <c r="X94" s="27"/>
    </row>
    <row r="95" spans="1:24" x14ac:dyDescent="0.25">
      <c r="A95" s="24"/>
      <c r="B95" s="24"/>
      <c r="C95" s="24"/>
      <c r="D95" s="24"/>
      <c r="E95" s="24"/>
      <c r="F95" s="24"/>
      <c r="G95" s="24"/>
      <c r="I95" s="24"/>
      <c r="J95" s="24"/>
      <c r="K95" s="24"/>
      <c r="L95" s="24"/>
      <c r="M95" s="24"/>
      <c r="N95" s="24"/>
      <c r="O95" s="24"/>
      <c r="P95" s="24"/>
      <c r="Q95" s="24"/>
      <c r="R95" s="24"/>
      <c r="S95" s="24"/>
      <c r="T95" s="24"/>
      <c r="U95" s="24"/>
      <c r="V95" s="24"/>
      <c r="W95" s="24"/>
      <c r="X95" s="27"/>
    </row>
    <row r="96" spans="1:24" x14ac:dyDescent="0.25">
      <c r="A96" s="24"/>
      <c r="B96" s="24"/>
      <c r="C96" s="24"/>
      <c r="D96" s="24"/>
      <c r="E96" s="24"/>
      <c r="F96" s="24"/>
      <c r="G96" s="24"/>
      <c r="I96" s="24"/>
      <c r="J96" s="24"/>
      <c r="K96" s="24"/>
      <c r="L96" s="24"/>
      <c r="M96" s="24"/>
      <c r="N96" s="24"/>
      <c r="O96" s="24"/>
      <c r="P96" s="24"/>
      <c r="Q96" s="24"/>
      <c r="R96" s="24"/>
      <c r="S96" s="24"/>
      <c r="T96" s="24"/>
      <c r="U96" s="24"/>
      <c r="V96" s="24"/>
      <c r="W96" s="24"/>
      <c r="X96" s="27"/>
    </row>
    <row r="97" spans="1:24" x14ac:dyDescent="0.25">
      <c r="A97" s="24"/>
      <c r="B97" s="24"/>
      <c r="C97" s="24"/>
      <c r="D97" s="24"/>
      <c r="E97" s="24"/>
      <c r="F97" s="24"/>
      <c r="G97" s="24"/>
      <c r="I97" s="24"/>
      <c r="J97" s="24"/>
      <c r="K97" s="24"/>
      <c r="L97" s="24"/>
      <c r="M97" s="24"/>
      <c r="N97" s="24"/>
      <c r="O97" s="24"/>
      <c r="P97" s="24"/>
      <c r="Q97" s="24"/>
      <c r="R97" s="24"/>
      <c r="S97" s="24"/>
      <c r="T97" s="24"/>
      <c r="U97" s="24"/>
      <c r="V97" s="24"/>
      <c r="W97" s="24"/>
      <c r="X97" s="27"/>
    </row>
    <row r="98" spans="1:24" x14ac:dyDescent="0.25">
      <c r="A98" s="24"/>
      <c r="B98" s="24"/>
      <c r="C98" s="24"/>
      <c r="D98" s="24"/>
      <c r="E98" s="24"/>
      <c r="F98" s="24"/>
      <c r="G98" s="24"/>
      <c r="I98" s="24"/>
      <c r="J98" s="24"/>
      <c r="K98" s="24"/>
      <c r="L98" s="24"/>
      <c r="M98" s="24"/>
      <c r="N98" s="24"/>
      <c r="O98" s="24"/>
      <c r="P98" s="24"/>
      <c r="Q98" s="24"/>
      <c r="R98" s="24"/>
      <c r="S98" s="24"/>
      <c r="T98" s="24"/>
      <c r="U98" s="24"/>
      <c r="V98" s="24"/>
      <c r="W98" s="24"/>
      <c r="X98" s="27"/>
    </row>
    <row r="99" spans="1:24" x14ac:dyDescent="0.25">
      <c r="A99" s="24"/>
      <c r="B99" s="24"/>
      <c r="C99" s="24"/>
      <c r="D99" s="24"/>
      <c r="E99" s="24"/>
      <c r="F99" s="24"/>
      <c r="G99" s="24"/>
      <c r="I99" s="24"/>
      <c r="J99" s="24"/>
      <c r="K99" s="24"/>
      <c r="L99" s="24"/>
      <c r="M99" s="24"/>
      <c r="N99" s="24"/>
      <c r="O99" s="24"/>
      <c r="P99" s="24"/>
      <c r="Q99" s="24"/>
      <c r="R99" s="24"/>
      <c r="S99" s="24"/>
      <c r="T99" s="24"/>
      <c r="U99" s="24"/>
      <c r="V99" s="24"/>
      <c r="W99" s="24"/>
      <c r="X99" s="27"/>
    </row>
    <row r="100" spans="1:24" x14ac:dyDescent="0.25">
      <c r="A100" s="24"/>
      <c r="B100" s="24"/>
      <c r="C100" s="24"/>
      <c r="D100" s="24"/>
      <c r="E100" s="24"/>
      <c r="F100" s="24"/>
      <c r="G100" s="24"/>
      <c r="I100" s="24"/>
      <c r="J100" s="24"/>
      <c r="K100" s="24"/>
      <c r="L100" s="24"/>
      <c r="M100" s="24"/>
      <c r="N100" s="24"/>
      <c r="O100" s="24"/>
      <c r="P100" s="24"/>
      <c r="Q100" s="24"/>
      <c r="R100" s="24"/>
      <c r="S100" s="24"/>
      <c r="T100" s="24"/>
      <c r="U100" s="24"/>
      <c r="V100" s="24"/>
      <c r="W100" s="24"/>
      <c r="X100" s="27"/>
    </row>
    <row r="101" spans="1:24" x14ac:dyDescent="0.25">
      <c r="A101" s="24"/>
      <c r="B101" s="24"/>
      <c r="C101" s="24"/>
      <c r="D101" s="24"/>
      <c r="E101" s="24"/>
      <c r="F101" s="24"/>
      <c r="G101" s="24"/>
      <c r="I101" s="24"/>
      <c r="J101" s="24"/>
      <c r="K101" s="24"/>
      <c r="L101" s="24"/>
      <c r="M101" s="24"/>
      <c r="N101" s="24"/>
      <c r="O101" s="24"/>
      <c r="P101" s="24"/>
      <c r="Q101" s="24"/>
      <c r="R101" s="24"/>
      <c r="S101" s="24"/>
      <c r="T101" s="24"/>
      <c r="U101" s="24"/>
      <c r="V101" s="24"/>
      <c r="W101" s="24"/>
      <c r="X101" s="27"/>
    </row>
    <row r="102" spans="1:24" x14ac:dyDescent="0.25">
      <c r="A102" s="24"/>
      <c r="B102" s="24"/>
      <c r="C102" s="24"/>
      <c r="D102" s="24"/>
      <c r="E102" s="24"/>
      <c r="F102" s="24"/>
      <c r="G102" s="24"/>
      <c r="I102" s="24"/>
      <c r="J102" s="24"/>
      <c r="K102" s="24"/>
      <c r="L102" s="24"/>
      <c r="M102" s="24"/>
      <c r="N102" s="24"/>
      <c r="O102" s="24"/>
      <c r="P102" s="24"/>
      <c r="Q102" s="24"/>
      <c r="R102" s="24"/>
      <c r="S102" s="24"/>
      <c r="T102" s="24"/>
      <c r="U102" s="24"/>
      <c r="V102" s="24"/>
      <c r="W102" s="24"/>
      <c r="X102" s="27"/>
    </row>
    <row r="103" spans="1:24" x14ac:dyDescent="0.25">
      <c r="A103" s="24"/>
      <c r="B103" s="24"/>
      <c r="C103" s="24"/>
      <c r="D103" s="24"/>
      <c r="E103" s="24"/>
      <c r="F103" s="24"/>
      <c r="G103" s="24"/>
      <c r="I103" s="24"/>
      <c r="J103" s="24"/>
      <c r="K103" s="24"/>
      <c r="L103" s="24"/>
      <c r="M103" s="24"/>
      <c r="N103" s="24"/>
      <c r="O103" s="24"/>
      <c r="P103" s="24"/>
      <c r="Q103" s="24"/>
      <c r="R103" s="24"/>
      <c r="S103" s="24"/>
      <c r="T103" s="24"/>
      <c r="U103" s="24"/>
      <c r="V103" s="24"/>
      <c r="W103" s="24"/>
      <c r="X103" s="27"/>
    </row>
    <row r="104" spans="1:24" x14ac:dyDescent="0.25">
      <c r="A104" s="24"/>
      <c r="B104" s="24"/>
      <c r="C104" s="24"/>
      <c r="D104" s="24"/>
      <c r="E104" s="24"/>
      <c r="F104" s="24"/>
      <c r="G104" s="24"/>
      <c r="I104" s="24"/>
      <c r="J104" s="24"/>
      <c r="K104" s="24"/>
      <c r="L104" s="24"/>
      <c r="M104" s="24"/>
      <c r="N104" s="24"/>
      <c r="O104" s="24"/>
      <c r="P104" s="24"/>
      <c r="Q104" s="24"/>
      <c r="R104" s="24"/>
      <c r="S104" s="24"/>
      <c r="T104" s="24"/>
      <c r="U104" s="24"/>
      <c r="V104" s="24"/>
      <c r="W104" s="24"/>
      <c r="X104" s="27"/>
    </row>
    <row r="105" spans="1:24" x14ac:dyDescent="0.25">
      <c r="A105" s="24"/>
      <c r="B105" s="24"/>
      <c r="C105" s="24"/>
      <c r="D105" s="24"/>
      <c r="E105" s="24"/>
      <c r="F105" s="24"/>
      <c r="G105" s="24"/>
      <c r="I105" s="24"/>
      <c r="J105" s="24"/>
      <c r="K105" s="24"/>
      <c r="L105" s="24"/>
      <c r="M105" s="24"/>
      <c r="N105" s="24"/>
      <c r="O105" s="24"/>
      <c r="P105" s="24"/>
      <c r="Q105" s="24"/>
      <c r="R105" s="24"/>
      <c r="S105" s="24"/>
      <c r="T105" s="24"/>
      <c r="U105" s="24"/>
      <c r="V105" s="24"/>
      <c r="W105" s="24"/>
      <c r="X105" s="27"/>
    </row>
    <row r="106" spans="1:24" x14ac:dyDescent="0.25">
      <c r="A106" s="24"/>
      <c r="B106" s="24"/>
      <c r="C106" s="24"/>
      <c r="D106" s="24"/>
      <c r="E106" s="24"/>
      <c r="F106" s="24"/>
      <c r="G106" s="24"/>
      <c r="I106" s="24"/>
      <c r="J106" s="24"/>
      <c r="K106" s="24"/>
      <c r="L106" s="24"/>
      <c r="M106" s="24"/>
      <c r="N106" s="24"/>
      <c r="O106" s="24"/>
      <c r="P106" s="24"/>
      <c r="Q106" s="24"/>
      <c r="R106" s="24"/>
      <c r="S106" s="24"/>
      <c r="T106" s="24"/>
      <c r="U106" s="24"/>
      <c r="V106" s="24"/>
      <c r="W106" s="24"/>
      <c r="X106" s="27"/>
    </row>
    <row r="107" spans="1:24" x14ac:dyDescent="0.25">
      <c r="A107" s="24"/>
      <c r="B107" s="24"/>
      <c r="C107" s="24"/>
      <c r="D107" s="24"/>
      <c r="E107" s="24"/>
      <c r="F107" s="24"/>
      <c r="G107" s="24"/>
      <c r="I107" s="24"/>
      <c r="J107" s="24"/>
      <c r="K107" s="24"/>
      <c r="L107" s="24"/>
      <c r="M107" s="24"/>
      <c r="N107" s="24"/>
      <c r="O107" s="24"/>
      <c r="P107" s="24"/>
      <c r="Q107" s="24"/>
      <c r="R107" s="24"/>
      <c r="S107" s="24"/>
      <c r="T107" s="24"/>
      <c r="U107" s="24"/>
      <c r="V107" s="24"/>
      <c r="W107" s="24"/>
      <c r="X107" s="27"/>
    </row>
    <row r="108" spans="1:24" x14ac:dyDescent="0.25">
      <c r="A108" s="24"/>
      <c r="B108" s="24"/>
      <c r="C108" s="24"/>
      <c r="D108" s="24"/>
      <c r="E108" s="24"/>
      <c r="F108" s="24"/>
      <c r="G108" s="24"/>
      <c r="I108" s="24"/>
      <c r="J108" s="24"/>
      <c r="K108" s="24"/>
      <c r="L108" s="24"/>
      <c r="M108" s="24"/>
      <c r="N108" s="24"/>
      <c r="O108" s="24"/>
      <c r="P108" s="24"/>
      <c r="Q108" s="24"/>
      <c r="R108" s="24"/>
      <c r="S108" s="24"/>
      <c r="T108" s="24"/>
      <c r="U108" s="24"/>
      <c r="V108" s="24"/>
      <c r="W108" s="24"/>
      <c r="X108" s="27"/>
    </row>
    <row r="109" spans="1:24" x14ac:dyDescent="0.25">
      <c r="A109" s="24"/>
      <c r="B109" s="24"/>
      <c r="C109" s="24"/>
      <c r="D109" s="24"/>
      <c r="E109" s="24"/>
      <c r="F109" s="24"/>
      <c r="G109" s="24"/>
      <c r="I109" s="24"/>
      <c r="J109" s="24"/>
      <c r="K109" s="24"/>
      <c r="L109" s="24"/>
      <c r="M109" s="24"/>
      <c r="N109" s="24"/>
      <c r="O109" s="24"/>
      <c r="P109" s="24"/>
      <c r="Q109" s="24"/>
      <c r="R109" s="24"/>
      <c r="S109" s="24"/>
      <c r="T109" s="24"/>
      <c r="U109" s="24"/>
      <c r="V109" s="24"/>
      <c r="W109" s="24"/>
      <c r="X109" s="27"/>
    </row>
    <row r="110" spans="1:24" x14ac:dyDescent="0.25">
      <c r="A110" s="24"/>
      <c r="B110" s="24"/>
      <c r="C110" s="24"/>
      <c r="D110" s="24"/>
      <c r="E110" s="24"/>
      <c r="F110" s="24"/>
      <c r="G110" s="24"/>
      <c r="I110" s="24"/>
      <c r="J110" s="24"/>
      <c r="K110" s="24"/>
      <c r="L110" s="24"/>
      <c r="M110" s="24"/>
      <c r="N110" s="24"/>
      <c r="O110" s="24"/>
      <c r="P110" s="24"/>
      <c r="Q110" s="24"/>
      <c r="R110" s="24"/>
      <c r="S110" s="24"/>
      <c r="T110" s="24"/>
      <c r="U110" s="24"/>
      <c r="V110" s="24"/>
      <c r="W110" s="24"/>
      <c r="X110" s="27"/>
    </row>
    <row r="111" spans="1:24" x14ac:dyDescent="0.25">
      <c r="A111" s="24"/>
      <c r="B111" s="24"/>
      <c r="C111" s="24"/>
      <c r="D111" s="24"/>
      <c r="E111" s="24"/>
      <c r="F111" s="24"/>
      <c r="G111" s="24"/>
      <c r="I111" s="24"/>
      <c r="J111" s="24"/>
      <c r="K111" s="24"/>
      <c r="L111" s="24"/>
      <c r="M111" s="24"/>
      <c r="N111" s="24"/>
      <c r="O111" s="24"/>
      <c r="P111" s="24"/>
      <c r="Q111" s="24"/>
      <c r="R111" s="24"/>
      <c r="S111" s="24"/>
      <c r="T111" s="24"/>
      <c r="U111" s="24"/>
      <c r="V111" s="24"/>
      <c r="W111" s="24"/>
      <c r="X111" s="27"/>
    </row>
    <row r="112" spans="1:24" x14ac:dyDescent="0.25">
      <c r="A112" s="24"/>
      <c r="B112" s="24"/>
      <c r="C112" s="24"/>
      <c r="D112" s="24"/>
      <c r="E112" s="24"/>
      <c r="F112" s="24"/>
      <c r="G112" s="24"/>
      <c r="I112" s="24"/>
      <c r="J112" s="24"/>
      <c r="K112" s="24"/>
      <c r="L112" s="24"/>
      <c r="M112" s="24"/>
      <c r="N112" s="24"/>
      <c r="O112" s="24"/>
      <c r="P112" s="24"/>
      <c r="Q112" s="24"/>
      <c r="R112" s="24"/>
      <c r="S112" s="24"/>
      <c r="T112" s="24"/>
      <c r="U112" s="24"/>
      <c r="V112" s="24"/>
      <c r="W112" s="24"/>
      <c r="X112" s="27"/>
    </row>
    <row r="113" spans="1:24" x14ac:dyDescent="0.25">
      <c r="A113" s="24"/>
      <c r="B113" s="24"/>
      <c r="C113" s="24"/>
      <c r="D113" s="24"/>
      <c r="E113" s="24"/>
      <c r="F113" s="24"/>
      <c r="G113" s="24"/>
      <c r="I113" s="24"/>
      <c r="J113" s="24"/>
      <c r="K113" s="24"/>
      <c r="L113" s="24"/>
      <c r="M113" s="24"/>
      <c r="N113" s="24"/>
      <c r="O113" s="24"/>
      <c r="P113" s="24"/>
      <c r="Q113" s="24"/>
      <c r="R113" s="24"/>
      <c r="S113" s="24"/>
      <c r="T113" s="24"/>
      <c r="U113" s="24"/>
      <c r="V113" s="24"/>
      <c r="W113" s="24"/>
      <c r="X113" s="27"/>
    </row>
    <row r="114" spans="1:24" x14ac:dyDescent="0.25">
      <c r="A114" s="24"/>
      <c r="B114" s="24"/>
      <c r="C114" s="24"/>
      <c r="D114" s="24"/>
      <c r="E114" s="24"/>
      <c r="F114" s="24"/>
      <c r="G114" s="24"/>
      <c r="I114" s="24"/>
      <c r="J114" s="24"/>
      <c r="K114" s="24"/>
      <c r="L114" s="24"/>
      <c r="M114" s="24"/>
      <c r="N114" s="24"/>
      <c r="O114" s="24"/>
      <c r="P114" s="24"/>
      <c r="Q114" s="24"/>
      <c r="R114" s="24"/>
      <c r="S114" s="24"/>
      <c r="T114" s="24"/>
      <c r="U114" s="24"/>
      <c r="V114" s="24"/>
      <c r="W114" s="24"/>
      <c r="X114" s="27"/>
    </row>
    <row r="115" spans="1:24" x14ac:dyDescent="0.25">
      <c r="A115" s="24"/>
      <c r="B115" s="24"/>
      <c r="C115" s="24"/>
      <c r="D115" s="24"/>
      <c r="E115" s="24"/>
      <c r="F115" s="24"/>
      <c r="G115" s="24"/>
      <c r="I115" s="24"/>
      <c r="J115" s="24"/>
      <c r="K115" s="24"/>
      <c r="L115" s="24"/>
      <c r="M115" s="24"/>
      <c r="N115" s="24"/>
      <c r="O115" s="24"/>
      <c r="P115" s="24"/>
      <c r="Q115" s="24"/>
      <c r="R115" s="24"/>
      <c r="S115" s="24"/>
      <c r="T115" s="24"/>
      <c r="U115" s="24"/>
      <c r="V115" s="24"/>
      <c r="W115" s="24"/>
      <c r="X115" s="27"/>
    </row>
    <row r="116" spans="1:24" x14ac:dyDescent="0.25">
      <c r="A116" s="24"/>
      <c r="B116" s="24"/>
      <c r="C116" s="24"/>
      <c r="D116" s="24"/>
      <c r="E116" s="24"/>
      <c r="F116" s="24"/>
      <c r="G116" s="24"/>
      <c r="I116" s="24"/>
      <c r="J116" s="24"/>
      <c r="K116" s="24"/>
      <c r="L116" s="24"/>
      <c r="M116" s="24"/>
      <c r="N116" s="24"/>
      <c r="O116" s="24"/>
      <c r="P116" s="24"/>
      <c r="Q116" s="24"/>
      <c r="R116" s="24"/>
      <c r="S116" s="24"/>
      <c r="T116" s="24"/>
      <c r="U116" s="24"/>
      <c r="V116" s="24"/>
      <c r="W116" s="24"/>
      <c r="X116" s="27"/>
    </row>
    <row r="117" spans="1:24" x14ac:dyDescent="0.25">
      <c r="A117" s="24"/>
      <c r="B117" s="24"/>
      <c r="C117" s="24"/>
      <c r="D117" s="24"/>
      <c r="E117" s="24"/>
      <c r="F117" s="24"/>
      <c r="G117" s="24"/>
      <c r="I117" s="24"/>
      <c r="J117" s="24"/>
      <c r="K117" s="24"/>
      <c r="L117" s="24"/>
      <c r="M117" s="24"/>
      <c r="N117" s="24"/>
      <c r="O117" s="24"/>
      <c r="P117" s="24"/>
      <c r="Q117" s="24"/>
      <c r="R117" s="24"/>
      <c r="S117" s="24"/>
      <c r="T117" s="24"/>
      <c r="U117" s="24"/>
      <c r="V117" s="24"/>
      <c r="W117" s="24"/>
      <c r="X117" s="27"/>
    </row>
    <row r="118" spans="1:24" x14ac:dyDescent="0.25">
      <c r="A118" s="24"/>
      <c r="B118" s="24"/>
      <c r="C118" s="24"/>
      <c r="D118" s="24"/>
      <c r="E118" s="24"/>
      <c r="F118" s="24"/>
      <c r="G118" s="24"/>
      <c r="I118" s="24"/>
      <c r="J118" s="24"/>
      <c r="K118" s="24"/>
      <c r="L118" s="24"/>
      <c r="M118" s="24"/>
      <c r="N118" s="24"/>
      <c r="O118" s="24"/>
      <c r="P118" s="24"/>
      <c r="Q118" s="24"/>
      <c r="R118" s="24"/>
      <c r="S118" s="24"/>
      <c r="T118" s="24"/>
      <c r="U118" s="24"/>
      <c r="V118" s="24"/>
      <c r="W118" s="24"/>
      <c r="X118" s="27"/>
    </row>
    <row r="119" spans="1:24" x14ac:dyDescent="0.25">
      <c r="A119" s="24"/>
      <c r="B119" s="24"/>
      <c r="C119" s="24"/>
      <c r="D119" s="24"/>
      <c r="E119" s="24"/>
      <c r="F119" s="24"/>
      <c r="G119" s="24"/>
      <c r="I119" s="24"/>
      <c r="J119" s="24"/>
      <c r="K119" s="24"/>
      <c r="L119" s="24"/>
      <c r="M119" s="24"/>
      <c r="N119" s="24"/>
      <c r="O119" s="24"/>
      <c r="P119" s="24"/>
      <c r="Q119" s="24"/>
      <c r="R119" s="24"/>
      <c r="S119" s="24"/>
      <c r="T119" s="24"/>
      <c r="U119" s="24"/>
      <c r="V119" s="24"/>
      <c r="W119" s="24"/>
      <c r="X119" s="27"/>
    </row>
    <row r="120" spans="1:24" x14ac:dyDescent="0.25">
      <c r="A120" s="24"/>
      <c r="B120" s="24"/>
      <c r="C120" s="24"/>
      <c r="D120" s="24"/>
      <c r="E120" s="24"/>
      <c r="F120" s="24"/>
      <c r="G120" s="24"/>
      <c r="I120" s="24"/>
      <c r="J120" s="24"/>
      <c r="K120" s="24"/>
      <c r="L120" s="24"/>
      <c r="M120" s="24"/>
      <c r="N120" s="24"/>
      <c r="O120" s="24"/>
      <c r="P120" s="24"/>
      <c r="Q120" s="24"/>
      <c r="R120" s="24"/>
      <c r="S120" s="24"/>
      <c r="T120" s="24"/>
      <c r="U120" s="24"/>
      <c r="V120" s="24"/>
      <c r="W120" s="24"/>
      <c r="X120" s="27"/>
    </row>
    <row r="121" spans="1:24" x14ac:dyDescent="0.25">
      <c r="A121" s="24"/>
      <c r="B121" s="24"/>
      <c r="C121" s="24"/>
      <c r="D121" s="24"/>
      <c r="E121" s="24"/>
      <c r="F121" s="24"/>
      <c r="G121" s="24"/>
      <c r="I121" s="24"/>
      <c r="J121" s="24"/>
      <c r="K121" s="24"/>
      <c r="L121" s="24"/>
      <c r="M121" s="24"/>
      <c r="N121" s="24"/>
      <c r="O121" s="24"/>
      <c r="P121" s="24"/>
      <c r="Q121" s="24"/>
      <c r="R121" s="24"/>
      <c r="S121" s="24"/>
      <c r="T121" s="24"/>
      <c r="U121" s="24"/>
      <c r="V121" s="24"/>
      <c r="W121" s="24"/>
      <c r="X121" s="27"/>
    </row>
    <row r="122" spans="1:24" x14ac:dyDescent="0.25">
      <c r="A122" s="24"/>
      <c r="B122" s="24"/>
      <c r="C122" s="24"/>
      <c r="D122" s="24"/>
      <c r="E122" s="24"/>
      <c r="F122" s="24"/>
      <c r="G122" s="24"/>
      <c r="I122" s="24"/>
      <c r="J122" s="24"/>
      <c r="K122" s="24"/>
      <c r="L122" s="24"/>
      <c r="M122" s="24"/>
      <c r="N122" s="24"/>
      <c r="O122" s="24"/>
      <c r="P122" s="24"/>
      <c r="Q122" s="24"/>
      <c r="R122" s="24"/>
      <c r="S122" s="24"/>
      <c r="T122" s="24"/>
      <c r="U122" s="24"/>
      <c r="V122" s="24"/>
      <c r="W122" s="24"/>
      <c r="X122" s="27"/>
    </row>
    <row r="123" spans="1:24" x14ac:dyDescent="0.25">
      <c r="A123" s="24"/>
      <c r="B123" s="24"/>
      <c r="C123" s="24"/>
      <c r="D123" s="24"/>
      <c r="E123" s="24"/>
      <c r="F123" s="24"/>
      <c r="G123" s="24"/>
      <c r="I123" s="24"/>
      <c r="J123" s="24"/>
      <c r="K123" s="24"/>
      <c r="L123" s="24"/>
      <c r="M123" s="24"/>
      <c r="N123" s="24"/>
      <c r="O123" s="24"/>
      <c r="P123" s="24"/>
      <c r="Q123" s="24"/>
      <c r="R123" s="24"/>
      <c r="S123" s="24"/>
      <c r="T123" s="24"/>
      <c r="U123" s="24"/>
      <c r="V123" s="24"/>
      <c r="W123" s="24"/>
      <c r="X123" s="27"/>
    </row>
    <row r="124" spans="1:24" x14ac:dyDescent="0.25">
      <c r="A124" s="24"/>
      <c r="B124" s="24"/>
      <c r="C124" s="24"/>
      <c r="D124" s="24"/>
      <c r="E124" s="24"/>
      <c r="F124" s="24"/>
      <c r="G124" s="24"/>
      <c r="I124" s="24"/>
      <c r="J124" s="24"/>
      <c r="K124" s="24"/>
      <c r="L124" s="24"/>
      <c r="M124" s="24"/>
      <c r="N124" s="24"/>
      <c r="O124" s="24"/>
      <c r="P124" s="24"/>
      <c r="Q124" s="24"/>
      <c r="R124" s="24"/>
      <c r="S124" s="24"/>
      <c r="T124" s="24"/>
      <c r="U124" s="24"/>
      <c r="V124" s="24"/>
      <c r="W124" s="24"/>
      <c r="X124" s="27"/>
    </row>
    <row r="125" spans="1:24" x14ac:dyDescent="0.25">
      <c r="A125" s="24"/>
      <c r="B125" s="24"/>
      <c r="C125" s="24"/>
      <c r="D125" s="24"/>
      <c r="E125" s="24"/>
      <c r="F125" s="24"/>
    </row>
    <row r="126" spans="1:24" x14ac:dyDescent="0.25">
      <c r="A126" s="24"/>
      <c r="B126" s="24"/>
      <c r="C126" s="24"/>
      <c r="D126" s="24"/>
      <c r="E126" s="24"/>
      <c r="F126" s="24"/>
    </row>
    <row r="127" spans="1:24" x14ac:dyDescent="0.25">
      <c r="A127" s="24"/>
      <c r="B127" s="24"/>
      <c r="C127" s="24"/>
      <c r="D127" s="24"/>
      <c r="E127" s="24"/>
      <c r="F127" s="24"/>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3">
      <colorScale>
        <cfvo type="min"/>
        <cfvo type="percentile" val="50"/>
        <cfvo type="max"/>
        <color rgb="FFF8696B"/>
        <color rgb="FFFFEB84"/>
        <color rgb="FF63BE7B"/>
      </colorScale>
    </cfRule>
  </conditionalFormatting>
  <conditionalFormatting sqref="B3:W48">
    <cfRule type="cellIs" dxfId="27" priority="1" operator="greaterThan">
      <formula>6.99</formula>
    </cfRule>
    <cfRule type="cellIs" dxfId="26" priority="2" operator="lessThan">
      <formula>4.6</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369E-2A2C-4705-8A45-03D9B90BC96C}">
  <sheetPr>
    <tabColor theme="2" tint="-9.9978637043366805E-2"/>
  </sheetPr>
  <dimension ref="A1:AR95"/>
  <sheetViews>
    <sheetView topLeftCell="A42" zoomScale="80" zoomScaleNormal="80" workbookViewId="0">
      <selection activeCell="J83" sqref="J83"/>
    </sheetView>
  </sheetViews>
  <sheetFormatPr baseColWidth="10" defaultRowHeight="15" x14ac:dyDescent="0.25"/>
  <cols>
    <col min="1" max="1" width="7.5703125" bestFit="1" customWidth="1"/>
    <col min="2" max="2" width="7.140625" bestFit="1" customWidth="1"/>
    <col min="7" max="7" width="7.5703125" bestFit="1" customWidth="1"/>
    <col min="8" max="8" width="7.140625" bestFit="1" customWidth="1"/>
    <col min="11" max="11" width="37" bestFit="1" customWidth="1"/>
    <col min="12" max="12" width="7.5703125" bestFit="1" customWidth="1"/>
    <col min="13" max="13" width="7.140625" bestFit="1" customWidth="1"/>
    <col min="18" max="18" width="7.5703125" bestFit="1" customWidth="1"/>
    <col min="19" max="19" width="7.140625" bestFit="1" customWidth="1"/>
  </cols>
  <sheetData>
    <row r="1" spans="1:44" ht="18.75" x14ac:dyDescent="0.3">
      <c r="A1" s="266">
        <v>0.34</v>
      </c>
      <c r="B1" s="267"/>
      <c r="C1" s="266">
        <v>0.245</v>
      </c>
      <c r="D1" s="267"/>
      <c r="E1" s="266">
        <v>0.125</v>
      </c>
      <c r="F1" s="267"/>
      <c r="G1" s="266">
        <v>0.29099999999999998</v>
      </c>
      <c r="H1" s="267"/>
      <c r="I1" s="266">
        <v>0.19</v>
      </c>
      <c r="J1" s="267"/>
      <c r="L1" s="266">
        <v>0.34</v>
      </c>
      <c r="M1" s="267"/>
      <c r="N1" s="266">
        <v>0.245</v>
      </c>
      <c r="O1" s="267"/>
      <c r="P1" s="266">
        <v>0.125</v>
      </c>
      <c r="Q1" s="267"/>
      <c r="R1" s="266">
        <f>0.291*86/100</f>
        <v>0.25025999999999998</v>
      </c>
      <c r="S1" s="267"/>
      <c r="T1" s="266">
        <v>0.19</v>
      </c>
      <c r="U1" s="267"/>
      <c r="W1" s="265" t="s">
        <v>232</v>
      </c>
      <c r="X1" s="265"/>
      <c r="AC1" s="265" t="s">
        <v>233</v>
      </c>
      <c r="AD1" s="265"/>
    </row>
    <row r="2" spans="1:44" ht="18.75" x14ac:dyDescent="0.3">
      <c r="A2" s="262" t="s">
        <v>234</v>
      </c>
      <c r="B2" s="262"/>
      <c r="C2" s="262" t="s">
        <v>235</v>
      </c>
      <c r="D2" s="262"/>
      <c r="E2" s="262" t="s">
        <v>236</v>
      </c>
      <c r="F2" s="262"/>
      <c r="G2" s="262" t="s">
        <v>237</v>
      </c>
      <c r="H2" s="262"/>
      <c r="I2" s="262" t="s">
        <v>238</v>
      </c>
      <c r="J2" s="262"/>
      <c r="L2" s="262" t="s">
        <v>234</v>
      </c>
      <c r="M2" s="262"/>
      <c r="N2" s="262" t="s">
        <v>235</v>
      </c>
      <c r="O2" s="262"/>
      <c r="P2" s="262" t="s">
        <v>236</v>
      </c>
      <c r="Q2" s="262"/>
      <c r="R2" s="262" t="s">
        <v>237</v>
      </c>
      <c r="S2" s="262"/>
      <c r="T2" s="262" t="s">
        <v>238</v>
      </c>
      <c r="U2" s="262"/>
    </row>
    <row r="3" spans="1:44" ht="19.5" thickBot="1" x14ac:dyDescent="0.35">
      <c r="A3" s="79" t="s">
        <v>239</v>
      </c>
      <c r="B3" s="79" t="s">
        <v>240</v>
      </c>
      <c r="C3" s="263"/>
      <c r="D3" s="264"/>
      <c r="E3" s="263"/>
      <c r="F3" s="264"/>
      <c r="G3" s="79" t="s">
        <v>239</v>
      </c>
      <c r="H3" s="79" t="s">
        <v>240</v>
      </c>
      <c r="I3" s="263"/>
      <c r="J3" s="264"/>
      <c r="L3" s="79" t="s">
        <v>239</v>
      </c>
      <c r="M3" s="79" t="s">
        <v>240</v>
      </c>
      <c r="N3" s="263"/>
      <c r="O3" s="264"/>
      <c r="P3" s="263"/>
      <c r="Q3" s="264"/>
      <c r="R3" s="79" t="s">
        <v>239</v>
      </c>
      <c r="S3" s="79" t="s">
        <v>240</v>
      </c>
      <c r="T3" s="263"/>
      <c r="U3" s="264"/>
      <c r="W3" t="s">
        <v>241</v>
      </c>
      <c r="AC3" t="s">
        <v>242</v>
      </c>
    </row>
    <row r="4" spans="1:44" x14ac:dyDescent="0.25">
      <c r="A4" s="256">
        <v>0.64709000000000005</v>
      </c>
      <c r="B4" s="256"/>
      <c r="C4" s="256">
        <v>0.97192999999999996</v>
      </c>
      <c r="D4" s="256"/>
      <c r="E4" s="81"/>
      <c r="F4" s="81"/>
      <c r="G4" s="81"/>
      <c r="H4" s="81"/>
      <c r="I4" s="81"/>
      <c r="J4" s="82"/>
      <c r="K4" s="80" t="s">
        <v>243</v>
      </c>
      <c r="L4" s="256">
        <v>0.64709000000000005</v>
      </c>
      <c r="M4" s="256"/>
      <c r="N4" s="256">
        <v>0.97192999999999996</v>
      </c>
      <c r="O4" s="256"/>
      <c r="P4" s="81"/>
      <c r="Q4" s="81"/>
      <c r="R4" s="81"/>
      <c r="S4" s="81"/>
      <c r="T4" s="81"/>
      <c r="U4" s="82"/>
      <c r="W4" t="s">
        <v>244</v>
      </c>
      <c r="AC4" t="s">
        <v>245</v>
      </c>
      <c r="AR4">
        <v>105</v>
      </c>
    </row>
    <row r="5" spans="1:44" ht="15.75" thickBot="1" x14ac:dyDescent="0.3">
      <c r="A5" s="261">
        <v>0.26545000000000002</v>
      </c>
      <c r="B5" s="261"/>
      <c r="C5" s="261">
        <v>0.39895999999999998</v>
      </c>
      <c r="D5" s="261"/>
      <c r="E5" s="85"/>
      <c r="F5" s="85"/>
      <c r="G5" s="85"/>
      <c r="H5" s="85"/>
      <c r="I5" s="85"/>
      <c r="J5" s="86"/>
      <c r="K5" s="84" t="s">
        <v>246</v>
      </c>
      <c r="L5" s="261">
        <v>0.26545000000000002</v>
      </c>
      <c r="M5" s="261"/>
      <c r="N5" s="261">
        <v>0.39895999999999998</v>
      </c>
      <c r="O5" s="261"/>
      <c r="P5" s="85"/>
      <c r="Q5" s="85"/>
      <c r="R5" s="85"/>
      <c r="S5" s="85"/>
      <c r="T5" s="85"/>
      <c r="U5" s="86"/>
      <c r="W5" t="s">
        <v>247</v>
      </c>
      <c r="AC5" t="s">
        <v>247</v>
      </c>
      <c r="AR5">
        <v>120</v>
      </c>
    </row>
    <row r="6" spans="1:44" x14ac:dyDescent="0.25">
      <c r="A6" s="81">
        <v>0.50017999999999996</v>
      </c>
      <c r="B6" s="81">
        <v>0.25008999999999998</v>
      </c>
      <c r="C6" s="256">
        <v>1</v>
      </c>
      <c r="D6" s="256"/>
      <c r="E6" s="81"/>
      <c r="F6" s="81"/>
      <c r="G6" s="81"/>
      <c r="H6" s="81"/>
      <c r="I6" s="81"/>
      <c r="J6" s="82"/>
      <c r="K6" s="80" t="s">
        <v>248</v>
      </c>
      <c r="L6" s="81">
        <v>0.50017999999999996</v>
      </c>
      <c r="M6" s="81">
        <v>0.25008999999999998</v>
      </c>
      <c r="N6" s="256">
        <v>1</v>
      </c>
      <c r="O6" s="256"/>
      <c r="P6" s="81"/>
      <c r="Q6" s="81"/>
      <c r="R6" s="81"/>
      <c r="S6" s="81"/>
      <c r="T6" s="81"/>
      <c r="U6" s="82"/>
    </row>
    <row r="7" spans="1:44" ht="15.75" thickBot="1" x14ac:dyDescent="0.3">
      <c r="A7" s="85"/>
      <c r="B7" s="85"/>
      <c r="C7" s="85"/>
      <c r="D7" s="85"/>
      <c r="E7" s="261">
        <v>0.27488000000000001</v>
      </c>
      <c r="F7" s="261"/>
      <c r="G7" s="85"/>
      <c r="H7" s="85"/>
      <c r="I7" s="85"/>
      <c r="J7" s="86"/>
      <c r="K7" s="84" t="s">
        <v>249</v>
      </c>
      <c r="L7" s="85"/>
      <c r="M7" s="85"/>
      <c r="N7" s="85"/>
      <c r="O7" s="85"/>
      <c r="P7" s="261">
        <v>0.27488000000000001</v>
      </c>
      <c r="Q7" s="261"/>
      <c r="R7" s="85"/>
      <c r="S7" s="85"/>
      <c r="T7" s="85"/>
      <c r="U7" s="86"/>
      <c r="W7" t="s">
        <v>250</v>
      </c>
      <c r="AC7" t="s">
        <v>371</v>
      </c>
    </row>
    <row r="8" spans="1:44" x14ac:dyDescent="0.25">
      <c r="A8" s="81">
        <v>0.35504999999999998</v>
      </c>
      <c r="B8" s="81">
        <v>0.17752000000000001</v>
      </c>
      <c r="C8" s="256">
        <v>0.72296000000000005</v>
      </c>
      <c r="D8" s="256"/>
      <c r="E8" s="81"/>
      <c r="F8" s="81"/>
      <c r="G8" s="81"/>
      <c r="H8" s="81"/>
      <c r="I8" s="81"/>
      <c r="J8" s="82"/>
      <c r="K8" s="80" t="s">
        <v>252</v>
      </c>
      <c r="L8" s="81">
        <v>0.35504999999999998</v>
      </c>
      <c r="M8" s="81">
        <v>0.17752000000000001</v>
      </c>
      <c r="N8" s="256">
        <v>0.72296000000000005</v>
      </c>
      <c r="O8" s="256"/>
      <c r="P8" s="81"/>
      <c r="Q8" s="81"/>
      <c r="R8" s="81"/>
      <c r="S8" s="81"/>
      <c r="T8" s="81"/>
      <c r="U8" s="82"/>
      <c r="W8" t="s">
        <v>253</v>
      </c>
    </row>
    <row r="9" spans="1:44" ht="15.75" thickBot="1" x14ac:dyDescent="0.3">
      <c r="A9" s="85"/>
      <c r="B9" s="85"/>
      <c r="C9" s="85"/>
      <c r="D9" s="85"/>
      <c r="E9" s="261">
        <v>0.36337000000000003</v>
      </c>
      <c r="F9" s="261"/>
      <c r="G9" s="85"/>
      <c r="H9" s="85"/>
      <c r="I9" s="85"/>
      <c r="J9" s="86"/>
      <c r="K9" s="84" t="s">
        <v>254</v>
      </c>
      <c r="L9" s="85"/>
      <c r="M9" s="85"/>
      <c r="N9" s="85"/>
      <c r="O9" s="85"/>
      <c r="P9" s="261">
        <f>36.337%*1.21</f>
        <v>0.4396777</v>
      </c>
      <c r="Q9" s="261"/>
      <c r="R9" s="85"/>
      <c r="S9" s="85"/>
      <c r="T9" s="85"/>
      <c r="U9" s="86"/>
      <c r="AC9" t="s">
        <v>372</v>
      </c>
    </row>
    <row r="10" spans="1:44" x14ac:dyDescent="0.25">
      <c r="A10" s="81">
        <v>0.65615999999999997</v>
      </c>
      <c r="B10" s="81"/>
      <c r="C10" s="256">
        <v>0.78437000000000001</v>
      </c>
      <c r="D10" s="256"/>
      <c r="E10" s="81"/>
      <c r="F10" s="81"/>
      <c r="G10" s="81"/>
      <c r="H10" s="81"/>
      <c r="I10" s="81"/>
      <c r="J10" s="82"/>
      <c r="K10" s="80" t="s">
        <v>255</v>
      </c>
      <c r="L10" s="81">
        <f>65.616%*1.06</f>
        <v>0.69552959999999997</v>
      </c>
      <c r="M10" s="81"/>
      <c r="N10" s="256">
        <f>78.437%*(1-0.09)</f>
        <v>0.71377670000000004</v>
      </c>
      <c r="O10" s="256"/>
      <c r="P10" s="81"/>
      <c r="Q10" s="81"/>
      <c r="R10" s="81"/>
      <c r="S10" s="81"/>
      <c r="T10" s="81"/>
      <c r="U10" s="82"/>
      <c r="W10" t="s">
        <v>373</v>
      </c>
    </row>
    <row r="11" spans="1:44" x14ac:dyDescent="0.25">
      <c r="A11" s="88"/>
      <c r="B11" s="88"/>
      <c r="C11" s="88"/>
      <c r="D11" s="88"/>
      <c r="E11" s="260">
        <v>0.1464</v>
      </c>
      <c r="F11" s="260"/>
      <c r="G11" s="88"/>
      <c r="H11" s="88"/>
      <c r="I11" s="88"/>
      <c r="J11" s="89"/>
      <c r="K11" s="87" t="s">
        <v>257</v>
      </c>
      <c r="L11" s="88"/>
      <c r="M11" s="88"/>
      <c r="N11" s="88"/>
      <c r="O11" s="88"/>
      <c r="P11" s="260">
        <v>0.1464</v>
      </c>
      <c r="Q11" s="260"/>
      <c r="R11" s="88"/>
      <c r="S11" s="88"/>
      <c r="T11" s="88"/>
      <c r="U11" s="89"/>
      <c r="AC11" t="s">
        <v>374</v>
      </c>
    </row>
    <row r="12" spans="1:44" ht="15.75" thickBot="1" x14ac:dyDescent="0.3">
      <c r="A12" s="85"/>
      <c r="B12" s="85"/>
      <c r="C12" s="85"/>
      <c r="D12" s="85"/>
      <c r="E12" s="90"/>
      <c r="F12" s="90"/>
      <c r="G12" s="85">
        <v>0.28649999999999998</v>
      </c>
      <c r="H12" s="85"/>
      <c r="I12" s="85"/>
      <c r="J12" s="86"/>
      <c r="K12" s="84" t="s">
        <v>259</v>
      </c>
      <c r="L12" s="85"/>
      <c r="M12" s="85"/>
      <c r="N12" s="85"/>
      <c r="O12" s="85"/>
      <c r="P12" s="90"/>
      <c r="Q12" s="90"/>
      <c r="R12" s="85">
        <v>0.33313953488372089</v>
      </c>
      <c r="S12" s="85"/>
      <c r="T12" s="85"/>
      <c r="U12" s="86"/>
      <c r="W12" t="s">
        <v>375</v>
      </c>
      <c r="AC12" t="s">
        <v>376</v>
      </c>
    </row>
    <row r="13" spans="1:44" x14ac:dyDescent="0.25">
      <c r="A13" s="256">
        <v>0.42514999999999997</v>
      </c>
      <c r="B13" s="256"/>
      <c r="C13" s="256">
        <v>0.85</v>
      </c>
      <c r="D13" s="256"/>
      <c r="E13" s="81"/>
      <c r="F13" s="81"/>
      <c r="G13" s="81"/>
      <c r="H13" s="81"/>
      <c r="I13" s="81"/>
      <c r="J13" s="82"/>
      <c r="K13" s="80" t="s">
        <v>260</v>
      </c>
      <c r="L13" s="256">
        <v>0.42514999999999997</v>
      </c>
      <c r="M13" s="256"/>
      <c r="N13" s="256">
        <v>0.85</v>
      </c>
      <c r="O13" s="256"/>
      <c r="P13" s="81"/>
      <c r="Q13" s="81"/>
      <c r="R13" s="81"/>
      <c r="S13" s="81"/>
      <c r="T13" s="81"/>
      <c r="U13" s="82"/>
      <c r="W13" t="s">
        <v>377</v>
      </c>
      <c r="AC13" t="s">
        <v>378</v>
      </c>
      <c r="AI13" s="114"/>
      <c r="AJ13" s="114" t="s">
        <v>379</v>
      </c>
      <c r="AK13" s="114" t="s">
        <v>380</v>
      </c>
      <c r="AL13" s="114" t="s">
        <v>379</v>
      </c>
      <c r="AM13" s="114" t="s">
        <v>380</v>
      </c>
      <c r="AN13" s="114"/>
    </row>
    <row r="14" spans="1:44" ht="15.75" thickBot="1" x14ac:dyDescent="0.3">
      <c r="A14" s="85"/>
      <c r="B14" s="85"/>
      <c r="C14" s="85"/>
      <c r="D14" s="85"/>
      <c r="E14" s="261">
        <v>0.23365</v>
      </c>
      <c r="F14" s="261"/>
      <c r="G14" s="85"/>
      <c r="H14" s="85"/>
      <c r="I14" s="85"/>
      <c r="J14" s="86"/>
      <c r="K14" s="84" t="s">
        <v>263</v>
      </c>
      <c r="L14" s="85"/>
      <c r="M14" s="85"/>
      <c r="N14" s="85"/>
      <c r="O14" s="85"/>
      <c r="P14" s="261">
        <v>0.23365</v>
      </c>
      <c r="Q14" s="261"/>
      <c r="R14" s="85"/>
      <c r="S14" s="85"/>
      <c r="T14" s="85"/>
      <c r="U14" s="86"/>
      <c r="W14" t="s">
        <v>381</v>
      </c>
      <c r="AC14" t="s">
        <v>382</v>
      </c>
      <c r="AI14" s="115" t="s">
        <v>383</v>
      </c>
      <c r="AJ14" s="116">
        <v>1.05</v>
      </c>
      <c r="AK14" s="116">
        <v>1.05</v>
      </c>
      <c r="AL14" s="117">
        <f t="shared" ref="AL14:AM16" si="0">AJ14-100%</f>
        <v>5.0000000000000044E-2</v>
      </c>
      <c r="AM14" s="117">
        <f t="shared" si="0"/>
        <v>5.0000000000000044E-2</v>
      </c>
      <c r="AN14" s="117">
        <f>AM14+AL14</f>
        <v>0.10000000000000009</v>
      </c>
    </row>
    <row r="15" spans="1:44" x14ac:dyDescent="0.25">
      <c r="A15" s="81">
        <v>1</v>
      </c>
      <c r="B15" s="92"/>
      <c r="C15" s="256">
        <v>0.51382000000000005</v>
      </c>
      <c r="D15" s="256"/>
      <c r="E15" s="81"/>
      <c r="F15" s="81"/>
      <c r="G15" s="81"/>
      <c r="H15" s="81"/>
      <c r="I15" s="81"/>
      <c r="J15" s="82"/>
      <c r="K15" s="80" t="s">
        <v>265</v>
      </c>
      <c r="L15" s="81">
        <v>1</v>
      </c>
      <c r="M15" s="92"/>
      <c r="N15" s="256">
        <v>0.51382000000000005</v>
      </c>
      <c r="O15" s="256"/>
      <c r="P15" s="81"/>
      <c r="Q15" s="81"/>
      <c r="R15" s="81"/>
      <c r="S15" s="81"/>
      <c r="T15" s="81"/>
      <c r="U15" s="82"/>
      <c r="W15" t="s">
        <v>384</v>
      </c>
      <c r="AC15" t="s">
        <v>385</v>
      </c>
      <c r="AI15" s="118" t="s">
        <v>379</v>
      </c>
      <c r="AJ15" s="119">
        <v>1.2</v>
      </c>
      <c r="AK15" s="119">
        <v>0.92430000000000001</v>
      </c>
      <c r="AL15" s="120">
        <f t="shared" si="0"/>
        <v>0.19999999999999996</v>
      </c>
      <c r="AM15" s="120">
        <f t="shared" si="0"/>
        <v>-7.569999999999999E-2</v>
      </c>
      <c r="AN15" s="120">
        <f>AM15+AL15</f>
        <v>0.12429999999999997</v>
      </c>
      <c r="AP15" s="121">
        <f>(AJ15-AJ14)/AJ14</f>
        <v>0.14285714285714277</v>
      </c>
      <c r="AQ15" s="121">
        <f>(AK15-AK14)/AK14</f>
        <v>-0.11971428571428575</v>
      </c>
    </row>
    <row r="16" spans="1:44" x14ac:dyDescent="0.25">
      <c r="A16" s="88"/>
      <c r="B16" s="88"/>
      <c r="C16" s="88"/>
      <c r="D16" s="88"/>
      <c r="E16" s="260">
        <v>4.3869999999999999E-2</v>
      </c>
      <c r="F16" s="260"/>
      <c r="G16" s="88"/>
      <c r="H16" s="88"/>
      <c r="I16" s="88"/>
      <c r="J16" s="89"/>
      <c r="K16" s="87" t="s">
        <v>267</v>
      </c>
      <c r="L16" s="88"/>
      <c r="M16" s="88"/>
      <c r="N16" s="88"/>
      <c r="O16" s="88"/>
      <c r="P16" s="260">
        <v>4.3869999999999999E-2</v>
      </c>
      <c r="Q16" s="260"/>
      <c r="R16" s="88"/>
      <c r="S16" s="88"/>
      <c r="T16" s="88"/>
      <c r="U16" s="89"/>
      <c r="W16" t="s">
        <v>386</v>
      </c>
      <c r="AC16" t="s">
        <v>387</v>
      </c>
      <c r="AI16" s="122" t="s">
        <v>388</v>
      </c>
      <c r="AJ16" s="123">
        <v>0.92957000000000001</v>
      </c>
      <c r="AK16" s="123">
        <v>1.1337999999999999</v>
      </c>
      <c r="AL16" s="124">
        <f t="shared" si="0"/>
        <v>-7.0429999999999993E-2</v>
      </c>
      <c r="AM16" s="124">
        <f t="shared" si="0"/>
        <v>0.13379999999999992</v>
      </c>
      <c r="AN16" s="124">
        <f>AM16+AL16</f>
        <v>6.3369999999999926E-2</v>
      </c>
      <c r="AP16" s="121">
        <f>(AJ16-AJ14)/AJ14</f>
        <v>-0.11469523809523813</v>
      </c>
      <c r="AQ16" s="121">
        <f>(AK16-AK14)/AK14</f>
        <v>7.9809523809523691E-2</v>
      </c>
    </row>
    <row r="17" spans="1:39" ht="15.75" thickBot="1" x14ac:dyDescent="0.3">
      <c r="A17" s="85"/>
      <c r="B17" s="85"/>
      <c r="C17" s="85"/>
      <c r="D17" s="85"/>
      <c r="E17" s="90"/>
      <c r="F17" s="90"/>
      <c r="G17" s="85">
        <v>0.32728000000000002</v>
      </c>
      <c r="H17" s="85"/>
      <c r="I17" s="85"/>
      <c r="J17" s="86"/>
      <c r="K17" s="84" t="s">
        <v>269</v>
      </c>
      <c r="L17" s="85"/>
      <c r="M17" s="85"/>
      <c r="N17" s="85"/>
      <c r="O17" s="85"/>
      <c r="P17" s="90"/>
      <c r="Q17" s="90"/>
      <c r="R17" s="85">
        <v>0.38055813953488377</v>
      </c>
      <c r="S17" s="85"/>
      <c r="T17" s="85"/>
      <c r="U17" s="86"/>
      <c r="W17" t="s">
        <v>389</v>
      </c>
      <c r="AC17" t="s">
        <v>390</v>
      </c>
    </row>
    <row r="18" spans="1:39" x14ac:dyDescent="0.25">
      <c r="A18" s="81">
        <v>0.91232999999999997</v>
      </c>
      <c r="B18" s="92"/>
      <c r="C18" s="256">
        <v>0.46146999999999999</v>
      </c>
      <c r="D18" s="256"/>
      <c r="E18" s="81"/>
      <c r="F18" s="81"/>
      <c r="G18" s="81"/>
      <c r="H18" s="81"/>
      <c r="I18" s="81"/>
      <c r="J18" s="82"/>
      <c r="K18" s="80" t="s">
        <v>271</v>
      </c>
      <c r="L18" s="81">
        <v>0.91232999999999997</v>
      </c>
      <c r="M18" s="92"/>
      <c r="N18" s="256">
        <f>46.147%*(1-0.08)</f>
        <v>0.4245524</v>
      </c>
      <c r="O18" s="256"/>
      <c r="P18" s="81"/>
      <c r="Q18" s="81"/>
      <c r="R18" s="81"/>
      <c r="S18" s="81"/>
      <c r="T18" s="81"/>
      <c r="U18" s="82"/>
      <c r="W18" t="s">
        <v>391</v>
      </c>
      <c r="AC18" t="s">
        <v>392</v>
      </c>
    </row>
    <row r="19" spans="1:39" x14ac:dyDescent="0.25">
      <c r="A19" s="88"/>
      <c r="B19" s="88"/>
      <c r="C19" s="88"/>
      <c r="D19" s="88"/>
      <c r="E19" s="260">
        <v>0.15035999999999999</v>
      </c>
      <c r="F19" s="260"/>
      <c r="G19" s="88"/>
      <c r="H19" s="88"/>
      <c r="I19" s="88"/>
      <c r="J19" s="89"/>
      <c r="K19" s="87" t="s">
        <v>273</v>
      </c>
      <c r="L19" s="88"/>
      <c r="M19" s="88"/>
      <c r="N19" s="88"/>
      <c r="O19" s="88"/>
      <c r="P19" s="260">
        <v>0.15035999999999999</v>
      </c>
      <c r="Q19" s="260"/>
      <c r="R19" s="88"/>
      <c r="S19" s="88"/>
      <c r="T19" s="88"/>
      <c r="U19" s="89"/>
      <c r="W19" t="s">
        <v>393</v>
      </c>
      <c r="AC19" t="s">
        <v>394</v>
      </c>
      <c r="AL19" s="121">
        <f>(1.05-1.2)/1.2</f>
        <v>-0.12499999999999993</v>
      </c>
      <c r="AM19" s="121">
        <f>(1.05-0.925)/0.925</f>
        <v>0.13513513513513511</v>
      </c>
    </row>
    <row r="20" spans="1:39" ht="15.75" thickBot="1" x14ac:dyDescent="0.3">
      <c r="A20" s="85"/>
      <c r="B20" s="85"/>
      <c r="C20" s="85"/>
      <c r="D20" s="85"/>
      <c r="E20" s="90"/>
      <c r="F20" s="90"/>
      <c r="G20" s="85">
        <v>0.51546000000000003</v>
      </c>
      <c r="H20" s="85"/>
      <c r="I20" s="85"/>
      <c r="J20" s="86"/>
      <c r="K20" s="84" t="s">
        <v>275</v>
      </c>
      <c r="L20" s="85"/>
      <c r="M20" s="85"/>
      <c r="N20" s="85"/>
      <c r="O20" s="85"/>
      <c r="P20" s="90"/>
      <c r="Q20" s="90"/>
      <c r="R20" s="85">
        <v>0.59937209302325589</v>
      </c>
      <c r="S20" s="85"/>
      <c r="T20" s="85"/>
      <c r="U20" s="86"/>
      <c r="W20" t="s">
        <v>395</v>
      </c>
      <c r="AC20" t="s">
        <v>396</v>
      </c>
      <c r="AJ20" s="72"/>
      <c r="AK20" s="72"/>
      <c r="AL20" s="121">
        <f>(0.93-1.2)/1.2</f>
        <v>-0.22499999999999992</v>
      </c>
      <c r="AM20" s="121">
        <f>(1.135-0.925)/0.925</f>
        <v>0.22702702702702698</v>
      </c>
    </row>
    <row r="21" spans="1:39" x14ac:dyDescent="0.25">
      <c r="A21" s="81">
        <v>0.69059999999999999</v>
      </c>
      <c r="B21" s="92"/>
      <c r="C21" s="256">
        <v>0.38878000000000001</v>
      </c>
      <c r="D21" s="256"/>
      <c r="E21" s="81"/>
      <c r="F21" s="81"/>
      <c r="G21" s="81"/>
      <c r="H21" s="81"/>
      <c r="I21" s="81"/>
      <c r="J21" s="82"/>
      <c r="K21" s="80" t="s">
        <v>277</v>
      </c>
      <c r="L21" s="81">
        <v>0.69059999999999999</v>
      </c>
      <c r="M21" s="92"/>
      <c r="N21" s="256">
        <v>0.38878000000000001</v>
      </c>
      <c r="O21" s="256"/>
      <c r="P21" s="81"/>
      <c r="Q21" s="81"/>
      <c r="R21" s="81"/>
      <c r="S21" s="81"/>
      <c r="T21" s="81"/>
      <c r="U21" s="82"/>
      <c r="W21" t="s">
        <v>397</v>
      </c>
      <c r="AC21" t="s">
        <v>398</v>
      </c>
      <c r="AI21" t="s">
        <v>399</v>
      </c>
    </row>
    <row r="22" spans="1:39" x14ac:dyDescent="0.25">
      <c r="A22" s="88"/>
      <c r="B22" s="88"/>
      <c r="C22" s="88"/>
      <c r="D22" s="88"/>
      <c r="E22" s="260">
        <v>0.2099</v>
      </c>
      <c r="F22" s="260"/>
      <c r="G22" s="88"/>
      <c r="H22" s="88"/>
      <c r="I22" s="88"/>
      <c r="J22" s="89"/>
      <c r="K22" s="87" t="s">
        <v>279</v>
      </c>
      <c r="L22" s="88"/>
      <c r="M22" s="88"/>
      <c r="N22" s="88"/>
      <c r="O22" s="88"/>
      <c r="P22" s="260">
        <v>0.2099</v>
      </c>
      <c r="Q22" s="260"/>
      <c r="R22" s="88"/>
      <c r="S22" s="88"/>
      <c r="T22" s="88"/>
      <c r="U22" s="89"/>
      <c r="W22" t="s">
        <v>400</v>
      </c>
      <c r="AC22" t="s">
        <v>401</v>
      </c>
      <c r="AI22" s="1" t="s">
        <v>402</v>
      </c>
      <c r="AK22" s="76"/>
      <c r="AL22" s="76"/>
      <c r="AM22" s="76"/>
    </row>
    <row r="23" spans="1:39" ht="15.75" thickBot="1" x14ac:dyDescent="0.3">
      <c r="A23" s="85"/>
      <c r="B23" s="85"/>
      <c r="C23" s="85"/>
      <c r="D23" s="85"/>
      <c r="E23" s="90"/>
      <c r="F23" s="90"/>
      <c r="G23" s="85">
        <v>0.62805999999999995</v>
      </c>
      <c r="H23" s="85"/>
      <c r="I23" s="85"/>
      <c r="J23" s="86"/>
      <c r="K23" s="84" t="s">
        <v>281</v>
      </c>
      <c r="L23" s="85"/>
      <c r="M23" s="85"/>
      <c r="N23" s="85"/>
      <c r="O23" s="85"/>
      <c r="P23" s="90"/>
      <c r="Q23" s="90"/>
      <c r="R23" s="85">
        <v>0.7303023255813953</v>
      </c>
      <c r="S23" s="85"/>
      <c r="T23" s="85"/>
      <c r="U23" s="86"/>
      <c r="W23" t="s">
        <v>403</v>
      </c>
      <c r="AC23" t="s">
        <v>404</v>
      </c>
      <c r="AI23" s="1" t="s">
        <v>405</v>
      </c>
      <c r="AK23" s="76"/>
      <c r="AL23" s="76"/>
      <c r="AM23" s="76"/>
    </row>
    <row r="24" spans="1:39" x14ac:dyDescent="0.25">
      <c r="A24" s="81">
        <v>0.68315000000000003</v>
      </c>
      <c r="B24" s="92"/>
      <c r="C24" s="256">
        <v>0.70006000000000002</v>
      </c>
      <c r="D24" s="256"/>
      <c r="E24" s="81"/>
      <c r="F24" s="81"/>
      <c r="G24" s="81"/>
      <c r="H24" s="81"/>
      <c r="I24" s="81"/>
      <c r="J24" s="82"/>
      <c r="K24" s="80" t="s">
        <v>284</v>
      </c>
      <c r="L24" s="81">
        <v>0.68315000000000003</v>
      </c>
      <c r="M24" s="92"/>
      <c r="N24" s="256">
        <v>0.70006000000000002</v>
      </c>
      <c r="O24" s="256"/>
      <c r="P24" s="81"/>
      <c r="Q24" s="81"/>
      <c r="R24" s="81"/>
      <c r="S24" s="81"/>
      <c r="T24" s="81"/>
      <c r="U24" s="82"/>
      <c r="W24" t="s">
        <v>406</v>
      </c>
      <c r="AC24" t="s">
        <v>407</v>
      </c>
      <c r="AI24" s="1" t="s">
        <v>408</v>
      </c>
      <c r="AK24" s="76"/>
      <c r="AL24" s="76"/>
      <c r="AM24" s="76"/>
    </row>
    <row r="25" spans="1:39" x14ac:dyDescent="0.25">
      <c r="A25" s="88"/>
      <c r="B25" s="88"/>
      <c r="C25" s="88"/>
      <c r="D25" s="88"/>
      <c r="E25" s="260">
        <v>0.152</v>
      </c>
      <c r="F25" s="260"/>
      <c r="G25" s="88"/>
      <c r="H25" s="88"/>
      <c r="I25" s="88"/>
      <c r="J25" s="89"/>
      <c r="K25" s="87" t="s">
        <v>287</v>
      </c>
      <c r="L25" s="88"/>
      <c r="M25" s="88"/>
      <c r="N25" s="88"/>
      <c r="O25" s="88"/>
      <c r="P25" s="260">
        <v>0.152</v>
      </c>
      <c r="Q25" s="260"/>
      <c r="R25" s="88"/>
      <c r="S25" s="88"/>
      <c r="T25" s="88"/>
      <c r="U25" s="89"/>
      <c r="W25" t="s">
        <v>409</v>
      </c>
      <c r="AC25" t="s">
        <v>410</v>
      </c>
      <c r="AI25" s="1" t="s">
        <v>411</v>
      </c>
      <c r="AK25" s="76"/>
      <c r="AL25" s="76"/>
      <c r="AM25" s="76"/>
    </row>
    <row r="26" spans="1:39" ht="15.75" thickBot="1" x14ac:dyDescent="0.3">
      <c r="A26" s="85"/>
      <c r="B26" s="85"/>
      <c r="C26" s="85"/>
      <c r="D26" s="85"/>
      <c r="E26" s="90"/>
      <c r="F26" s="90"/>
      <c r="G26" s="85">
        <v>0.32396000000000003</v>
      </c>
      <c r="H26" s="85"/>
      <c r="I26" s="85"/>
      <c r="J26" s="86"/>
      <c r="K26" s="84" t="s">
        <v>290</v>
      </c>
      <c r="L26" s="85"/>
      <c r="M26" s="85"/>
      <c r="N26" s="85"/>
      <c r="O26" s="85"/>
      <c r="P26" s="90"/>
      <c r="Q26" s="90"/>
      <c r="R26" s="85">
        <v>0.37669767441860463</v>
      </c>
      <c r="S26" s="85"/>
      <c r="T26" s="85"/>
      <c r="U26" s="86"/>
      <c r="W26" t="s">
        <v>412</v>
      </c>
      <c r="AC26" t="s">
        <v>413</v>
      </c>
      <c r="AI26" s="1" t="s">
        <v>414</v>
      </c>
    </row>
    <row r="27" spans="1:39" x14ac:dyDescent="0.25">
      <c r="A27" s="81">
        <v>0.18545</v>
      </c>
      <c r="B27" s="81">
        <v>9.2719999999999997E-2</v>
      </c>
      <c r="C27" s="256">
        <v>0.42459999999999998</v>
      </c>
      <c r="D27" s="256"/>
      <c r="E27" s="81"/>
      <c r="F27" s="81"/>
      <c r="G27" s="81"/>
      <c r="H27" s="81"/>
      <c r="I27" s="249"/>
      <c r="J27" s="251"/>
      <c r="K27" s="80" t="s">
        <v>292</v>
      </c>
      <c r="L27" s="81">
        <v>0.18545</v>
      </c>
      <c r="M27" s="81">
        <v>9.2719999999999997E-2</v>
      </c>
      <c r="N27" s="256">
        <v>0.42459999999999998</v>
      </c>
      <c r="O27" s="256"/>
      <c r="P27" s="81"/>
      <c r="Q27" s="81"/>
      <c r="R27" s="81"/>
      <c r="S27" s="81"/>
      <c r="T27" s="249"/>
      <c r="U27" s="251"/>
      <c r="W27" t="s">
        <v>415</v>
      </c>
      <c r="AC27" t="s">
        <v>416</v>
      </c>
      <c r="AI27" s="1" t="s">
        <v>417</v>
      </c>
    </row>
    <row r="28" spans="1:39" x14ac:dyDescent="0.25">
      <c r="A28" s="88"/>
      <c r="B28" s="88"/>
      <c r="C28" s="88"/>
      <c r="D28" s="88"/>
      <c r="E28" s="260">
        <v>1</v>
      </c>
      <c r="F28" s="260"/>
      <c r="G28" s="88"/>
      <c r="H28" s="88"/>
      <c r="I28" s="252"/>
      <c r="J28" s="253"/>
      <c r="K28" s="87" t="s">
        <v>295</v>
      </c>
      <c r="L28" s="88"/>
      <c r="M28" s="88"/>
      <c r="N28" s="88"/>
      <c r="O28" s="88"/>
      <c r="P28" s="260">
        <v>1</v>
      </c>
      <c r="Q28" s="260"/>
      <c r="R28" s="88"/>
      <c r="S28" s="88"/>
      <c r="T28" s="252"/>
      <c r="U28" s="253"/>
      <c r="W28" t="s">
        <v>418</v>
      </c>
      <c r="AC28" t="s">
        <v>419</v>
      </c>
    </row>
    <row r="29" spans="1:39" x14ac:dyDescent="0.25">
      <c r="A29" s="85"/>
      <c r="B29" s="85"/>
      <c r="C29" s="85"/>
      <c r="D29" s="85"/>
      <c r="E29" s="90"/>
      <c r="F29" s="90"/>
      <c r="G29" s="85"/>
      <c r="H29" s="85"/>
      <c r="I29" s="101"/>
      <c r="J29" s="102"/>
      <c r="K29" s="87" t="s">
        <v>364</v>
      </c>
      <c r="L29" s="85"/>
      <c r="M29" s="85"/>
      <c r="N29" s="85"/>
      <c r="O29" s="85"/>
      <c r="P29" s="90"/>
      <c r="Q29" s="90"/>
      <c r="R29" s="85"/>
      <c r="S29" s="85"/>
      <c r="T29" s="254">
        <v>0.21</v>
      </c>
      <c r="U29" s="255"/>
      <c r="W29" t="s">
        <v>420</v>
      </c>
      <c r="AC29" t="s">
        <v>421</v>
      </c>
    </row>
    <row r="30" spans="1:39" ht="15.75" thickBot="1" x14ac:dyDescent="0.3">
      <c r="A30" s="85"/>
      <c r="B30" s="85"/>
      <c r="C30" s="85"/>
      <c r="D30" s="85"/>
      <c r="E30" s="90"/>
      <c r="F30" s="90"/>
      <c r="G30" s="85">
        <v>0.24451999999999999</v>
      </c>
      <c r="H30" s="85">
        <v>0.1226</v>
      </c>
      <c r="I30" s="254">
        <v>0.34044000000000002</v>
      </c>
      <c r="J30" s="255"/>
      <c r="K30" s="84" t="s">
        <v>298</v>
      </c>
      <c r="L30" s="85"/>
      <c r="M30" s="85"/>
      <c r="N30" s="85"/>
      <c r="O30" s="85"/>
      <c r="P30" s="90"/>
      <c r="Q30" s="90"/>
      <c r="R30" s="85">
        <v>0.2843255813953488</v>
      </c>
      <c r="S30" s="85">
        <v>0.14255813953488372</v>
      </c>
      <c r="T30" s="254">
        <f>34.044%*1.05</f>
        <v>0.357462</v>
      </c>
      <c r="U30" s="255"/>
      <c r="W30" t="s">
        <v>422</v>
      </c>
      <c r="AC30" t="s">
        <v>423</v>
      </c>
      <c r="AJ30" s="125" t="s">
        <v>424</v>
      </c>
      <c r="AK30" s="125" t="s">
        <v>425</v>
      </c>
    </row>
    <row r="31" spans="1:39" x14ac:dyDescent="0.25">
      <c r="A31" s="81">
        <v>0.27438000000000001</v>
      </c>
      <c r="B31" s="81">
        <v>0.13719000000000001</v>
      </c>
      <c r="C31" s="256">
        <v>0.62792999999999999</v>
      </c>
      <c r="D31" s="256"/>
      <c r="E31" s="81"/>
      <c r="F31" s="81"/>
      <c r="G31" s="81"/>
      <c r="H31" s="81"/>
      <c r="I31" s="249"/>
      <c r="J31" s="251"/>
      <c r="K31" s="80" t="s">
        <v>300</v>
      </c>
      <c r="L31" s="81">
        <v>0.27438000000000001</v>
      </c>
      <c r="M31" s="81">
        <v>0.13719000000000001</v>
      </c>
      <c r="N31" s="256">
        <v>0.62792999999999999</v>
      </c>
      <c r="O31" s="256"/>
      <c r="P31" s="81"/>
      <c r="Q31" s="81"/>
      <c r="R31" s="81"/>
      <c r="S31" s="81"/>
      <c r="T31" s="249"/>
      <c r="U31" s="251"/>
      <c r="W31" t="s">
        <v>426</v>
      </c>
      <c r="AC31" t="s">
        <v>427</v>
      </c>
      <c r="AJ31" s="125" t="s">
        <v>428</v>
      </c>
      <c r="AK31" s="125" t="s">
        <v>429</v>
      </c>
    </row>
    <row r="32" spans="1:39" x14ac:dyDescent="0.25">
      <c r="A32" s="103"/>
      <c r="B32" s="103"/>
      <c r="C32" s="104"/>
      <c r="D32" s="104"/>
      <c r="E32" s="103"/>
      <c r="F32" s="103"/>
      <c r="G32" s="103"/>
      <c r="H32" s="103"/>
      <c r="I32" s="105"/>
      <c r="J32" s="106"/>
      <c r="K32" s="107" t="s">
        <v>365</v>
      </c>
      <c r="L32" s="103"/>
      <c r="M32" s="103"/>
      <c r="N32" s="104"/>
      <c r="O32" s="104"/>
      <c r="P32" s="103"/>
      <c r="Q32" s="103"/>
      <c r="R32" s="103"/>
      <c r="S32" s="103"/>
      <c r="T32" s="254">
        <v>0.12</v>
      </c>
      <c r="U32" s="255"/>
      <c r="W32" t="s">
        <v>430</v>
      </c>
      <c r="AC32" t="s">
        <v>431</v>
      </c>
      <c r="AJ32" s="125" t="s">
        <v>432</v>
      </c>
      <c r="AK32" s="125" t="s">
        <v>433</v>
      </c>
    </row>
    <row r="33" spans="1:37" ht="15.75" thickBot="1" x14ac:dyDescent="0.3">
      <c r="A33" s="85"/>
      <c r="B33" s="85"/>
      <c r="C33" s="90"/>
      <c r="D33" s="90"/>
      <c r="E33" s="85"/>
      <c r="F33" s="85"/>
      <c r="G33" s="85">
        <v>0.14949999999999999</v>
      </c>
      <c r="H33" s="85">
        <v>7.3999999999999996E-2</v>
      </c>
      <c r="I33" s="254">
        <v>0.23748</v>
      </c>
      <c r="J33" s="255"/>
      <c r="K33" s="84" t="s">
        <v>303</v>
      </c>
      <c r="L33" s="85"/>
      <c r="M33" s="85"/>
      <c r="N33" s="90"/>
      <c r="O33" s="90"/>
      <c r="P33" s="85"/>
      <c r="Q33" s="85"/>
      <c r="R33" s="85">
        <v>0.13906976744186045</v>
      </c>
      <c r="S33" s="85">
        <v>6.8837209302325592E-2</v>
      </c>
      <c r="T33" s="254">
        <f>23.748%*0.8</f>
        <v>0.18998400000000004</v>
      </c>
      <c r="U33" s="255"/>
      <c r="W33" t="s">
        <v>434</v>
      </c>
      <c r="AC33" t="s">
        <v>435</v>
      </c>
      <c r="AJ33" s="125" t="s">
        <v>436</v>
      </c>
      <c r="AK33" s="125" t="s">
        <v>437</v>
      </c>
    </row>
    <row r="34" spans="1:37" x14ac:dyDescent="0.25">
      <c r="A34" s="81">
        <v>0.11212</v>
      </c>
      <c r="B34" s="81">
        <v>5.6059999999999999E-2</v>
      </c>
      <c r="C34" s="256">
        <v>0.23462</v>
      </c>
      <c r="D34" s="256"/>
      <c r="E34" s="81"/>
      <c r="F34" s="81"/>
      <c r="G34" s="81"/>
      <c r="H34" s="81"/>
      <c r="I34" s="249"/>
      <c r="J34" s="251"/>
      <c r="K34" s="80" t="s">
        <v>305</v>
      </c>
      <c r="L34" s="81">
        <f>11.212%*0.75</f>
        <v>8.4089999999999998E-2</v>
      </c>
      <c r="M34" s="81">
        <f>5.606%*0.75</f>
        <v>4.2044999999999999E-2</v>
      </c>
      <c r="N34" s="256">
        <f>23.462%*0.75</f>
        <v>0.17596499999999998</v>
      </c>
      <c r="O34" s="256"/>
      <c r="P34" s="81"/>
      <c r="Q34" s="81"/>
      <c r="R34" s="81"/>
      <c r="S34" s="81"/>
      <c r="T34" s="249"/>
      <c r="U34" s="251"/>
      <c r="W34" t="s">
        <v>438</v>
      </c>
      <c r="AC34" t="s">
        <v>439</v>
      </c>
      <c r="AJ34" s="125" t="s">
        <v>440</v>
      </c>
      <c r="AK34" s="125" t="s">
        <v>441</v>
      </c>
    </row>
    <row r="35" spans="1:37" x14ac:dyDescent="0.25">
      <c r="A35" s="103"/>
      <c r="B35" s="103"/>
      <c r="C35" s="104"/>
      <c r="D35" s="104"/>
      <c r="E35" s="103"/>
      <c r="F35" s="103"/>
      <c r="G35" s="103"/>
      <c r="H35" s="103"/>
      <c r="I35" s="105"/>
      <c r="J35" s="106"/>
      <c r="K35" s="107" t="s">
        <v>366</v>
      </c>
      <c r="L35" s="103"/>
      <c r="M35" s="103"/>
      <c r="N35" s="104"/>
      <c r="O35" s="104"/>
      <c r="P35" s="103"/>
      <c r="Q35" s="103"/>
      <c r="R35" s="103"/>
      <c r="S35" s="103"/>
      <c r="T35" s="254">
        <v>0.31</v>
      </c>
      <c r="U35" s="255"/>
      <c r="W35" t="s">
        <v>442</v>
      </c>
      <c r="AC35" t="s">
        <v>443</v>
      </c>
    </row>
    <row r="36" spans="1:37" ht="15.75" thickBot="1" x14ac:dyDescent="0.3">
      <c r="A36" s="85"/>
      <c r="B36" s="85"/>
      <c r="C36" s="90"/>
      <c r="D36" s="90"/>
      <c r="E36" s="85"/>
      <c r="F36" s="85"/>
      <c r="G36" s="85">
        <v>0.23788000000000001</v>
      </c>
      <c r="H36" s="85">
        <v>0.11894</v>
      </c>
      <c r="I36" s="254">
        <v>0.50244</v>
      </c>
      <c r="J36" s="255"/>
      <c r="K36" s="84" t="s">
        <v>307</v>
      </c>
      <c r="L36" s="85"/>
      <c r="M36" s="85"/>
      <c r="N36" s="90"/>
      <c r="O36" s="90"/>
      <c r="P36" s="85"/>
      <c r="Q36" s="85"/>
      <c r="R36" s="85">
        <v>0.2766046511627907</v>
      </c>
      <c r="S36" s="85">
        <v>0.13830232558139535</v>
      </c>
      <c r="T36" s="254">
        <f>50.244%*1.05</f>
        <v>0.52756199999999998</v>
      </c>
      <c r="U36" s="255"/>
      <c r="AC36" t="s">
        <v>444</v>
      </c>
    </row>
    <row r="37" spans="1:37" ht="19.5" thickBot="1" x14ac:dyDescent="0.35">
      <c r="A37" s="94"/>
      <c r="B37" s="94"/>
      <c r="C37" s="94"/>
      <c r="D37" s="94"/>
      <c r="E37" s="257">
        <v>0.94696999999999998</v>
      </c>
      <c r="F37" s="257"/>
      <c r="G37" s="94"/>
      <c r="H37" s="94"/>
      <c r="I37" s="258"/>
      <c r="J37" s="259"/>
      <c r="K37" s="93" t="s">
        <v>309</v>
      </c>
      <c r="L37" s="94"/>
      <c r="M37" s="94"/>
      <c r="N37" s="94"/>
      <c r="O37" s="94"/>
      <c r="P37" s="257">
        <v>0.94696999999999998</v>
      </c>
      <c r="Q37" s="257"/>
      <c r="R37" s="94"/>
      <c r="S37" s="94"/>
      <c r="T37" s="258"/>
      <c r="U37" s="259"/>
      <c r="W37" s="265" t="s">
        <v>261</v>
      </c>
      <c r="X37" s="265"/>
      <c r="AC37" t="s">
        <v>445</v>
      </c>
    </row>
    <row r="38" spans="1:37" x14ac:dyDescent="0.25">
      <c r="A38" s="256">
        <v>0.15762999999999999</v>
      </c>
      <c r="B38" s="256"/>
      <c r="C38" s="256">
        <v>0.36070000000000002</v>
      </c>
      <c r="D38" s="256"/>
      <c r="E38" s="81"/>
      <c r="F38" s="81"/>
      <c r="G38" s="81"/>
      <c r="H38" s="81"/>
      <c r="I38" s="249"/>
      <c r="J38" s="251"/>
      <c r="K38" s="80" t="s">
        <v>310</v>
      </c>
      <c r="L38" s="256">
        <v>0.15762999999999999</v>
      </c>
      <c r="M38" s="256"/>
      <c r="N38" s="256">
        <v>0.36070000000000002</v>
      </c>
      <c r="O38" s="256"/>
      <c r="P38" s="81"/>
      <c r="Q38" s="81"/>
      <c r="R38" s="81"/>
      <c r="S38" s="81"/>
      <c r="T38" s="249"/>
      <c r="U38" s="251"/>
      <c r="AC38" t="s">
        <v>446</v>
      </c>
    </row>
    <row r="39" spans="1:37" x14ac:dyDescent="0.25">
      <c r="A39" s="88"/>
      <c r="B39" s="88"/>
      <c r="C39" s="88"/>
      <c r="D39" s="88"/>
      <c r="E39" s="260">
        <v>0.85</v>
      </c>
      <c r="F39" s="260"/>
      <c r="G39" s="88"/>
      <c r="H39" s="88"/>
      <c r="I39" s="252"/>
      <c r="J39" s="253"/>
      <c r="K39" s="87" t="s">
        <v>311</v>
      </c>
      <c r="L39" s="88"/>
      <c r="M39" s="88"/>
      <c r="N39" s="88"/>
      <c r="O39" s="88"/>
      <c r="P39" s="260">
        <v>0.85</v>
      </c>
      <c r="Q39" s="260"/>
      <c r="R39" s="88"/>
      <c r="S39" s="88"/>
      <c r="T39" s="252"/>
      <c r="U39" s="253"/>
      <c r="W39" t="s">
        <v>241</v>
      </c>
      <c r="AC39" t="s">
        <v>447</v>
      </c>
    </row>
    <row r="40" spans="1:37" ht="15.75" thickBot="1" x14ac:dyDescent="0.3">
      <c r="A40" s="85"/>
      <c r="B40" s="85"/>
      <c r="C40" s="85"/>
      <c r="D40" s="85"/>
      <c r="E40" s="90"/>
      <c r="F40" s="90"/>
      <c r="G40" s="85">
        <v>0.20784</v>
      </c>
      <c r="H40" s="85"/>
      <c r="I40" s="254">
        <v>0.28937000000000002</v>
      </c>
      <c r="J40" s="255"/>
      <c r="K40" s="84" t="s">
        <v>313</v>
      </c>
      <c r="L40" s="85"/>
      <c r="M40" s="85"/>
      <c r="N40" s="85"/>
      <c r="O40" s="85"/>
      <c r="P40" s="90"/>
      <c r="Q40" s="90"/>
      <c r="R40" s="85">
        <v>0.24167441860465114</v>
      </c>
      <c r="S40" s="85"/>
      <c r="T40" s="254">
        <v>0.28937000000000002</v>
      </c>
      <c r="U40" s="255"/>
      <c r="W40" t="s">
        <v>244</v>
      </c>
      <c r="AC40" t="s">
        <v>448</v>
      </c>
    </row>
    <row r="41" spans="1:37" x14ac:dyDescent="0.25">
      <c r="A41" s="256">
        <v>0.20368</v>
      </c>
      <c r="B41" s="256"/>
      <c r="C41" s="256">
        <v>0.33767000000000003</v>
      </c>
      <c r="D41" s="256"/>
      <c r="E41" s="81"/>
      <c r="F41" s="81"/>
      <c r="G41" s="81"/>
      <c r="H41" s="81"/>
      <c r="I41" s="249"/>
      <c r="J41" s="251"/>
      <c r="K41" s="80" t="s">
        <v>315</v>
      </c>
      <c r="L41" s="256">
        <v>0.20368</v>
      </c>
      <c r="M41" s="256"/>
      <c r="N41" s="256">
        <v>0.33767000000000003</v>
      </c>
      <c r="O41" s="256"/>
      <c r="P41" s="81"/>
      <c r="Q41" s="81"/>
      <c r="R41" s="81"/>
      <c r="S41" s="81"/>
      <c r="T41" s="249"/>
      <c r="U41" s="251"/>
      <c r="W41" t="s">
        <v>247</v>
      </c>
      <c r="AC41" t="s">
        <v>449</v>
      </c>
    </row>
    <row r="42" spans="1:37" x14ac:dyDescent="0.25">
      <c r="A42" s="88"/>
      <c r="B42" s="88"/>
      <c r="C42" s="88"/>
      <c r="D42" s="88"/>
      <c r="E42" s="260">
        <v>0.89815999999999996</v>
      </c>
      <c r="F42" s="260"/>
      <c r="G42" s="88"/>
      <c r="H42" s="88"/>
      <c r="I42" s="252"/>
      <c r="J42" s="253"/>
      <c r="K42" s="87" t="s">
        <v>317</v>
      </c>
      <c r="L42" s="88"/>
      <c r="M42" s="88"/>
      <c r="N42" s="88"/>
      <c r="O42" s="88"/>
      <c r="P42" s="260">
        <v>0.89815999999999996</v>
      </c>
      <c r="Q42" s="260"/>
      <c r="R42" s="88"/>
      <c r="S42" s="88"/>
      <c r="T42" s="252"/>
      <c r="U42" s="253"/>
      <c r="AC42" t="s">
        <v>450</v>
      </c>
    </row>
    <row r="43" spans="1:37" x14ac:dyDescent="0.25">
      <c r="A43" s="88"/>
      <c r="B43" s="88"/>
      <c r="C43" s="88"/>
      <c r="D43" s="88"/>
      <c r="E43" s="95"/>
      <c r="F43" s="95"/>
      <c r="G43" s="88">
        <v>0.57364000000000004</v>
      </c>
      <c r="H43" s="88"/>
      <c r="I43" s="252"/>
      <c r="J43" s="253"/>
      <c r="K43" s="87" t="s">
        <v>319</v>
      </c>
      <c r="L43" s="88"/>
      <c r="M43" s="88"/>
      <c r="N43" s="88"/>
      <c r="O43" s="88"/>
      <c r="P43" s="95"/>
      <c r="Q43" s="95"/>
      <c r="R43" s="88">
        <v>0.6670232558139535</v>
      </c>
      <c r="S43" s="88"/>
      <c r="T43" s="252"/>
      <c r="U43" s="253"/>
      <c r="W43" t="s">
        <v>256</v>
      </c>
      <c r="AC43" t="s">
        <v>451</v>
      </c>
    </row>
    <row r="44" spans="1:37" ht="15.75" thickBot="1" x14ac:dyDescent="0.3">
      <c r="A44" s="85"/>
      <c r="B44" s="85"/>
      <c r="C44" s="85"/>
      <c r="D44" s="85"/>
      <c r="E44" s="90"/>
      <c r="F44" s="90"/>
      <c r="G44" s="85">
        <v>0.26422000000000001</v>
      </c>
      <c r="H44" s="85"/>
      <c r="I44" s="254">
        <v>0.2399</v>
      </c>
      <c r="J44" s="255"/>
      <c r="K44" s="84" t="s">
        <v>321</v>
      </c>
      <c r="L44" s="85"/>
      <c r="M44" s="85"/>
      <c r="N44" s="85"/>
      <c r="O44" s="85"/>
      <c r="P44" s="90"/>
      <c r="Q44" s="90"/>
      <c r="R44" s="85">
        <v>0.30723255813953487</v>
      </c>
      <c r="S44" s="85"/>
      <c r="T44" s="254">
        <f>23.99%*1.06</f>
        <v>0.25429399999999996</v>
      </c>
      <c r="U44" s="255"/>
      <c r="W44" t="s">
        <v>258</v>
      </c>
      <c r="AC44" t="s">
        <v>452</v>
      </c>
    </row>
    <row r="45" spans="1:37" x14ac:dyDescent="0.25">
      <c r="A45" s="81">
        <v>0.34708</v>
      </c>
      <c r="B45" s="92"/>
      <c r="C45" s="256">
        <v>0.20830000000000001</v>
      </c>
      <c r="D45" s="256"/>
      <c r="E45" s="81"/>
      <c r="F45" s="81"/>
      <c r="G45" s="81"/>
      <c r="H45" s="81"/>
      <c r="I45" s="249"/>
      <c r="J45" s="251"/>
      <c r="K45" s="80" t="s">
        <v>322</v>
      </c>
      <c r="L45" s="81">
        <v>0.34708</v>
      </c>
      <c r="M45" s="92"/>
      <c r="N45" s="256">
        <v>0.20830000000000001</v>
      </c>
      <c r="O45" s="256"/>
      <c r="P45" s="81"/>
      <c r="Q45" s="81"/>
      <c r="R45" s="81"/>
      <c r="S45" s="81"/>
      <c r="T45" s="249"/>
      <c r="U45" s="251"/>
      <c r="AC45" t="s">
        <v>453</v>
      </c>
    </row>
    <row r="46" spans="1:37" x14ac:dyDescent="0.25">
      <c r="A46" s="88"/>
      <c r="B46" s="88"/>
      <c r="C46" s="88"/>
      <c r="D46" s="88"/>
      <c r="E46" s="260">
        <v>0.52559999999999996</v>
      </c>
      <c r="F46" s="260"/>
      <c r="G46" s="88"/>
      <c r="H46" s="88"/>
      <c r="I46" s="252"/>
      <c r="J46" s="253"/>
      <c r="K46" s="87" t="s">
        <v>323</v>
      </c>
      <c r="L46" s="88"/>
      <c r="M46" s="88"/>
      <c r="N46" s="88"/>
      <c r="O46" s="88"/>
      <c r="P46" s="260">
        <v>0.52559999999999996</v>
      </c>
      <c r="Q46" s="260"/>
      <c r="R46" s="88"/>
      <c r="S46" s="88"/>
      <c r="T46" s="252"/>
      <c r="U46" s="253"/>
      <c r="W46" t="s">
        <v>373</v>
      </c>
      <c r="AC46" t="s">
        <v>454</v>
      </c>
    </row>
    <row r="47" spans="1:37" x14ac:dyDescent="0.25">
      <c r="A47" s="88"/>
      <c r="B47" s="88"/>
      <c r="C47" s="88"/>
      <c r="D47" s="88"/>
      <c r="E47" s="95"/>
      <c r="F47" s="95"/>
      <c r="G47" s="88">
        <v>0.84328000000000003</v>
      </c>
      <c r="H47" s="88"/>
      <c r="I47" s="252"/>
      <c r="J47" s="253"/>
      <c r="K47" s="87" t="s">
        <v>324</v>
      </c>
      <c r="L47" s="88"/>
      <c r="M47" s="88"/>
      <c r="N47" s="88"/>
      <c r="O47" s="88"/>
      <c r="P47" s="95"/>
      <c r="Q47" s="95"/>
      <c r="R47" s="88">
        <v>0.85308558139534874</v>
      </c>
      <c r="S47" s="88"/>
      <c r="T47" s="252"/>
      <c r="U47" s="253"/>
    </row>
    <row r="48" spans="1:37" ht="15.75" thickBot="1" x14ac:dyDescent="0.3">
      <c r="A48" s="85"/>
      <c r="B48" s="85"/>
      <c r="C48" s="85"/>
      <c r="D48" s="85"/>
      <c r="E48" s="90"/>
      <c r="F48" s="90"/>
      <c r="G48" s="85">
        <v>0.23543</v>
      </c>
      <c r="H48" s="85"/>
      <c r="I48" s="254">
        <v>0.13220000000000001</v>
      </c>
      <c r="J48" s="255"/>
      <c r="K48" s="84" t="s">
        <v>326</v>
      </c>
      <c r="L48" s="85"/>
      <c r="M48" s="85"/>
      <c r="N48" s="85"/>
      <c r="O48" s="85"/>
      <c r="P48" s="90"/>
      <c r="Q48" s="90"/>
      <c r="R48" s="85">
        <v>0.27375581395348836</v>
      </c>
      <c r="S48" s="85"/>
      <c r="T48" s="254">
        <f>13.22%*1.16</f>
        <v>0.15335200000000002</v>
      </c>
      <c r="U48" s="255"/>
      <c r="W48" t="s">
        <v>455</v>
      </c>
      <c r="AC48" t="s">
        <v>456</v>
      </c>
    </row>
    <row r="49" spans="1:30" ht="15.75" thickBot="1" x14ac:dyDescent="0.3">
      <c r="A49" s="94"/>
      <c r="B49" s="94"/>
      <c r="C49" s="94"/>
      <c r="D49" s="94"/>
      <c r="E49" s="257">
        <v>0.43773000000000001</v>
      </c>
      <c r="F49" s="257"/>
      <c r="G49" s="94"/>
      <c r="H49" s="94"/>
      <c r="I49" s="258"/>
      <c r="J49" s="259"/>
      <c r="K49" s="93" t="s">
        <v>367</v>
      </c>
      <c r="L49" s="94"/>
      <c r="M49" s="94"/>
      <c r="N49" s="94"/>
      <c r="O49" s="94"/>
      <c r="P49" s="257">
        <v>0.43773000000000001</v>
      </c>
      <c r="Q49" s="257"/>
      <c r="R49" s="94"/>
      <c r="S49" s="94"/>
      <c r="T49" s="258"/>
      <c r="U49" s="259"/>
      <c r="V49" s="40"/>
      <c r="W49" t="s">
        <v>457</v>
      </c>
    </row>
    <row r="50" spans="1:30" ht="18.75" x14ac:dyDescent="0.3">
      <c r="A50" s="81">
        <v>0.47361999999999999</v>
      </c>
      <c r="B50" s="92"/>
      <c r="C50" s="256">
        <v>0.28101999999999999</v>
      </c>
      <c r="D50" s="256"/>
      <c r="E50" s="81"/>
      <c r="F50" s="81"/>
      <c r="G50" s="81"/>
      <c r="H50" s="81"/>
      <c r="I50" s="249"/>
      <c r="J50" s="251"/>
      <c r="K50" s="80" t="s">
        <v>328</v>
      </c>
      <c r="L50" s="81">
        <v>0.47361999999999999</v>
      </c>
      <c r="M50" s="92"/>
      <c r="N50" s="256">
        <v>0.28101999999999999</v>
      </c>
      <c r="O50" s="256"/>
      <c r="P50" s="81"/>
      <c r="Q50" s="81"/>
      <c r="R50" s="81"/>
      <c r="S50" s="81"/>
      <c r="T50" s="249"/>
      <c r="U50" s="251"/>
      <c r="W50" t="s">
        <v>458</v>
      </c>
      <c r="AC50" s="265" t="s">
        <v>251</v>
      </c>
      <c r="AD50" s="265"/>
    </row>
    <row r="51" spans="1:30" x14ac:dyDescent="0.25">
      <c r="A51" s="88"/>
      <c r="B51" s="96"/>
      <c r="C51" s="95"/>
      <c r="D51" s="95"/>
      <c r="E51" s="88"/>
      <c r="F51" s="88"/>
      <c r="G51" s="88">
        <v>0.71950000000000003</v>
      </c>
      <c r="H51" s="88"/>
      <c r="I51" s="252"/>
      <c r="J51" s="253"/>
      <c r="K51" s="87" t="s">
        <v>329</v>
      </c>
      <c r="L51" s="88"/>
      <c r="M51" s="96"/>
      <c r="N51" s="95"/>
      <c r="O51" s="95"/>
      <c r="P51" s="88"/>
      <c r="Q51" s="88"/>
      <c r="R51" s="88">
        <v>0.66930232558139535</v>
      </c>
      <c r="S51" s="88"/>
      <c r="T51" s="252"/>
      <c r="U51" s="253"/>
      <c r="W51" t="s">
        <v>459</v>
      </c>
    </row>
    <row r="52" spans="1:30" ht="15.75" thickBot="1" x14ac:dyDescent="0.3">
      <c r="A52" s="85"/>
      <c r="B52" s="97"/>
      <c r="C52" s="90"/>
      <c r="D52" s="90"/>
      <c r="E52" s="85"/>
      <c r="F52" s="85"/>
      <c r="G52" s="85">
        <v>0.20451</v>
      </c>
      <c r="H52" s="85"/>
      <c r="I52" s="254">
        <v>9.1600000000000001E-2</v>
      </c>
      <c r="J52" s="255"/>
      <c r="K52" s="84" t="s">
        <v>331</v>
      </c>
      <c r="L52" s="85"/>
      <c r="M52" s="97"/>
      <c r="N52" s="90"/>
      <c r="O52" s="90"/>
      <c r="P52" s="85"/>
      <c r="Q52" s="85"/>
      <c r="R52" s="85">
        <v>0.23780232558139536</v>
      </c>
      <c r="S52" s="85"/>
      <c r="T52" s="254">
        <v>9.1600000000000001E-2</v>
      </c>
      <c r="U52" s="255"/>
      <c r="W52" t="s">
        <v>460</v>
      </c>
      <c r="AC52" t="s">
        <v>242</v>
      </c>
    </row>
    <row r="53" spans="1:30" x14ac:dyDescent="0.25">
      <c r="A53" s="81">
        <v>0.17321</v>
      </c>
      <c r="B53" s="92"/>
      <c r="C53" s="256">
        <v>9.2929999999999999E-2</v>
      </c>
      <c r="D53" s="256"/>
      <c r="E53" s="81"/>
      <c r="F53" s="81"/>
      <c r="G53" s="81"/>
      <c r="H53" s="81"/>
      <c r="I53" s="249"/>
      <c r="J53" s="251"/>
      <c r="K53" s="80" t="s">
        <v>333</v>
      </c>
      <c r="L53" s="81">
        <v>0.17321</v>
      </c>
      <c r="M53" s="92"/>
      <c r="N53" s="256">
        <f>9.293%*0.8</f>
        <v>7.4344000000000007E-2</v>
      </c>
      <c r="O53" s="256"/>
      <c r="P53" s="81"/>
      <c r="Q53" s="81"/>
      <c r="R53" s="81"/>
      <c r="S53" s="81"/>
      <c r="T53" s="249"/>
      <c r="U53" s="251"/>
      <c r="W53" t="s">
        <v>461</v>
      </c>
      <c r="AC53" t="s">
        <v>245</v>
      </c>
    </row>
    <row r="54" spans="1:30" x14ac:dyDescent="0.25">
      <c r="A54" s="88"/>
      <c r="B54" s="96"/>
      <c r="C54" s="95"/>
      <c r="D54" s="95"/>
      <c r="E54" s="88"/>
      <c r="F54" s="88"/>
      <c r="G54" s="88">
        <v>1</v>
      </c>
      <c r="H54" s="88"/>
      <c r="I54" s="252"/>
      <c r="J54" s="253"/>
      <c r="K54" s="87" t="s">
        <v>335</v>
      </c>
      <c r="L54" s="88"/>
      <c r="M54" s="96"/>
      <c r="N54" s="95"/>
      <c r="O54" s="95"/>
      <c r="P54" s="88"/>
      <c r="Q54" s="88"/>
      <c r="R54" s="88">
        <v>1</v>
      </c>
      <c r="S54" s="88"/>
      <c r="T54" s="252"/>
      <c r="U54" s="253"/>
      <c r="W54" t="s">
        <v>462</v>
      </c>
      <c r="AC54" t="s">
        <v>247</v>
      </c>
    </row>
    <row r="55" spans="1:30" ht="15.75" thickBot="1" x14ac:dyDescent="0.3">
      <c r="A55" s="85"/>
      <c r="B55" s="97"/>
      <c r="C55" s="90"/>
      <c r="D55" s="90"/>
      <c r="E55" s="85"/>
      <c r="F55" s="85"/>
      <c r="G55" s="85">
        <v>0.26967000000000002</v>
      </c>
      <c r="H55" s="85"/>
      <c r="I55" s="254">
        <v>0.1535</v>
      </c>
      <c r="J55" s="255"/>
      <c r="K55" s="84" t="s">
        <v>337</v>
      </c>
      <c r="L55" s="85"/>
      <c r="M55" s="97"/>
      <c r="N55" s="90"/>
      <c r="O55" s="90"/>
      <c r="P55" s="85"/>
      <c r="Q55" s="85"/>
      <c r="R55" s="85">
        <v>0.31356976744186049</v>
      </c>
      <c r="S55" s="85"/>
      <c r="T55" s="254">
        <v>0.1535</v>
      </c>
      <c r="U55" s="255"/>
      <c r="V55" s="40"/>
      <c r="W55" t="s">
        <v>463</v>
      </c>
    </row>
    <row r="56" spans="1:30" ht="15.75" thickBot="1" x14ac:dyDescent="0.3">
      <c r="A56" s="94"/>
      <c r="B56" s="94"/>
      <c r="C56" s="94"/>
      <c r="D56" s="94"/>
      <c r="E56" s="257">
        <v>0.43773000000000001</v>
      </c>
      <c r="F56" s="257"/>
      <c r="G56" s="94"/>
      <c r="H56" s="94"/>
      <c r="I56" s="258"/>
      <c r="J56" s="259"/>
      <c r="K56" s="93" t="s">
        <v>368</v>
      </c>
      <c r="L56" s="94"/>
      <c r="M56" s="94"/>
      <c r="N56" s="94"/>
      <c r="O56" s="94"/>
      <c r="P56" s="257">
        <f>43.773%*0.8</f>
        <v>0.35018400000000005</v>
      </c>
      <c r="Q56" s="257"/>
      <c r="R56" s="94"/>
      <c r="S56" s="94"/>
      <c r="T56" s="258"/>
      <c r="U56" s="259"/>
      <c r="V56" s="40"/>
      <c r="W56" t="s">
        <v>464</v>
      </c>
      <c r="AC56" t="s">
        <v>465</v>
      </c>
    </row>
    <row r="57" spans="1:30" x14ac:dyDescent="0.25">
      <c r="A57" s="81">
        <v>0.28996</v>
      </c>
      <c r="B57" s="92"/>
      <c r="C57" s="256">
        <v>0.25344</v>
      </c>
      <c r="D57" s="256"/>
      <c r="E57" s="81"/>
      <c r="F57" s="81"/>
      <c r="G57" s="81"/>
      <c r="H57" s="81"/>
      <c r="I57" s="249"/>
      <c r="J57" s="251"/>
      <c r="K57" s="80" t="s">
        <v>340</v>
      </c>
      <c r="L57" s="81">
        <v>0.28996</v>
      </c>
      <c r="M57" s="92"/>
      <c r="N57" s="256">
        <v>0.25344</v>
      </c>
      <c r="O57" s="256"/>
      <c r="P57" s="81"/>
      <c r="Q57" s="81"/>
      <c r="R57" s="81"/>
      <c r="S57" s="81"/>
      <c r="T57" s="249"/>
      <c r="U57" s="251"/>
      <c r="V57" s="40"/>
      <c r="W57" t="s">
        <v>466</v>
      </c>
    </row>
    <row r="58" spans="1:30" x14ac:dyDescent="0.25">
      <c r="A58" s="88"/>
      <c r="B58" s="88"/>
      <c r="C58" s="88"/>
      <c r="D58" s="88"/>
      <c r="E58" s="260">
        <v>0.65949000000000002</v>
      </c>
      <c r="F58" s="260"/>
      <c r="G58" s="88"/>
      <c r="H58" s="88"/>
      <c r="I58" s="252"/>
      <c r="J58" s="253"/>
      <c r="K58" s="87" t="s">
        <v>342</v>
      </c>
      <c r="L58" s="88"/>
      <c r="M58" s="88"/>
      <c r="N58" s="88"/>
      <c r="O58" s="88"/>
      <c r="P58" s="260">
        <f>65.949%*1.1</f>
        <v>0.72543900000000006</v>
      </c>
      <c r="Q58" s="260"/>
      <c r="R58" s="88"/>
      <c r="S58" s="88"/>
      <c r="T58" s="252"/>
      <c r="U58" s="253"/>
      <c r="V58" s="40"/>
      <c r="W58" t="s">
        <v>467</v>
      </c>
      <c r="AC58" t="s">
        <v>372</v>
      </c>
    </row>
    <row r="59" spans="1:30" x14ac:dyDescent="0.25">
      <c r="A59" s="88"/>
      <c r="B59" s="88"/>
      <c r="C59" s="88"/>
      <c r="D59" s="88"/>
      <c r="E59" s="95"/>
      <c r="F59" s="95"/>
      <c r="G59" s="88">
        <v>0.56411</v>
      </c>
      <c r="H59" s="88"/>
      <c r="I59" s="252"/>
      <c r="J59" s="253"/>
      <c r="K59" s="87" t="s">
        <v>344</v>
      </c>
      <c r="L59" s="88"/>
      <c r="M59" s="88"/>
      <c r="N59" s="88"/>
      <c r="O59" s="88"/>
      <c r="P59" s="95"/>
      <c r="Q59" s="95"/>
      <c r="R59" s="88">
        <v>0.70185779069767451</v>
      </c>
      <c r="S59" s="88"/>
      <c r="T59" s="252"/>
      <c r="U59" s="253"/>
      <c r="V59" s="40"/>
      <c r="W59" t="s">
        <v>468</v>
      </c>
    </row>
    <row r="60" spans="1:30" ht="15.75" thickBot="1" x14ac:dyDescent="0.3">
      <c r="A60" s="85"/>
      <c r="B60" s="85"/>
      <c r="C60" s="85"/>
      <c r="D60" s="85"/>
      <c r="E60" s="90"/>
      <c r="F60" s="90"/>
      <c r="G60" s="85">
        <v>0.14326</v>
      </c>
      <c r="H60" s="85"/>
      <c r="I60" s="254">
        <v>0.17191999999999999</v>
      </c>
      <c r="J60" s="255"/>
      <c r="K60" s="84" t="s">
        <v>346</v>
      </c>
      <c r="L60" s="85"/>
      <c r="M60" s="85"/>
      <c r="N60" s="85"/>
      <c r="O60" s="85"/>
      <c r="P60" s="90"/>
      <c r="Q60" s="90"/>
      <c r="R60" s="85">
        <v>0.2082267441860465</v>
      </c>
      <c r="S60" s="85"/>
      <c r="T60" s="254">
        <f>17.192%</f>
        <v>0.17191999999999999</v>
      </c>
      <c r="U60" s="255"/>
      <c r="V60" s="40"/>
      <c r="W60" t="s">
        <v>469</v>
      </c>
      <c r="AC60" t="s">
        <v>470</v>
      </c>
    </row>
    <row r="61" spans="1:30" x14ac:dyDescent="0.25">
      <c r="A61" s="81"/>
      <c r="B61" s="81"/>
      <c r="C61" s="81"/>
      <c r="D61" s="81"/>
      <c r="E61" s="98"/>
      <c r="F61" s="98"/>
      <c r="G61" s="81">
        <v>0.19162000000000001</v>
      </c>
      <c r="H61" s="81"/>
      <c r="I61" s="249"/>
      <c r="J61" s="251"/>
      <c r="K61" s="80" t="s">
        <v>348</v>
      </c>
      <c r="L61" s="81"/>
      <c r="M61" s="81"/>
      <c r="N61" s="81"/>
      <c r="O61" s="81"/>
      <c r="P61" s="98"/>
      <c r="Q61" s="98"/>
      <c r="R61" s="81">
        <v>0.22281395348837213</v>
      </c>
      <c r="S61" s="81"/>
      <c r="T61" s="249"/>
      <c r="U61" s="251"/>
      <c r="V61" s="40"/>
      <c r="W61" t="s">
        <v>471</v>
      </c>
      <c r="AC61" t="s">
        <v>472</v>
      </c>
    </row>
    <row r="62" spans="1:30" ht="15.75" thickBot="1" x14ac:dyDescent="0.3">
      <c r="A62" s="88"/>
      <c r="B62" s="88"/>
      <c r="C62" s="88"/>
      <c r="D62" s="88"/>
      <c r="E62" s="95"/>
      <c r="F62" s="95"/>
      <c r="G62" s="88">
        <v>0.49523</v>
      </c>
      <c r="H62" s="88"/>
      <c r="I62" s="252"/>
      <c r="J62" s="253"/>
      <c r="K62" s="87" t="s">
        <v>349</v>
      </c>
      <c r="L62" s="88"/>
      <c r="M62" s="88"/>
      <c r="N62" s="88"/>
      <c r="O62" s="88"/>
      <c r="P62" s="95"/>
      <c r="Q62" s="95"/>
      <c r="R62" s="88">
        <v>0.57584883720930236</v>
      </c>
      <c r="S62" s="88"/>
      <c r="T62" s="252"/>
      <c r="U62" s="253"/>
      <c r="V62" s="40"/>
      <c r="W62" t="s">
        <v>473</v>
      </c>
      <c r="AC62" t="s">
        <v>474</v>
      </c>
    </row>
    <row r="63" spans="1:30" x14ac:dyDescent="0.25">
      <c r="A63" s="88"/>
      <c r="B63" s="88"/>
      <c r="C63" s="88"/>
      <c r="D63" s="88"/>
      <c r="E63" s="95"/>
      <c r="F63" s="95"/>
      <c r="G63" s="88"/>
      <c r="H63" s="88"/>
      <c r="I63" s="108"/>
      <c r="J63" s="109"/>
      <c r="K63" s="87" t="s">
        <v>369</v>
      </c>
      <c r="L63" s="88"/>
      <c r="M63" s="88"/>
      <c r="N63" s="88"/>
      <c r="O63" s="88"/>
      <c r="P63" s="249">
        <v>0.15</v>
      </c>
      <c r="Q63" s="250"/>
      <c r="R63" s="88"/>
      <c r="S63" s="88"/>
      <c r="T63" s="108"/>
      <c r="U63" s="109"/>
      <c r="V63" s="40"/>
      <c r="W63" t="s">
        <v>475</v>
      </c>
      <c r="AC63" t="s">
        <v>476</v>
      </c>
    </row>
    <row r="64" spans="1:30" x14ac:dyDescent="0.25">
      <c r="A64" s="88"/>
      <c r="B64" s="88"/>
      <c r="C64" s="88"/>
      <c r="D64" s="88"/>
      <c r="E64" s="95"/>
      <c r="F64" s="95"/>
      <c r="G64" s="88">
        <v>0.47439999999999999</v>
      </c>
      <c r="H64" s="88"/>
      <c r="I64" s="252">
        <v>0.60697000000000001</v>
      </c>
      <c r="J64" s="253"/>
      <c r="K64" s="87" t="s">
        <v>350</v>
      </c>
      <c r="L64" s="88"/>
      <c r="M64" s="88"/>
      <c r="N64" s="88"/>
      <c r="O64" s="88"/>
      <c r="P64" s="95"/>
      <c r="Q64" s="95"/>
      <c r="R64" s="88">
        <v>0.55162790697674413</v>
      </c>
      <c r="S64" s="88"/>
      <c r="T64" s="252">
        <v>0.60697000000000001</v>
      </c>
      <c r="U64" s="253"/>
      <c r="V64" s="40"/>
      <c r="W64" t="s">
        <v>477</v>
      </c>
      <c r="AC64" t="s">
        <v>478</v>
      </c>
    </row>
    <row r="65" spans="1:29" ht="15.75" thickBot="1" x14ac:dyDescent="0.3">
      <c r="A65" s="85"/>
      <c r="B65" s="85"/>
      <c r="C65" s="85"/>
      <c r="D65" s="85"/>
      <c r="E65" s="90"/>
      <c r="F65" s="90"/>
      <c r="G65" s="85">
        <v>0.16774</v>
      </c>
      <c r="H65" s="85"/>
      <c r="I65" s="254">
        <v>0.24779999999999999</v>
      </c>
      <c r="J65" s="255"/>
      <c r="K65" s="84" t="s">
        <v>351</v>
      </c>
      <c r="L65" s="85"/>
      <c r="M65" s="85"/>
      <c r="N65" s="85"/>
      <c r="O65" s="85"/>
      <c r="P65" s="90"/>
      <c r="Q65" s="90"/>
      <c r="R65" s="85">
        <v>0.19504651162790698</v>
      </c>
      <c r="S65" s="85"/>
      <c r="T65" s="254">
        <v>0.24779999999999999</v>
      </c>
      <c r="U65" s="255"/>
      <c r="V65" s="40"/>
      <c r="W65" t="s">
        <v>479</v>
      </c>
      <c r="AC65" t="s">
        <v>480</v>
      </c>
    </row>
    <row r="66" spans="1:29" x14ac:dyDescent="0.25">
      <c r="A66" s="81"/>
      <c r="B66" s="81"/>
      <c r="C66" s="81"/>
      <c r="D66" s="81"/>
      <c r="E66" s="249">
        <v>0.45617999999999997</v>
      </c>
      <c r="F66" s="250"/>
      <c r="G66" s="81"/>
      <c r="H66" s="81"/>
      <c r="I66" s="249"/>
      <c r="J66" s="251"/>
      <c r="K66" s="80" t="s">
        <v>352</v>
      </c>
      <c r="L66" s="81"/>
      <c r="M66" s="81"/>
      <c r="N66" s="81"/>
      <c r="O66" s="81"/>
      <c r="P66" s="249">
        <v>0.45617999999999997</v>
      </c>
      <c r="Q66" s="250"/>
      <c r="R66" s="81"/>
      <c r="S66" s="81"/>
      <c r="T66" s="249"/>
      <c r="U66" s="251"/>
      <c r="V66" s="40"/>
      <c r="W66" t="s">
        <v>481</v>
      </c>
      <c r="AC66" t="s">
        <v>482</v>
      </c>
    </row>
    <row r="67" spans="1:29" x14ac:dyDescent="0.25">
      <c r="A67" s="88"/>
      <c r="B67" s="88"/>
      <c r="C67" s="88"/>
      <c r="D67" s="88"/>
      <c r="E67" s="88"/>
      <c r="F67" s="88"/>
      <c r="G67" s="88">
        <v>0.28649999999999998</v>
      </c>
      <c r="H67" s="88"/>
      <c r="I67" s="252">
        <v>0.80176999999999998</v>
      </c>
      <c r="J67" s="253"/>
      <c r="K67" s="87" t="s">
        <v>353</v>
      </c>
      <c r="L67" s="88"/>
      <c r="M67" s="88"/>
      <c r="N67" s="88"/>
      <c r="O67" s="88"/>
      <c r="P67" s="88"/>
      <c r="Q67" s="88"/>
      <c r="R67" s="88">
        <v>0.33313953488372089</v>
      </c>
      <c r="S67" s="88"/>
      <c r="T67" s="252">
        <v>0.50800000000000001</v>
      </c>
      <c r="U67" s="253"/>
      <c r="V67" s="40"/>
      <c r="AC67" t="s">
        <v>483</v>
      </c>
    </row>
    <row r="68" spans="1:29" x14ac:dyDescent="0.25">
      <c r="A68" s="88"/>
      <c r="B68" s="88"/>
      <c r="C68" s="88"/>
      <c r="D68" s="88"/>
      <c r="E68" s="88"/>
      <c r="F68" s="88"/>
      <c r="G68" s="88">
        <v>0.20932000000000001</v>
      </c>
      <c r="H68" s="88"/>
      <c r="I68" s="252">
        <v>0.50775999999999999</v>
      </c>
      <c r="J68" s="253"/>
      <c r="K68" s="87" t="s">
        <v>355</v>
      </c>
      <c r="L68" s="88"/>
      <c r="M68" s="88"/>
      <c r="N68" s="88"/>
      <c r="O68" s="88"/>
      <c r="P68" s="88"/>
      <c r="Q68" s="88"/>
      <c r="R68" s="88">
        <v>0.24339534883720934</v>
      </c>
      <c r="S68" s="88"/>
      <c r="T68" s="252">
        <v>0.50775999999999999</v>
      </c>
      <c r="U68" s="253"/>
      <c r="V68" s="40"/>
      <c r="AC68" t="s">
        <v>484</v>
      </c>
    </row>
    <row r="69" spans="1:29" ht="18.75" x14ac:dyDescent="0.3">
      <c r="A69" s="88"/>
      <c r="B69" s="88"/>
      <c r="C69" s="88"/>
      <c r="D69" s="88"/>
      <c r="E69" s="88"/>
      <c r="F69" s="88"/>
      <c r="G69" s="88">
        <v>0.14599000000000001</v>
      </c>
      <c r="H69" s="88"/>
      <c r="I69" s="252"/>
      <c r="J69" s="253"/>
      <c r="K69" s="87" t="s">
        <v>356</v>
      </c>
      <c r="L69" s="88"/>
      <c r="M69" s="88"/>
      <c r="N69" s="88"/>
      <c r="O69" s="88"/>
      <c r="P69" s="88"/>
      <c r="Q69" s="88"/>
      <c r="R69" s="88">
        <v>0.16975581395348838</v>
      </c>
      <c r="S69" s="88"/>
      <c r="T69" s="252"/>
      <c r="U69" s="253"/>
      <c r="V69" s="40"/>
      <c r="W69" s="265" t="s">
        <v>236</v>
      </c>
      <c r="X69" s="265"/>
      <c r="AC69" t="s">
        <v>485</v>
      </c>
    </row>
    <row r="70" spans="1:29" ht="15.75" thickBot="1" x14ac:dyDescent="0.3">
      <c r="A70" s="85"/>
      <c r="B70" s="85"/>
      <c r="C70" s="85"/>
      <c r="D70" s="85"/>
      <c r="E70" s="85"/>
      <c r="F70" s="85"/>
      <c r="G70" s="85">
        <v>0.12414</v>
      </c>
      <c r="H70" s="85"/>
      <c r="I70" s="254">
        <v>0.61785000000000001</v>
      </c>
      <c r="J70" s="255"/>
      <c r="K70" s="84" t="s">
        <v>357</v>
      </c>
      <c r="L70" s="85"/>
      <c r="M70" s="85"/>
      <c r="N70" s="85"/>
      <c r="O70" s="85"/>
      <c r="P70" s="85"/>
      <c r="Q70" s="85"/>
      <c r="R70" s="85">
        <v>0.14434883720930233</v>
      </c>
      <c r="S70" s="85"/>
      <c r="T70" s="254">
        <v>0.61785000000000001</v>
      </c>
      <c r="U70" s="255"/>
      <c r="V70" s="40"/>
      <c r="AC70" t="s">
        <v>486</v>
      </c>
    </row>
    <row r="71" spans="1:29" ht="15.75" thickBot="1" x14ac:dyDescent="0.3">
      <c r="A71" s="81"/>
      <c r="B71" s="81"/>
      <c r="C71" s="81"/>
      <c r="D71" s="81"/>
      <c r="E71" s="81"/>
      <c r="F71" s="81"/>
      <c r="G71" s="81">
        <v>0.23763000000000001</v>
      </c>
      <c r="H71" s="81"/>
      <c r="I71" s="249">
        <v>1</v>
      </c>
      <c r="J71" s="251"/>
      <c r="K71" s="80" t="s">
        <v>358</v>
      </c>
      <c r="L71" s="81"/>
      <c r="M71" s="81"/>
      <c r="N71" s="81"/>
      <c r="O71" s="81"/>
      <c r="P71" s="81"/>
      <c r="Q71" s="81"/>
      <c r="R71" s="81">
        <v>0.27631395348837212</v>
      </c>
      <c r="S71" s="81"/>
      <c r="T71" s="249">
        <v>1</v>
      </c>
      <c r="U71" s="251"/>
      <c r="V71" s="40"/>
      <c r="W71" t="s">
        <v>282</v>
      </c>
      <c r="AC71" t="s">
        <v>487</v>
      </c>
    </row>
    <row r="72" spans="1:29" x14ac:dyDescent="0.25">
      <c r="A72" s="110"/>
      <c r="B72" s="110"/>
      <c r="C72" s="110"/>
      <c r="D72" s="110"/>
      <c r="E72" s="110"/>
      <c r="F72" s="110"/>
      <c r="G72" s="110"/>
      <c r="H72" s="110"/>
      <c r="I72" s="111"/>
      <c r="J72" s="112"/>
      <c r="K72" s="113" t="s">
        <v>370</v>
      </c>
      <c r="L72" s="110"/>
      <c r="M72" s="110"/>
      <c r="N72" s="110"/>
      <c r="O72" s="110"/>
      <c r="P72" s="249">
        <v>0.25</v>
      </c>
      <c r="Q72" s="250"/>
      <c r="R72" s="110"/>
      <c r="S72" s="110"/>
      <c r="T72" s="111"/>
      <c r="U72" s="112"/>
      <c r="V72" s="40"/>
      <c r="W72" t="s">
        <v>285</v>
      </c>
      <c r="AC72" t="s">
        <v>488</v>
      </c>
    </row>
    <row r="73" spans="1:29" x14ac:dyDescent="0.25">
      <c r="A73" s="88"/>
      <c r="B73" s="88"/>
      <c r="C73" s="88"/>
      <c r="D73" s="88"/>
      <c r="E73" s="88"/>
      <c r="F73" s="88"/>
      <c r="G73" s="88">
        <v>0.17316000000000001</v>
      </c>
      <c r="H73" s="88"/>
      <c r="I73" s="252"/>
      <c r="J73" s="253"/>
      <c r="K73" s="87" t="s">
        <v>359</v>
      </c>
      <c r="L73" s="88"/>
      <c r="M73" s="88"/>
      <c r="N73" s="88"/>
      <c r="O73" s="88"/>
      <c r="P73" s="88"/>
      <c r="Q73" s="88"/>
      <c r="R73" s="88">
        <v>0.20134883720930236</v>
      </c>
      <c r="S73" s="88"/>
      <c r="T73" s="252"/>
      <c r="U73" s="253"/>
      <c r="V73" s="40"/>
      <c r="W73" t="s">
        <v>288</v>
      </c>
      <c r="AC73" t="s">
        <v>489</v>
      </c>
    </row>
    <row r="74" spans="1:29" ht="15.75" thickBot="1" x14ac:dyDescent="0.3">
      <c r="A74" s="85"/>
      <c r="B74" s="85"/>
      <c r="C74" s="85"/>
      <c r="D74" s="85"/>
      <c r="E74" s="85"/>
      <c r="F74" s="85"/>
      <c r="G74" s="85">
        <v>0.12317</v>
      </c>
      <c r="H74" s="85"/>
      <c r="I74" s="254">
        <v>0.33643600000000001</v>
      </c>
      <c r="J74" s="255"/>
      <c r="K74" s="84" t="s">
        <v>360</v>
      </c>
      <c r="L74" s="85"/>
      <c r="M74" s="85"/>
      <c r="N74" s="85"/>
      <c r="O74" s="85"/>
      <c r="P74" s="85"/>
      <c r="Q74" s="85"/>
      <c r="R74" s="85">
        <v>0.14322093023255814</v>
      </c>
      <c r="S74" s="85"/>
      <c r="T74" s="254">
        <v>0.33643600000000001</v>
      </c>
      <c r="U74" s="255"/>
      <c r="V74" s="40"/>
      <c r="AC74" t="s">
        <v>490</v>
      </c>
    </row>
    <row r="75" spans="1:29" x14ac:dyDescent="0.25">
      <c r="A75" s="81"/>
      <c r="B75" s="81"/>
      <c r="C75" s="81"/>
      <c r="D75" s="81"/>
      <c r="E75" s="81"/>
      <c r="F75" s="81"/>
      <c r="G75" s="81">
        <v>0.20199</v>
      </c>
      <c r="H75" s="81"/>
      <c r="I75" s="249">
        <v>0.85</v>
      </c>
      <c r="J75" s="251"/>
      <c r="K75" s="80" t="s">
        <v>361</v>
      </c>
      <c r="L75" s="81"/>
      <c r="M75" s="81"/>
      <c r="N75" s="81"/>
      <c r="O75" s="81"/>
      <c r="P75" s="81"/>
      <c r="Q75" s="81"/>
      <c r="R75" s="81">
        <v>0.23487209302325585</v>
      </c>
      <c r="S75" s="81"/>
      <c r="T75" s="249">
        <v>0.85</v>
      </c>
      <c r="U75" s="251"/>
      <c r="V75" s="40"/>
      <c r="W75" t="s">
        <v>293</v>
      </c>
      <c r="AC75" t="s">
        <v>491</v>
      </c>
    </row>
    <row r="76" spans="1:29" x14ac:dyDescent="0.25">
      <c r="A76" s="88"/>
      <c r="B76" s="88"/>
      <c r="C76" s="88"/>
      <c r="D76" s="88"/>
      <c r="E76" s="88"/>
      <c r="F76" s="88"/>
      <c r="G76" s="88">
        <v>0.17718999999999999</v>
      </c>
      <c r="H76" s="88"/>
      <c r="I76" s="252"/>
      <c r="J76" s="253"/>
      <c r="K76" s="87" t="s">
        <v>362</v>
      </c>
      <c r="L76" s="88"/>
      <c r="M76" s="88"/>
      <c r="N76" s="88"/>
      <c r="O76" s="88"/>
      <c r="P76" s="88"/>
      <c r="Q76" s="88"/>
      <c r="R76" s="88">
        <v>0.20603488372093021</v>
      </c>
      <c r="S76" s="88"/>
      <c r="T76" s="252"/>
      <c r="U76" s="253"/>
      <c r="V76" s="40"/>
      <c r="W76" t="s">
        <v>296</v>
      </c>
      <c r="AC76" t="s">
        <v>492</v>
      </c>
    </row>
    <row r="77" spans="1:29" ht="15.75" thickBot="1" x14ac:dyDescent="0.3">
      <c r="A77" s="100"/>
      <c r="B77" s="100"/>
      <c r="C77" s="100"/>
      <c r="D77" s="100"/>
      <c r="E77" s="100"/>
      <c r="F77" s="100"/>
      <c r="G77" s="100">
        <v>0.1047</v>
      </c>
      <c r="H77" s="100"/>
      <c r="I77" s="247">
        <v>0.28591</v>
      </c>
      <c r="J77" s="248"/>
      <c r="K77" s="99" t="s">
        <v>363</v>
      </c>
      <c r="L77" s="100"/>
      <c r="M77" s="100"/>
      <c r="N77" s="100"/>
      <c r="O77" s="100"/>
      <c r="P77" s="100"/>
      <c r="Q77" s="100"/>
      <c r="R77" s="100">
        <v>0.12174418604651163</v>
      </c>
      <c r="S77" s="100"/>
      <c r="T77" s="247">
        <v>0.28591</v>
      </c>
      <c r="U77" s="248"/>
      <c r="V77" s="40"/>
      <c r="AC77" t="s">
        <v>493</v>
      </c>
    </row>
    <row r="78" spans="1:29" x14ac:dyDescent="0.25">
      <c r="L78" s="40"/>
      <c r="M78" s="40"/>
      <c r="N78" s="40"/>
      <c r="O78" s="40"/>
      <c r="W78" t="s">
        <v>373</v>
      </c>
    </row>
    <row r="80" spans="1:29" x14ac:dyDescent="0.25">
      <c r="W80" t="s">
        <v>494</v>
      </c>
      <c r="AC80" t="s">
        <v>495</v>
      </c>
    </row>
    <row r="81" spans="23:27" x14ac:dyDescent="0.25">
      <c r="W81" t="s">
        <v>496</v>
      </c>
    </row>
    <row r="82" spans="23:27" x14ac:dyDescent="0.25">
      <c r="W82" t="s">
        <v>497</v>
      </c>
    </row>
    <row r="83" spans="23:27" x14ac:dyDescent="0.25">
      <c r="W83" t="s">
        <v>498</v>
      </c>
    </row>
    <row r="84" spans="23:27" x14ac:dyDescent="0.25">
      <c r="W84" t="s">
        <v>499</v>
      </c>
    </row>
    <row r="85" spans="23:27" x14ac:dyDescent="0.25">
      <c r="W85" t="s">
        <v>500</v>
      </c>
    </row>
    <row r="86" spans="23:27" x14ac:dyDescent="0.25">
      <c r="W86" t="s">
        <v>501</v>
      </c>
    </row>
    <row r="87" spans="23:27" x14ac:dyDescent="0.25">
      <c r="W87" t="s">
        <v>502</v>
      </c>
    </row>
    <row r="88" spans="23:27" x14ac:dyDescent="0.25">
      <c r="W88" t="s">
        <v>503</v>
      </c>
    </row>
    <row r="89" spans="23:27" x14ac:dyDescent="0.25">
      <c r="W89" t="s">
        <v>504</v>
      </c>
      <c r="AA89" s="75"/>
    </row>
    <row r="90" spans="23:27" x14ac:dyDescent="0.25">
      <c r="W90" t="s">
        <v>505</v>
      </c>
    </row>
    <row r="91" spans="23:27" x14ac:dyDescent="0.25">
      <c r="W91" t="s">
        <v>506</v>
      </c>
    </row>
    <row r="92" spans="23:27" x14ac:dyDescent="0.25">
      <c r="W92" t="s">
        <v>507</v>
      </c>
    </row>
    <row r="93" spans="23:27" x14ac:dyDescent="0.25">
      <c r="W93" t="s">
        <v>508</v>
      </c>
    </row>
    <row r="94" spans="23:27" x14ac:dyDescent="0.25">
      <c r="W94" t="s">
        <v>509</v>
      </c>
    </row>
    <row r="95" spans="23:27" x14ac:dyDescent="0.25">
      <c r="W95" t="s">
        <v>510</v>
      </c>
    </row>
  </sheetData>
  <mergeCells count="210">
    <mergeCell ref="N1:O1"/>
    <mergeCell ref="P1:Q1"/>
    <mergeCell ref="R1:S1"/>
    <mergeCell ref="T1:U1"/>
    <mergeCell ref="A2:B2"/>
    <mergeCell ref="C2:D2"/>
    <mergeCell ref="E2:F2"/>
    <mergeCell ref="G2:H2"/>
    <mergeCell ref="I2:J2"/>
    <mergeCell ref="L2:M2"/>
    <mergeCell ref="A1:B1"/>
    <mergeCell ref="C1:D1"/>
    <mergeCell ref="E1:F1"/>
    <mergeCell ref="G1:H1"/>
    <mergeCell ref="I1:J1"/>
    <mergeCell ref="L1:M1"/>
    <mergeCell ref="N2:O2"/>
    <mergeCell ref="P2:Q2"/>
    <mergeCell ref="R2:S2"/>
    <mergeCell ref="T2:U2"/>
    <mergeCell ref="C3:D3"/>
    <mergeCell ref="E3:F3"/>
    <mergeCell ref="I3:J3"/>
    <mergeCell ref="N3:O3"/>
    <mergeCell ref="P3:Q3"/>
    <mergeCell ref="T3:U3"/>
    <mergeCell ref="C6:D6"/>
    <mergeCell ref="N6:O6"/>
    <mergeCell ref="E7:F7"/>
    <mergeCell ref="P7:Q7"/>
    <mergeCell ref="C8:D8"/>
    <mergeCell ref="N8:O8"/>
    <mergeCell ref="A4:B4"/>
    <mergeCell ref="C4:D4"/>
    <mergeCell ref="L4:M4"/>
    <mergeCell ref="N4:O4"/>
    <mergeCell ref="A5:B5"/>
    <mergeCell ref="C5:D5"/>
    <mergeCell ref="L5:M5"/>
    <mergeCell ref="N5:O5"/>
    <mergeCell ref="A13:B13"/>
    <mergeCell ref="C13:D13"/>
    <mergeCell ref="L13:M13"/>
    <mergeCell ref="N13:O13"/>
    <mergeCell ref="E14:F14"/>
    <mergeCell ref="P14:Q14"/>
    <mergeCell ref="E9:F9"/>
    <mergeCell ref="P9:Q9"/>
    <mergeCell ref="C10:D10"/>
    <mergeCell ref="N10:O10"/>
    <mergeCell ref="E11:F11"/>
    <mergeCell ref="P11:Q11"/>
    <mergeCell ref="E19:F19"/>
    <mergeCell ref="P19:Q19"/>
    <mergeCell ref="C21:D21"/>
    <mergeCell ref="N21:O21"/>
    <mergeCell ref="E22:F22"/>
    <mergeCell ref="P22:Q22"/>
    <mergeCell ref="C15:D15"/>
    <mergeCell ref="N15:O15"/>
    <mergeCell ref="E16:F16"/>
    <mergeCell ref="P16:Q16"/>
    <mergeCell ref="C18:D18"/>
    <mergeCell ref="N18:O18"/>
    <mergeCell ref="T27:U27"/>
    <mergeCell ref="E28:F28"/>
    <mergeCell ref="I28:J28"/>
    <mergeCell ref="P28:Q28"/>
    <mergeCell ref="T28:U28"/>
    <mergeCell ref="T29:U29"/>
    <mergeCell ref="C24:D24"/>
    <mergeCell ref="N24:O24"/>
    <mergeCell ref="E25:F25"/>
    <mergeCell ref="P25:Q25"/>
    <mergeCell ref="C27:D27"/>
    <mergeCell ref="I27:J27"/>
    <mergeCell ref="N27:O27"/>
    <mergeCell ref="T32:U32"/>
    <mergeCell ref="I33:J33"/>
    <mergeCell ref="T33:U33"/>
    <mergeCell ref="C34:D34"/>
    <mergeCell ref="I34:J34"/>
    <mergeCell ref="N34:O34"/>
    <mergeCell ref="T34:U34"/>
    <mergeCell ref="I30:J30"/>
    <mergeCell ref="T30:U30"/>
    <mergeCell ref="C31:D31"/>
    <mergeCell ref="I31:J31"/>
    <mergeCell ref="N31:O31"/>
    <mergeCell ref="T31:U31"/>
    <mergeCell ref="A38:B38"/>
    <mergeCell ref="C38:D38"/>
    <mergeCell ref="I38:J38"/>
    <mergeCell ref="L38:M38"/>
    <mergeCell ref="N38:O38"/>
    <mergeCell ref="T38:U38"/>
    <mergeCell ref="T35:U35"/>
    <mergeCell ref="I36:J36"/>
    <mergeCell ref="T36:U36"/>
    <mergeCell ref="E37:F37"/>
    <mergeCell ref="I37:J37"/>
    <mergeCell ref="P37:Q37"/>
    <mergeCell ref="T37:U37"/>
    <mergeCell ref="A41:B41"/>
    <mergeCell ref="C41:D41"/>
    <mergeCell ref="I41:J41"/>
    <mergeCell ref="L41:M41"/>
    <mergeCell ref="N41:O41"/>
    <mergeCell ref="T41:U41"/>
    <mergeCell ref="E39:F39"/>
    <mergeCell ref="I39:J39"/>
    <mergeCell ref="P39:Q39"/>
    <mergeCell ref="T39:U39"/>
    <mergeCell ref="I40:J40"/>
    <mergeCell ref="T40:U40"/>
    <mergeCell ref="I44:J44"/>
    <mergeCell ref="T44:U44"/>
    <mergeCell ref="C45:D45"/>
    <mergeCell ref="I45:J45"/>
    <mergeCell ref="N45:O45"/>
    <mergeCell ref="T45:U45"/>
    <mergeCell ref="E42:F42"/>
    <mergeCell ref="I42:J42"/>
    <mergeCell ref="P42:Q42"/>
    <mergeCell ref="T42:U42"/>
    <mergeCell ref="I43:J43"/>
    <mergeCell ref="T43:U43"/>
    <mergeCell ref="T48:U48"/>
    <mergeCell ref="E49:F49"/>
    <mergeCell ref="I49:J49"/>
    <mergeCell ref="P49:Q49"/>
    <mergeCell ref="T49:U49"/>
    <mergeCell ref="E46:F46"/>
    <mergeCell ref="I46:J46"/>
    <mergeCell ref="P46:Q46"/>
    <mergeCell ref="T46:U46"/>
    <mergeCell ref="I47:J47"/>
    <mergeCell ref="T47:U47"/>
    <mergeCell ref="C53:D53"/>
    <mergeCell ref="I53:J53"/>
    <mergeCell ref="N53:O53"/>
    <mergeCell ref="T53:U53"/>
    <mergeCell ref="C50:D50"/>
    <mergeCell ref="I50:J50"/>
    <mergeCell ref="N50:O50"/>
    <mergeCell ref="T50:U50"/>
    <mergeCell ref="I51:J51"/>
    <mergeCell ref="T51:U51"/>
    <mergeCell ref="C57:D57"/>
    <mergeCell ref="I57:J57"/>
    <mergeCell ref="N57:O57"/>
    <mergeCell ref="T57:U57"/>
    <mergeCell ref="E58:F58"/>
    <mergeCell ref="I58:J58"/>
    <mergeCell ref="P58:Q58"/>
    <mergeCell ref="T58:U58"/>
    <mergeCell ref="I54:J54"/>
    <mergeCell ref="T54:U54"/>
    <mergeCell ref="I55:J55"/>
    <mergeCell ref="T55:U55"/>
    <mergeCell ref="E56:F56"/>
    <mergeCell ref="I56:J56"/>
    <mergeCell ref="P56:Q56"/>
    <mergeCell ref="T56:U56"/>
    <mergeCell ref="E66:F66"/>
    <mergeCell ref="I66:J66"/>
    <mergeCell ref="P66:Q66"/>
    <mergeCell ref="T66:U66"/>
    <mergeCell ref="I67:J67"/>
    <mergeCell ref="T67:U67"/>
    <mergeCell ref="I62:J62"/>
    <mergeCell ref="T62:U62"/>
    <mergeCell ref="P63:Q63"/>
    <mergeCell ref="I64:J64"/>
    <mergeCell ref="T64:U64"/>
    <mergeCell ref="I65:J65"/>
    <mergeCell ref="T65:U65"/>
    <mergeCell ref="I77:J77"/>
    <mergeCell ref="T77:U77"/>
    <mergeCell ref="I71:J71"/>
    <mergeCell ref="T71:U71"/>
    <mergeCell ref="P72:Q72"/>
    <mergeCell ref="I73:J73"/>
    <mergeCell ref="T73:U73"/>
    <mergeCell ref="I74:J74"/>
    <mergeCell ref="T74:U74"/>
    <mergeCell ref="W1:X1"/>
    <mergeCell ref="AC1:AD1"/>
    <mergeCell ref="W37:X37"/>
    <mergeCell ref="AC50:AD50"/>
    <mergeCell ref="W69:X69"/>
    <mergeCell ref="I75:J75"/>
    <mergeCell ref="T75:U75"/>
    <mergeCell ref="I76:J76"/>
    <mergeCell ref="T76:U76"/>
    <mergeCell ref="I68:J68"/>
    <mergeCell ref="T68:U68"/>
    <mergeCell ref="I69:J69"/>
    <mergeCell ref="T69:U69"/>
    <mergeCell ref="I70:J70"/>
    <mergeCell ref="T70:U70"/>
    <mergeCell ref="I59:J59"/>
    <mergeCell ref="T59:U59"/>
    <mergeCell ref="I60:J60"/>
    <mergeCell ref="T60:U60"/>
    <mergeCell ref="I61:J61"/>
    <mergeCell ref="T61:U61"/>
    <mergeCell ref="I52:J52"/>
    <mergeCell ref="T52:U52"/>
    <mergeCell ref="I48:J48"/>
  </mergeCells>
  <conditionalFormatting sqref="A4:J48 A50:J77">
    <cfRule type="cellIs" dxfId="21" priority="13" operator="between">
      <formula>0.15</formula>
      <formula>0.3</formula>
    </cfRule>
    <cfRule type="cellIs" dxfId="20" priority="14" operator="between">
      <formula>0.3</formula>
      <formula>0.6</formula>
    </cfRule>
    <cfRule type="cellIs" dxfId="19" priority="15" operator="greaterThan">
      <formula>0.6</formula>
    </cfRule>
    <cfRule type="cellIs" dxfId="18" priority="16" operator="lessThan">
      <formula>0.15</formula>
    </cfRule>
  </conditionalFormatting>
  <conditionalFormatting sqref="L4:U48 L50:U77">
    <cfRule type="cellIs" dxfId="17" priority="9" operator="between">
      <formula>0.15</formula>
      <formula>0.3</formula>
    </cfRule>
    <cfRule type="cellIs" dxfId="16" priority="10" operator="between">
      <formula>0.3</formula>
      <formula>0.6</formula>
    </cfRule>
    <cfRule type="cellIs" dxfId="15" priority="11" operator="greaterThan">
      <formula>0.6</formula>
    </cfRule>
    <cfRule type="cellIs" dxfId="14" priority="12" operator="lessThan">
      <formula>0.15</formula>
    </cfRule>
  </conditionalFormatting>
  <conditionalFormatting sqref="A49:J49">
    <cfRule type="cellIs" dxfId="13" priority="5" operator="between">
      <formula>0.15</formula>
      <formula>0.3</formula>
    </cfRule>
    <cfRule type="cellIs" dxfId="12" priority="6" operator="between">
      <formula>0.3</formula>
      <formula>0.6</formula>
    </cfRule>
    <cfRule type="cellIs" dxfId="11" priority="7" operator="greaterThan">
      <formula>0.6</formula>
    </cfRule>
    <cfRule type="cellIs" dxfId="10" priority="8" operator="lessThan">
      <formula>0.15</formula>
    </cfRule>
  </conditionalFormatting>
  <conditionalFormatting sqref="L49:U49">
    <cfRule type="cellIs" dxfId="9" priority="1" operator="between">
      <formula>0.15</formula>
      <formula>0.3</formula>
    </cfRule>
    <cfRule type="cellIs" dxfId="8" priority="2" operator="between">
      <formula>0.3</formula>
      <formula>0.6</formula>
    </cfRule>
    <cfRule type="cellIs" dxfId="7" priority="3" operator="greaterThan">
      <formula>0.6</formula>
    </cfRule>
    <cfRule type="cellIs" dxfId="6" priority="4" operator="lessThan">
      <formula>0.15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A9E8-356C-43F6-819C-A89E83AA286B}">
  <sheetPr>
    <tabColor theme="5" tint="0.79998168889431442"/>
  </sheetPr>
  <dimension ref="A1:Q97"/>
  <sheetViews>
    <sheetView zoomScale="80" zoomScaleNormal="80" workbookViewId="0">
      <selection activeCell="A11" sqref="A11"/>
    </sheetView>
  </sheetViews>
  <sheetFormatPr baseColWidth="10" defaultRowHeight="15" x14ac:dyDescent="0.25"/>
  <cols>
    <col min="1" max="1" width="8.140625" customWidth="1"/>
    <col min="2" max="2" width="34.42578125" bestFit="1" customWidth="1"/>
    <col min="3" max="3" width="5" bestFit="1" customWidth="1"/>
    <col min="4" max="4" width="8.28515625" bestFit="1" customWidth="1"/>
    <col min="7" max="7" width="5.85546875" bestFit="1" customWidth="1"/>
    <col min="8" max="8" width="34.42578125" bestFit="1" customWidth="1"/>
    <col min="9" max="9" width="8.28515625" bestFit="1" customWidth="1"/>
    <col min="10" max="10" width="6.140625" bestFit="1" customWidth="1"/>
    <col min="11" max="12" width="5" bestFit="1" customWidth="1"/>
    <col min="13" max="13" width="12" bestFit="1" customWidth="1"/>
    <col min="14" max="14" width="9" bestFit="1" customWidth="1"/>
    <col min="15" max="15" width="10" bestFit="1" customWidth="1"/>
    <col min="17" max="17" width="245.5703125" bestFit="1" customWidth="1"/>
  </cols>
  <sheetData>
    <row r="1" spans="1:15" x14ac:dyDescent="0.25">
      <c r="A1" t="s">
        <v>511</v>
      </c>
      <c r="M1" s="38"/>
      <c r="N1" s="38"/>
    </row>
    <row r="2" spans="1:15" x14ac:dyDescent="0.25">
      <c r="A2" s="126" t="s">
        <v>512</v>
      </c>
      <c r="N2" s="127" t="s">
        <v>513</v>
      </c>
      <c r="O2" s="127" t="s">
        <v>514</v>
      </c>
    </row>
    <row r="3" spans="1:15" x14ac:dyDescent="0.25">
      <c r="K3" s="128">
        <v>3.17</v>
      </c>
      <c r="L3">
        <v>0</v>
      </c>
      <c r="M3">
        <f t="shared" ref="M3:M23" si="0">L3^$K$3</f>
        <v>0</v>
      </c>
      <c r="N3" s="129">
        <v>0</v>
      </c>
      <c r="O3" s="127">
        <f>M3*10/2</f>
        <v>0</v>
      </c>
    </row>
    <row r="4" spans="1:15" x14ac:dyDescent="0.25">
      <c r="B4" s="268" t="s">
        <v>515</v>
      </c>
      <c r="C4" s="268"/>
      <c r="D4" s="130" t="s">
        <v>516</v>
      </c>
      <c r="G4" s="268" t="s">
        <v>517</v>
      </c>
      <c r="H4" s="268"/>
      <c r="I4" s="130" t="s">
        <v>516</v>
      </c>
      <c r="L4">
        <v>0.05</v>
      </c>
      <c r="M4">
        <f t="shared" si="0"/>
        <v>7.5116425567310291E-5</v>
      </c>
      <c r="N4" s="131">
        <v>2.5000000000000001E-2</v>
      </c>
      <c r="O4" s="132">
        <f t="shared" ref="O4:O43" si="1">M4*10/2</f>
        <v>3.7558212783655147E-4</v>
      </c>
    </row>
    <row r="5" spans="1:15" ht="18.75" x14ac:dyDescent="0.3">
      <c r="B5" s="133" t="s">
        <v>518</v>
      </c>
      <c r="C5" s="134">
        <v>9.24</v>
      </c>
      <c r="D5" s="135">
        <f>(C5)/(C5+C6)</f>
        <v>0.60629921259842523</v>
      </c>
      <c r="G5" s="133" t="s">
        <v>518</v>
      </c>
      <c r="H5" s="134">
        <v>9</v>
      </c>
      <c r="I5" s="135">
        <f>(H5)/(H5+H6)</f>
        <v>0.59055118110236215</v>
      </c>
      <c r="J5" s="121">
        <f>(I5+D5)/2</f>
        <v>0.59842519685039375</v>
      </c>
      <c r="L5">
        <v>0.1</v>
      </c>
      <c r="M5">
        <f t="shared" si="0"/>
        <v>6.760829753919824E-4</v>
      </c>
      <c r="N5" s="129">
        <v>0.05</v>
      </c>
      <c r="O5" s="132">
        <f t="shared" si="1"/>
        <v>3.3804148769599118E-3</v>
      </c>
    </row>
    <row r="6" spans="1:15" ht="18.75" x14ac:dyDescent="0.3">
      <c r="B6" s="133" t="s">
        <v>519</v>
      </c>
      <c r="C6" s="134">
        <v>6</v>
      </c>
      <c r="D6" s="136">
        <f>1-D5</f>
        <v>0.39370078740157477</v>
      </c>
      <c r="G6" s="133" t="s">
        <v>519</v>
      </c>
      <c r="H6" s="134">
        <v>6.24</v>
      </c>
      <c r="I6" s="136">
        <f>1-I5</f>
        <v>0.40944881889763785</v>
      </c>
      <c r="L6">
        <v>0.15</v>
      </c>
      <c r="M6">
        <f t="shared" si="0"/>
        <v>2.4446083520705164E-3</v>
      </c>
      <c r="N6" s="129">
        <v>7.4999999999999997E-2</v>
      </c>
      <c r="O6" s="132">
        <f t="shared" si="1"/>
        <v>1.2223041760352582E-2</v>
      </c>
    </row>
    <row r="7" spans="1:15" x14ac:dyDescent="0.25">
      <c r="L7">
        <v>0.2</v>
      </c>
      <c r="M7">
        <f t="shared" si="0"/>
        <v>6.0850631025472397E-3</v>
      </c>
      <c r="N7" s="131">
        <v>0.1</v>
      </c>
      <c r="O7" s="132">
        <f t="shared" si="1"/>
        <v>3.0425315512736199E-2</v>
      </c>
    </row>
    <row r="8" spans="1:15" x14ac:dyDescent="0.25">
      <c r="L8">
        <v>0.25</v>
      </c>
      <c r="M8">
        <f t="shared" si="0"/>
        <v>1.2344395497865269E-2</v>
      </c>
      <c r="N8" s="129">
        <v>0.125</v>
      </c>
      <c r="O8" s="132">
        <f t="shared" si="1"/>
        <v>6.1721977489326348E-2</v>
      </c>
    </row>
    <row r="9" spans="1:15" x14ac:dyDescent="0.25">
      <c r="B9" s="91" t="s">
        <v>520</v>
      </c>
      <c r="H9" s="91" t="s">
        <v>520</v>
      </c>
      <c r="L9">
        <v>0.3</v>
      </c>
      <c r="M9">
        <f t="shared" si="0"/>
        <v>2.2002618945904492E-2</v>
      </c>
      <c r="N9" s="129">
        <v>0.15</v>
      </c>
      <c r="O9" s="132">
        <f t="shared" si="1"/>
        <v>0.11001309472952246</v>
      </c>
    </row>
    <row r="10" spans="1:15" x14ac:dyDescent="0.25">
      <c r="B10" s="91" t="s">
        <v>521</v>
      </c>
      <c r="H10" s="91" t="s">
        <v>521</v>
      </c>
      <c r="L10">
        <v>0.35</v>
      </c>
      <c r="M10">
        <f t="shared" si="0"/>
        <v>3.5867053500140966E-2</v>
      </c>
      <c r="N10" s="131">
        <v>0.17499999999999999</v>
      </c>
      <c r="O10" s="132">
        <f t="shared" si="1"/>
        <v>0.17933526750070483</v>
      </c>
    </row>
    <row r="11" spans="1:15" x14ac:dyDescent="0.25">
      <c r="B11" s="91" t="s">
        <v>522</v>
      </c>
      <c r="H11" s="91" t="s">
        <v>522</v>
      </c>
      <c r="L11">
        <v>0.4</v>
      </c>
      <c r="M11">
        <f t="shared" si="0"/>
        <v>5.476841498710066E-2</v>
      </c>
      <c r="N11" s="129">
        <v>0.2</v>
      </c>
      <c r="O11" s="132">
        <f t="shared" si="1"/>
        <v>0.27384207493550328</v>
      </c>
    </row>
    <row r="12" spans="1:15" x14ac:dyDescent="0.25">
      <c r="B12" s="91" t="s">
        <v>523</v>
      </c>
      <c r="E12" s="75"/>
      <c r="F12" s="75"/>
      <c r="H12" s="91" t="s">
        <v>523</v>
      </c>
      <c r="L12">
        <v>0.45</v>
      </c>
      <c r="M12">
        <f t="shared" si="0"/>
        <v>7.9557965516581536E-2</v>
      </c>
      <c r="N12" s="129">
        <v>0.22500000000000001</v>
      </c>
      <c r="O12" s="132">
        <f t="shared" si="1"/>
        <v>0.39778982758290771</v>
      </c>
    </row>
    <row r="13" spans="1:15" x14ac:dyDescent="0.25">
      <c r="B13" s="91" t="s">
        <v>524</v>
      </c>
      <c r="F13" s="75"/>
      <c r="H13" s="91" t="s">
        <v>524</v>
      </c>
      <c r="L13">
        <v>0.5</v>
      </c>
      <c r="M13">
        <f t="shared" si="0"/>
        <v>0.11110533514582129</v>
      </c>
      <c r="N13" s="131">
        <v>0.25</v>
      </c>
      <c r="O13" s="132">
        <f t="shared" si="1"/>
        <v>0.55552667572910641</v>
      </c>
    </row>
    <row r="14" spans="1:15" x14ac:dyDescent="0.25">
      <c r="B14" s="91" t="s">
        <v>525</v>
      </c>
      <c r="F14" s="75"/>
      <c r="H14" s="91" t="s">
        <v>525</v>
      </c>
      <c r="L14">
        <v>0.55000000000000004</v>
      </c>
      <c r="M14">
        <f t="shared" si="0"/>
        <v>0.15029679711525923</v>
      </c>
      <c r="N14" s="129">
        <v>0.27500000000000002</v>
      </c>
      <c r="O14" s="132">
        <f t="shared" si="1"/>
        <v>0.75148398557629614</v>
      </c>
    </row>
    <row r="15" spans="1:15" x14ac:dyDescent="0.25">
      <c r="B15" s="91" t="s">
        <v>526</v>
      </c>
      <c r="F15" s="75"/>
      <c r="H15" s="91" t="s">
        <v>526</v>
      </c>
      <c r="L15">
        <v>0.6</v>
      </c>
      <c r="M15">
        <f t="shared" si="0"/>
        <v>0.19803386504371684</v>
      </c>
      <c r="N15" s="137">
        <v>0.3</v>
      </c>
      <c r="O15" s="138">
        <f t="shared" si="1"/>
        <v>0.99016932521858414</v>
      </c>
    </row>
    <row r="16" spans="1:15" x14ac:dyDescent="0.25">
      <c r="B16" s="91" t="s">
        <v>527</v>
      </c>
      <c r="F16" s="75"/>
      <c r="H16" s="91" t="s">
        <v>527</v>
      </c>
      <c r="L16">
        <v>0.65</v>
      </c>
      <c r="M16">
        <f t="shared" si="0"/>
        <v>0.25523212749091545</v>
      </c>
      <c r="N16" s="139">
        <v>0.32500000000000001</v>
      </c>
      <c r="O16" s="138">
        <f t="shared" si="1"/>
        <v>1.2761606374545773</v>
      </c>
    </row>
    <row r="17" spans="2:15" x14ac:dyDescent="0.25">
      <c r="B17" s="91" t="s">
        <v>528</v>
      </c>
      <c r="F17" s="75"/>
      <c r="H17" s="91" t="s">
        <v>528</v>
      </c>
      <c r="L17">
        <v>0.7</v>
      </c>
      <c r="M17">
        <f t="shared" si="0"/>
        <v>0.32282026288896842</v>
      </c>
      <c r="N17" s="137">
        <v>0.35</v>
      </c>
      <c r="O17" s="138">
        <f t="shared" si="1"/>
        <v>1.6141013144448422</v>
      </c>
    </row>
    <row r="18" spans="2:15" x14ac:dyDescent="0.25">
      <c r="B18" s="91" t="s">
        <v>529</v>
      </c>
      <c r="F18" s="75"/>
      <c r="H18" s="91" t="s">
        <v>529</v>
      </c>
      <c r="L18">
        <v>0.75</v>
      </c>
      <c r="M18">
        <f t="shared" si="0"/>
        <v>0.40173919495546268</v>
      </c>
      <c r="N18" s="137">
        <v>0.375</v>
      </c>
      <c r="O18" s="138">
        <f t="shared" si="1"/>
        <v>2.0086959747773134</v>
      </c>
    </row>
    <row r="19" spans="2:15" x14ac:dyDescent="0.25">
      <c r="B19" s="91" t="s">
        <v>530</v>
      </c>
      <c r="F19" s="75"/>
      <c r="H19" s="91" t="s">
        <v>530</v>
      </c>
      <c r="L19">
        <v>0.8</v>
      </c>
      <c r="M19">
        <f t="shared" si="0"/>
        <v>0.49294135979356263</v>
      </c>
      <c r="N19" s="139">
        <v>0.4</v>
      </c>
      <c r="O19" s="138">
        <f t="shared" si="1"/>
        <v>2.4647067989678133</v>
      </c>
    </row>
    <row r="20" spans="2:15" x14ac:dyDescent="0.25">
      <c r="B20" s="91" t="s">
        <v>531</v>
      </c>
      <c r="F20" s="75"/>
      <c r="H20" s="91" t="s">
        <v>531</v>
      </c>
      <c r="L20">
        <v>0.85</v>
      </c>
      <c r="M20">
        <f t="shared" si="0"/>
        <v>0.59739006334454892</v>
      </c>
      <c r="N20" s="137">
        <v>0.42499999999999999</v>
      </c>
      <c r="O20" s="138">
        <f t="shared" si="1"/>
        <v>2.9869503167227447</v>
      </c>
    </row>
    <row r="21" spans="2:15" x14ac:dyDescent="0.25">
      <c r="B21" s="91" t="s">
        <v>532</v>
      </c>
      <c r="F21" s="75"/>
      <c r="H21" s="91" t="s">
        <v>532</v>
      </c>
      <c r="L21">
        <v>0.9</v>
      </c>
      <c r="M21">
        <f t="shared" si="0"/>
        <v>0.71605891303207836</v>
      </c>
      <c r="N21" s="137">
        <v>0.45</v>
      </c>
      <c r="O21" s="138">
        <f t="shared" si="1"/>
        <v>3.5802945651603917</v>
      </c>
    </row>
    <row r="22" spans="2:15" x14ac:dyDescent="0.25">
      <c r="B22" s="91" t="s">
        <v>533</v>
      </c>
      <c r="F22" s="75"/>
      <c r="H22" s="91" t="s">
        <v>533</v>
      </c>
      <c r="L22">
        <v>0.95</v>
      </c>
      <c r="M22">
        <f t="shared" si="0"/>
        <v>0.84993131112139264</v>
      </c>
      <c r="N22" s="139">
        <v>0.47499999999999998</v>
      </c>
      <c r="O22" s="138">
        <f t="shared" si="1"/>
        <v>4.249656555606963</v>
      </c>
    </row>
    <row r="23" spans="2:15" x14ac:dyDescent="0.25">
      <c r="B23" s="91" t="s">
        <v>534</v>
      </c>
      <c r="F23" s="75"/>
      <c r="H23" s="91" t="s">
        <v>534</v>
      </c>
      <c r="L23">
        <v>1</v>
      </c>
      <c r="M23">
        <f t="shared" si="0"/>
        <v>1</v>
      </c>
      <c r="N23" s="137">
        <v>0.5</v>
      </c>
      <c r="O23" s="138">
        <f t="shared" si="1"/>
        <v>5</v>
      </c>
    </row>
    <row r="24" spans="2:15" x14ac:dyDescent="0.25">
      <c r="B24" s="91" t="s">
        <v>535</v>
      </c>
      <c r="F24" s="75"/>
      <c r="H24" s="91" t="s">
        <v>535</v>
      </c>
      <c r="L24">
        <v>0.95</v>
      </c>
      <c r="M24">
        <f>2-M22</f>
        <v>1.1500686888786074</v>
      </c>
      <c r="N24" s="137">
        <v>0.52500000000000002</v>
      </c>
      <c r="O24" s="138">
        <f t="shared" si="1"/>
        <v>5.750343444393037</v>
      </c>
    </row>
    <row r="25" spans="2:15" x14ac:dyDescent="0.25">
      <c r="B25" s="91" t="s">
        <v>536</v>
      </c>
      <c r="F25" s="75"/>
      <c r="H25" s="91" t="s">
        <v>536</v>
      </c>
      <c r="L25">
        <v>0.9</v>
      </c>
      <c r="M25">
        <f>2-M21</f>
        <v>1.2839410869679218</v>
      </c>
      <c r="N25" s="139">
        <v>0.55000000000000004</v>
      </c>
      <c r="O25" s="138">
        <f t="shared" si="1"/>
        <v>6.4197054348396083</v>
      </c>
    </row>
    <row r="26" spans="2:15" x14ac:dyDescent="0.25">
      <c r="B26" s="91" t="s">
        <v>537</v>
      </c>
      <c r="F26" s="75"/>
      <c r="H26" s="91" t="s">
        <v>537</v>
      </c>
      <c r="L26">
        <v>0.85</v>
      </c>
      <c r="M26">
        <f>2-M20</f>
        <v>1.402609936655451</v>
      </c>
      <c r="N26" s="137">
        <v>0.57499999999999996</v>
      </c>
      <c r="O26" s="138">
        <f t="shared" si="1"/>
        <v>7.0130496832772549</v>
      </c>
    </row>
    <row r="27" spans="2:15" x14ac:dyDescent="0.25">
      <c r="B27" s="91" t="s">
        <v>538</v>
      </c>
      <c r="F27" s="75"/>
      <c r="H27" s="91" t="s">
        <v>538</v>
      </c>
      <c r="L27">
        <v>0.8</v>
      </c>
      <c r="M27">
        <f>2-M19</f>
        <v>1.5070586402064374</v>
      </c>
      <c r="N27" s="137">
        <v>0.6</v>
      </c>
      <c r="O27" s="138">
        <f t="shared" si="1"/>
        <v>7.5352932010321876</v>
      </c>
    </row>
    <row r="28" spans="2:15" x14ac:dyDescent="0.25">
      <c r="B28" s="91" t="s">
        <v>539</v>
      </c>
      <c r="F28" s="75"/>
      <c r="H28" s="91" t="s">
        <v>539</v>
      </c>
      <c r="L28">
        <v>0.75</v>
      </c>
      <c r="M28">
        <f>2-M18</f>
        <v>1.5982608050445373</v>
      </c>
      <c r="N28" s="139">
        <v>0.625</v>
      </c>
      <c r="O28" s="138">
        <f t="shared" si="1"/>
        <v>7.9913040252226866</v>
      </c>
    </row>
    <row r="29" spans="2:15" x14ac:dyDescent="0.25">
      <c r="B29" s="91" t="s">
        <v>540</v>
      </c>
      <c r="F29" s="75"/>
      <c r="H29" s="91" t="s">
        <v>540</v>
      </c>
      <c r="L29">
        <v>0.7</v>
      </c>
      <c r="M29">
        <f>2-M17</f>
        <v>1.6771797371110315</v>
      </c>
      <c r="N29" s="137">
        <v>0.65</v>
      </c>
      <c r="O29" s="138">
        <f t="shared" si="1"/>
        <v>8.3858986855551585</v>
      </c>
    </row>
    <row r="30" spans="2:15" x14ac:dyDescent="0.25">
      <c r="F30" s="75"/>
      <c r="L30">
        <v>0.65</v>
      </c>
      <c r="M30">
        <f>2-M16</f>
        <v>1.7447678725090845</v>
      </c>
      <c r="N30" s="137">
        <v>0.67500000000000004</v>
      </c>
      <c r="O30" s="138">
        <f t="shared" si="1"/>
        <v>8.7238393625454229</v>
      </c>
    </row>
    <row r="31" spans="2:15" x14ac:dyDescent="0.25">
      <c r="F31" s="75"/>
      <c r="L31">
        <v>0.6</v>
      </c>
      <c r="M31">
        <f>2-M15</f>
        <v>1.8019661349562832</v>
      </c>
      <c r="N31" s="139">
        <v>0.7</v>
      </c>
      <c r="O31" s="138">
        <f t="shared" si="1"/>
        <v>9.0098306747814156</v>
      </c>
    </row>
    <row r="32" spans="2:15" x14ac:dyDescent="0.25">
      <c r="B32" t="s">
        <v>236</v>
      </c>
      <c r="F32" s="75"/>
      <c r="H32" t="s">
        <v>373</v>
      </c>
      <c r="L32">
        <v>0.55000000000000004</v>
      </c>
      <c r="M32">
        <f>2-M14</f>
        <v>1.8497032028847409</v>
      </c>
      <c r="N32" s="129">
        <v>0.72499999999999998</v>
      </c>
      <c r="O32" s="132">
        <f t="shared" si="1"/>
        <v>9.2485160144237035</v>
      </c>
    </row>
    <row r="33" spans="2:17" x14ac:dyDescent="0.25">
      <c r="L33">
        <v>0.5</v>
      </c>
      <c r="M33">
        <f>2-M13</f>
        <v>1.8888946648541787</v>
      </c>
      <c r="N33" s="129">
        <v>0.75</v>
      </c>
      <c r="O33" s="132">
        <f t="shared" si="1"/>
        <v>9.4444733242708931</v>
      </c>
      <c r="Q33" t="s">
        <v>541</v>
      </c>
    </row>
    <row r="34" spans="2:17" x14ac:dyDescent="0.25">
      <c r="B34" t="s">
        <v>282</v>
      </c>
      <c r="H34" t="s">
        <v>494</v>
      </c>
      <c r="L34">
        <v>0.45</v>
      </c>
      <c r="M34">
        <f>2-M12</f>
        <v>1.9204420344834185</v>
      </c>
      <c r="N34" s="131">
        <v>0.77500000000000002</v>
      </c>
      <c r="O34" s="132">
        <f t="shared" si="1"/>
        <v>9.6022101724170934</v>
      </c>
    </row>
    <row r="35" spans="2:17" x14ac:dyDescent="0.25">
      <c r="B35" t="s">
        <v>285</v>
      </c>
      <c r="H35" t="s">
        <v>496</v>
      </c>
      <c r="L35">
        <v>0.39999999999999902</v>
      </c>
      <c r="M35">
        <f>2-M11</f>
        <v>1.9452315850128994</v>
      </c>
      <c r="N35" s="129">
        <v>0.8</v>
      </c>
      <c r="O35" s="132">
        <f t="shared" si="1"/>
        <v>9.7261579250644967</v>
      </c>
      <c r="Q35" t="s">
        <v>542</v>
      </c>
    </row>
    <row r="36" spans="2:17" x14ac:dyDescent="0.25">
      <c r="B36" t="s">
        <v>288</v>
      </c>
      <c r="H36" t="s">
        <v>497</v>
      </c>
      <c r="L36">
        <v>0.34999999999999898</v>
      </c>
      <c r="M36">
        <f>2-M10</f>
        <v>1.9641329464998591</v>
      </c>
      <c r="N36" s="129">
        <v>0.82499999999999996</v>
      </c>
      <c r="O36" s="132">
        <f t="shared" si="1"/>
        <v>9.8206647324992957</v>
      </c>
    </row>
    <row r="37" spans="2:17" x14ac:dyDescent="0.25">
      <c r="H37" t="s">
        <v>498</v>
      </c>
      <c r="L37">
        <v>0.29999999999999899</v>
      </c>
      <c r="M37">
        <f>2-M9</f>
        <v>1.9779973810540956</v>
      </c>
      <c r="N37" s="131">
        <v>0.85</v>
      </c>
      <c r="O37" s="132">
        <f t="shared" si="1"/>
        <v>9.8899869052704776</v>
      </c>
    </row>
    <row r="38" spans="2:17" x14ac:dyDescent="0.25">
      <c r="B38" t="s">
        <v>293</v>
      </c>
      <c r="H38" t="s">
        <v>499</v>
      </c>
      <c r="L38">
        <v>0.249999999999999</v>
      </c>
      <c r="M38">
        <f>2-M8</f>
        <v>1.9876556045021347</v>
      </c>
      <c r="N38" s="129">
        <v>0.875</v>
      </c>
      <c r="O38" s="132">
        <f t="shared" si="1"/>
        <v>9.9382780225106728</v>
      </c>
    </row>
    <row r="39" spans="2:17" x14ac:dyDescent="0.25">
      <c r="B39" t="s">
        <v>296</v>
      </c>
      <c r="H39" t="s">
        <v>500</v>
      </c>
      <c r="L39">
        <v>0.19999999999999901</v>
      </c>
      <c r="M39">
        <f>2-M7</f>
        <v>1.9939149368974527</v>
      </c>
      <c r="N39" s="129">
        <v>0.9</v>
      </c>
      <c r="O39" s="132">
        <f t="shared" si="1"/>
        <v>9.969574684487263</v>
      </c>
    </row>
    <row r="40" spans="2:17" x14ac:dyDescent="0.25">
      <c r="H40" t="s">
        <v>501</v>
      </c>
      <c r="L40">
        <v>0.149999999999999</v>
      </c>
      <c r="M40">
        <f>2-M6</f>
        <v>1.9975553916479294</v>
      </c>
      <c r="N40" s="131">
        <v>0.92500000000000004</v>
      </c>
      <c r="O40" s="132">
        <f t="shared" si="1"/>
        <v>9.9877769582396461</v>
      </c>
    </row>
    <row r="41" spans="2:17" x14ac:dyDescent="0.25">
      <c r="H41" t="s">
        <v>502</v>
      </c>
      <c r="L41">
        <v>9.9999999999999006E-2</v>
      </c>
      <c r="M41">
        <f>2-M5</f>
        <v>1.999323917024608</v>
      </c>
      <c r="N41" s="129">
        <v>0.95</v>
      </c>
      <c r="O41" s="132">
        <f t="shared" si="1"/>
        <v>9.9966195851230406</v>
      </c>
    </row>
    <row r="42" spans="2:17" x14ac:dyDescent="0.25">
      <c r="H42" t="s">
        <v>503</v>
      </c>
      <c r="L42">
        <v>4.9999999999998997E-2</v>
      </c>
      <c r="M42">
        <f>2-M4</f>
        <v>1.9999248835744328</v>
      </c>
      <c r="N42" s="129">
        <v>0.97499999999999998</v>
      </c>
      <c r="O42" s="132">
        <f t="shared" si="1"/>
        <v>9.9996244178721643</v>
      </c>
    </row>
    <row r="43" spans="2:17" x14ac:dyDescent="0.25">
      <c r="H43" t="s">
        <v>504</v>
      </c>
      <c r="L43">
        <v>0</v>
      </c>
      <c r="M43">
        <f>2-M3</f>
        <v>2</v>
      </c>
      <c r="N43" s="131">
        <v>1</v>
      </c>
      <c r="O43" s="132">
        <f t="shared" si="1"/>
        <v>10</v>
      </c>
    </row>
    <row r="44" spans="2:17" x14ac:dyDescent="0.25">
      <c r="H44" t="s">
        <v>505</v>
      </c>
      <c r="M44" s="38"/>
      <c r="N44" s="38"/>
    </row>
    <row r="45" spans="2:17" x14ac:dyDescent="0.25">
      <c r="H45" t="s">
        <v>506</v>
      </c>
      <c r="M45" s="38"/>
      <c r="N45" s="38"/>
    </row>
    <row r="46" spans="2:17" x14ac:dyDescent="0.25">
      <c r="H46" t="s">
        <v>507</v>
      </c>
      <c r="M46" s="38"/>
      <c r="N46" s="38"/>
    </row>
    <row r="47" spans="2:17" x14ac:dyDescent="0.25">
      <c r="H47" t="s">
        <v>508</v>
      </c>
      <c r="M47" s="38"/>
      <c r="N47" s="38"/>
    </row>
    <row r="48" spans="2:17" x14ac:dyDescent="0.25">
      <c r="H48" t="s">
        <v>509</v>
      </c>
      <c r="M48" s="38"/>
      <c r="N48" s="38"/>
    </row>
    <row r="49" spans="8:14" x14ac:dyDescent="0.25">
      <c r="H49" t="s">
        <v>510</v>
      </c>
      <c r="M49" s="140"/>
      <c r="N49" s="38"/>
    </row>
    <row r="50" spans="8:14" x14ac:dyDescent="0.25">
      <c r="M50" s="38"/>
      <c r="N50" s="38"/>
    </row>
    <row r="51" spans="8:14" x14ac:dyDescent="0.25">
      <c r="M51" s="38"/>
      <c r="N51" s="38"/>
    </row>
    <row r="52" spans="8:14" x14ac:dyDescent="0.25">
      <c r="M52" s="38"/>
      <c r="N52" s="38"/>
    </row>
    <row r="53" spans="8:14" x14ac:dyDescent="0.25">
      <c r="M53" s="38"/>
      <c r="N53" s="38"/>
    </row>
    <row r="54" spans="8:14" x14ac:dyDescent="0.25">
      <c r="M54" s="38"/>
      <c r="N54" s="38"/>
    </row>
    <row r="55" spans="8:14" x14ac:dyDescent="0.25">
      <c r="M55" s="38"/>
      <c r="N55" s="38"/>
    </row>
    <row r="56" spans="8:14" x14ac:dyDescent="0.25">
      <c r="M56" s="38"/>
      <c r="N56" s="38"/>
    </row>
    <row r="57" spans="8:14" x14ac:dyDescent="0.25">
      <c r="M57" s="38"/>
      <c r="N57" s="38"/>
    </row>
    <row r="58" spans="8:14" x14ac:dyDescent="0.25">
      <c r="M58" s="38"/>
      <c r="N58" s="38"/>
    </row>
    <row r="59" spans="8:14" x14ac:dyDescent="0.25">
      <c r="M59" s="38"/>
      <c r="N59" s="38"/>
    </row>
    <row r="60" spans="8:14" x14ac:dyDescent="0.25">
      <c r="M60" s="38"/>
      <c r="N60" s="38"/>
    </row>
    <row r="61" spans="8:14" x14ac:dyDescent="0.25">
      <c r="M61" s="38"/>
      <c r="N61" s="38"/>
    </row>
    <row r="62" spans="8:14" x14ac:dyDescent="0.25">
      <c r="M62" s="38"/>
      <c r="N62" s="38"/>
    </row>
    <row r="63" spans="8:14" x14ac:dyDescent="0.25">
      <c r="M63" s="38"/>
      <c r="N63" s="38"/>
    </row>
    <row r="64" spans="8:14" x14ac:dyDescent="0.25">
      <c r="M64" s="38"/>
      <c r="N64" s="38"/>
    </row>
    <row r="65" spans="13:14" x14ac:dyDescent="0.25">
      <c r="M65" s="38"/>
      <c r="N65" s="38"/>
    </row>
    <row r="66" spans="13:14" x14ac:dyDescent="0.25">
      <c r="M66" s="38"/>
      <c r="N66" s="38"/>
    </row>
    <row r="67" spans="13:14" x14ac:dyDescent="0.25">
      <c r="M67" s="38"/>
      <c r="N67" s="38"/>
    </row>
    <row r="68" spans="13:14" x14ac:dyDescent="0.25">
      <c r="M68" s="38"/>
      <c r="N68" s="38"/>
    </row>
    <row r="69" spans="13:14" x14ac:dyDescent="0.25">
      <c r="M69" s="38"/>
      <c r="N69" s="38"/>
    </row>
    <row r="70" spans="13:14" x14ac:dyDescent="0.25">
      <c r="M70" s="38"/>
      <c r="N70" s="38"/>
    </row>
    <row r="71" spans="13:14" x14ac:dyDescent="0.25">
      <c r="M71" s="38"/>
      <c r="N71" s="38"/>
    </row>
    <row r="72" spans="13:14" x14ac:dyDescent="0.25">
      <c r="M72" s="38"/>
      <c r="N72" s="38"/>
    </row>
    <row r="73" spans="13:14" x14ac:dyDescent="0.25">
      <c r="M73" s="38"/>
      <c r="N73" s="38"/>
    </row>
    <row r="74" spans="13:14" x14ac:dyDescent="0.25">
      <c r="M74" s="38"/>
      <c r="N74" s="38"/>
    </row>
    <row r="75" spans="13:14" x14ac:dyDescent="0.25">
      <c r="M75" s="38"/>
      <c r="N75" s="38"/>
    </row>
    <row r="76" spans="13:14" x14ac:dyDescent="0.25">
      <c r="M76" s="38"/>
      <c r="N76" s="38"/>
    </row>
    <row r="77" spans="13:14" x14ac:dyDescent="0.25">
      <c r="M77" s="38"/>
      <c r="N77" s="38"/>
    </row>
    <row r="78" spans="13:14" x14ac:dyDescent="0.25">
      <c r="M78" s="38"/>
      <c r="N78" s="38"/>
    </row>
    <row r="79" spans="13:14" x14ac:dyDescent="0.25">
      <c r="M79" s="38"/>
      <c r="N79" s="38"/>
    </row>
    <row r="80" spans="13:14" x14ac:dyDescent="0.25">
      <c r="M80" s="38"/>
      <c r="N80" s="38"/>
    </row>
    <row r="81" spans="13:14" x14ac:dyDescent="0.25">
      <c r="M81" s="38"/>
      <c r="N81" s="38"/>
    </row>
    <row r="82" spans="13:14" x14ac:dyDescent="0.25">
      <c r="M82" s="38"/>
      <c r="N82" s="38"/>
    </row>
    <row r="83" spans="13:14" x14ac:dyDescent="0.25">
      <c r="M83" s="38"/>
      <c r="N83" s="38"/>
    </row>
    <row r="84" spans="13:14" x14ac:dyDescent="0.25">
      <c r="M84" s="38"/>
      <c r="N84" s="38"/>
    </row>
    <row r="85" spans="13:14" x14ac:dyDescent="0.25">
      <c r="M85" s="38"/>
      <c r="N85" s="38"/>
    </row>
    <row r="86" spans="13:14" x14ac:dyDescent="0.25">
      <c r="M86" s="38"/>
      <c r="N86" s="38"/>
    </row>
    <row r="87" spans="13:14" x14ac:dyDescent="0.25">
      <c r="M87" s="38"/>
      <c r="N87" s="38"/>
    </row>
    <row r="88" spans="13:14" x14ac:dyDescent="0.25">
      <c r="M88" s="38"/>
      <c r="N88" s="38"/>
    </row>
    <row r="89" spans="13:14" x14ac:dyDescent="0.25">
      <c r="M89" s="38"/>
      <c r="N89" s="38"/>
    </row>
    <row r="90" spans="13:14" x14ac:dyDescent="0.25">
      <c r="M90" s="38"/>
      <c r="N90" s="38"/>
    </row>
    <row r="91" spans="13:14" x14ac:dyDescent="0.25">
      <c r="M91" s="38"/>
      <c r="N91" s="38"/>
    </row>
    <row r="92" spans="13:14" x14ac:dyDescent="0.25">
      <c r="M92" s="38"/>
      <c r="N92" s="38"/>
    </row>
    <row r="93" spans="13:14" x14ac:dyDescent="0.25">
      <c r="M93" s="38"/>
      <c r="N93" s="38"/>
    </row>
    <row r="94" spans="13:14" x14ac:dyDescent="0.25">
      <c r="M94" s="38"/>
      <c r="N94" s="38"/>
    </row>
    <row r="95" spans="13:14" x14ac:dyDescent="0.25">
      <c r="M95" s="38"/>
      <c r="N95" s="38"/>
    </row>
    <row r="96" spans="13:14" x14ac:dyDescent="0.25">
      <c r="M96" s="38"/>
      <c r="N96" s="38"/>
    </row>
    <row r="97" spans="13:14" x14ac:dyDescent="0.25">
      <c r="M97" s="38"/>
      <c r="N97" s="38"/>
    </row>
  </sheetData>
  <mergeCells count="2">
    <mergeCell ref="B4:C4"/>
    <mergeCell ref="G4:H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0430-3463-4C73-885E-2BEF7EB4315A}">
  <sheetPr>
    <tabColor rgb="FF7030A0"/>
  </sheetPr>
  <dimension ref="A1:G107"/>
  <sheetViews>
    <sheetView zoomScale="80" zoomScaleNormal="80" workbookViewId="0">
      <selection activeCell="F6" sqref="F6"/>
    </sheetView>
  </sheetViews>
  <sheetFormatPr baseColWidth="10" defaultRowHeight="15" x14ac:dyDescent="0.25"/>
  <cols>
    <col min="1" max="1" width="55.7109375" customWidth="1"/>
    <col min="7" max="7" width="80.5703125" customWidth="1"/>
  </cols>
  <sheetData>
    <row r="1" spans="1:7" x14ac:dyDescent="0.25">
      <c r="A1" t="s">
        <v>679</v>
      </c>
      <c r="G1" t="s">
        <v>678</v>
      </c>
    </row>
    <row r="3" spans="1:7" x14ac:dyDescent="0.25">
      <c r="A3" t="s">
        <v>677</v>
      </c>
      <c r="G3" t="s">
        <v>676</v>
      </c>
    </row>
    <row r="5" spans="1:7" x14ac:dyDescent="0.25">
      <c r="A5" t="s">
        <v>675</v>
      </c>
      <c r="G5" t="s">
        <v>674</v>
      </c>
    </row>
    <row r="6" spans="1:7" x14ac:dyDescent="0.25">
      <c r="G6" t="s">
        <v>673</v>
      </c>
    </row>
    <row r="7" spans="1:7" x14ac:dyDescent="0.25">
      <c r="A7" t="s">
        <v>672</v>
      </c>
    </row>
    <row r="8" spans="1:7" x14ac:dyDescent="0.25">
      <c r="A8" t="s">
        <v>671</v>
      </c>
      <c r="G8" s="141" t="s">
        <v>670</v>
      </c>
    </row>
    <row r="9" spans="1:7" x14ac:dyDescent="0.25">
      <c r="G9" s="141" t="s">
        <v>669</v>
      </c>
    </row>
    <row r="10" spans="1:7" x14ac:dyDescent="0.25">
      <c r="A10" t="s">
        <v>668</v>
      </c>
    </row>
    <row r="11" spans="1:7" x14ac:dyDescent="0.25">
      <c r="A11" t="s">
        <v>667</v>
      </c>
      <c r="G11" t="s">
        <v>666</v>
      </c>
    </row>
    <row r="12" spans="1:7" x14ac:dyDescent="0.25">
      <c r="G12" t="s">
        <v>665</v>
      </c>
    </row>
    <row r="13" spans="1:7" x14ac:dyDescent="0.25">
      <c r="A13" t="s">
        <v>664</v>
      </c>
    </row>
    <row r="14" spans="1:7" x14ac:dyDescent="0.25">
      <c r="A14" t="s">
        <v>663</v>
      </c>
      <c r="G14" t="s">
        <v>662</v>
      </c>
    </row>
    <row r="15" spans="1:7" x14ac:dyDescent="0.25">
      <c r="G15" t="s">
        <v>661</v>
      </c>
    </row>
    <row r="16" spans="1:7" x14ac:dyDescent="0.25">
      <c r="A16" t="s">
        <v>660</v>
      </c>
    </row>
    <row r="17" spans="1:7" x14ac:dyDescent="0.25">
      <c r="G17" t="s">
        <v>659</v>
      </c>
    </row>
    <row r="18" spans="1:7" x14ac:dyDescent="0.25">
      <c r="A18" t="s">
        <v>658</v>
      </c>
    </row>
    <row r="19" spans="1:7" x14ac:dyDescent="0.25">
      <c r="A19" t="s">
        <v>657</v>
      </c>
      <c r="G19" t="s">
        <v>656</v>
      </c>
    </row>
    <row r="20" spans="1:7" x14ac:dyDescent="0.25">
      <c r="G20" t="s">
        <v>655</v>
      </c>
    </row>
    <row r="21" spans="1:7" x14ac:dyDescent="0.25">
      <c r="A21" t="s">
        <v>654</v>
      </c>
      <c r="G21" t="s">
        <v>653</v>
      </c>
    </row>
    <row r="22" spans="1:7" x14ac:dyDescent="0.25">
      <c r="G22" t="s">
        <v>652</v>
      </c>
    </row>
    <row r="23" spans="1:7" x14ac:dyDescent="0.25">
      <c r="A23" t="s">
        <v>651</v>
      </c>
      <c r="G23" t="s">
        <v>650</v>
      </c>
    </row>
    <row r="24" spans="1:7" x14ac:dyDescent="0.25">
      <c r="G24" t="s">
        <v>649</v>
      </c>
    </row>
    <row r="25" spans="1:7" x14ac:dyDescent="0.25">
      <c r="A25" t="s">
        <v>648</v>
      </c>
      <c r="G25" t="s">
        <v>647</v>
      </c>
    </row>
    <row r="26" spans="1:7" x14ac:dyDescent="0.25">
      <c r="A26" t="s">
        <v>646</v>
      </c>
      <c r="G26" t="s">
        <v>645</v>
      </c>
    </row>
    <row r="27" spans="1:7" x14ac:dyDescent="0.25">
      <c r="A27" t="s">
        <v>644</v>
      </c>
      <c r="G27" t="s">
        <v>643</v>
      </c>
    </row>
    <row r="28" spans="1:7" x14ac:dyDescent="0.25">
      <c r="A28" t="s">
        <v>642</v>
      </c>
      <c r="G28" t="s">
        <v>641</v>
      </c>
    </row>
    <row r="29" spans="1:7" x14ac:dyDescent="0.25">
      <c r="A29" t="s">
        <v>640</v>
      </c>
      <c r="G29" t="s">
        <v>639</v>
      </c>
    </row>
    <row r="30" spans="1:7" x14ac:dyDescent="0.25">
      <c r="A30" t="s">
        <v>638</v>
      </c>
      <c r="G30" s="141" t="s">
        <v>637</v>
      </c>
    </row>
    <row r="31" spans="1:7" x14ac:dyDescent="0.25">
      <c r="G31" s="141" t="s">
        <v>636</v>
      </c>
    </row>
    <row r="32" spans="1:7" x14ac:dyDescent="0.25">
      <c r="A32" t="s">
        <v>635</v>
      </c>
    </row>
    <row r="33" spans="1:7" x14ac:dyDescent="0.25">
      <c r="A33" t="s">
        <v>634</v>
      </c>
      <c r="G33" t="s">
        <v>633</v>
      </c>
    </row>
    <row r="34" spans="1:7" x14ac:dyDescent="0.25">
      <c r="A34" t="s">
        <v>632</v>
      </c>
      <c r="G34" t="s">
        <v>631</v>
      </c>
    </row>
    <row r="35" spans="1:7" x14ac:dyDescent="0.25">
      <c r="A35" t="s">
        <v>630</v>
      </c>
      <c r="G35" t="s">
        <v>629</v>
      </c>
    </row>
    <row r="36" spans="1:7" x14ac:dyDescent="0.25">
      <c r="A36" t="s">
        <v>628</v>
      </c>
      <c r="G36" t="s">
        <v>627</v>
      </c>
    </row>
    <row r="37" spans="1:7" x14ac:dyDescent="0.25">
      <c r="A37" t="s">
        <v>626</v>
      </c>
      <c r="G37" t="s">
        <v>625</v>
      </c>
    </row>
    <row r="38" spans="1:7" x14ac:dyDescent="0.25">
      <c r="A38" t="s">
        <v>624</v>
      </c>
      <c r="G38" t="s">
        <v>623</v>
      </c>
    </row>
    <row r="39" spans="1:7" x14ac:dyDescent="0.25">
      <c r="A39" t="s">
        <v>622</v>
      </c>
      <c r="G39" t="s">
        <v>621</v>
      </c>
    </row>
    <row r="40" spans="1:7" x14ac:dyDescent="0.25">
      <c r="A40" t="s">
        <v>620</v>
      </c>
      <c r="G40" t="s">
        <v>619</v>
      </c>
    </row>
    <row r="41" spans="1:7" x14ac:dyDescent="0.25">
      <c r="G41" t="s">
        <v>618</v>
      </c>
    </row>
    <row r="42" spans="1:7" x14ac:dyDescent="0.25">
      <c r="A42" t="s">
        <v>617</v>
      </c>
      <c r="G42" t="s">
        <v>616</v>
      </c>
    </row>
    <row r="43" spans="1:7" x14ac:dyDescent="0.25">
      <c r="A43" t="s">
        <v>615</v>
      </c>
      <c r="G43" t="s">
        <v>614</v>
      </c>
    </row>
    <row r="44" spans="1:7" x14ac:dyDescent="0.25">
      <c r="A44" t="s">
        <v>613</v>
      </c>
      <c r="G44" t="s">
        <v>612</v>
      </c>
    </row>
    <row r="45" spans="1:7" x14ac:dyDescent="0.25">
      <c r="A45" t="s">
        <v>611</v>
      </c>
      <c r="G45" t="s">
        <v>610</v>
      </c>
    </row>
    <row r="46" spans="1:7" x14ac:dyDescent="0.25">
      <c r="A46" s="141" t="s">
        <v>609</v>
      </c>
      <c r="G46" s="141" t="s">
        <v>608</v>
      </c>
    </row>
    <row r="47" spans="1:7" x14ac:dyDescent="0.25">
      <c r="G47" s="141" t="s">
        <v>607</v>
      </c>
    </row>
    <row r="48" spans="1:7" x14ac:dyDescent="0.25">
      <c r="A48" t="s">
        <v>606</v>
      </c>
      <c r="G48" s="141" t="s">
        <v>605</v>
      </c>
    </row>
    <row r="49" spans="1:7" x14ac:dyDescent="0.25">
      <c r="A49" t="s">
        <v>604</v>
      </c>
    </row>
    <row r="50" spans="1:7" x14ac:dyDescent="0.25">
      <c r="A50" t="s">
        <v>603</v>
      </c>
      <c r="G50" t="s">
        <v>602</v>
      </c>
    </row>
    <row r="51" spans="1:7" x14ac:dyDescent="0.25">
      <c r="A51" t="s">
        <v>601</v>
      </c>
    </row>
    <row r="52" spans="1:7" x14ac:dyDescent="0.25">
      <c r="A52" t="s">
        <v>600</v>
      </c>
      <c r="G52" t="s">
        <v>680</v>
      </c>
    </row>
    <row r="53" spans="1:7" x14ac:dyDescent="0.25">
      <c r="A53" t="s">
        <v>599</v>
      </c>
    </row>
    <row r="54" spans="1:7" x14ac:dyDescent="0.25">
      <c r="A54" t="s">
        <v>598</v>
      </c>
      <c r="G54" t="s">
        <v>597</v>
      </c>
    </row>
    <row r="55" spans="1:7" x14ac:dyDescent="0.25">
      <c r="A55" t="s">
        <v>596</v>
      </c>
    </row>
    <row r="56" spans="1:7" x14ac:dyDescent="0.25">
      <c r="A56" t="s">
        <v>595</v>
      </c>
      <c r="G56" t="s">
        <v>594</v>
      </c>
    </row>
    <row r="57" spans="1:7" x14ac:dyDescent="0.25">
      <c r="A57" t="s">
        <v>593</v>
      </c>
      <c r="G57" t="s">
        <v>592</v>
      </c>
    </row>
    <row r="58" spans="1:7" x14ac:dyDescent="0.25">
      <c r="A58" t="s">
        <v>591</v>
      </c>
    </row>
    <row r="59" spans="1:7" x14ac:dyDescent="0.25">
      <c r="A59" s="141" t="s">
        <v>590</v>
      </c>
      <c r="G59" t="s">
        <v>589</v>
      </c>
    </row>
    <row r="61" spans="1:7" x14ac:dyDescent="0.25">
      <c r="A61" t="s">
        <v>588</v>
      </c>
      <c r="G61" t="s">
        <v>587</v>
      </c>
    </row>
    <row r="62" spans="1:7" x14ac:dyDescent="0.25">
      <c r="A62" t="s">
        <v>586</v>
      </c>
      <c r="G62" t="s">
        <v>585</v>
      </c>
    </row>
    <row r="63" spans="1:7" x14ac:dyDescent="0.25">
      <c r="A63" t="s">
        <v>584</v>
      </c>
      <c r="G63" t="s">
        <v>583</v>
      </c>
    </row>
    <row r="64" spans="1:7" x14ac:dyDescent="0.25">
      <c r="A64" t="s">
        <v>582</v>
      </c>
      <c r="G64" t="s">
        <v>581</v>
      </c>
    </row>
    <row r="65" spans="1:7" x14ac:dyDescent="0.25">
      <c r="A65" s="141" t="s">
        <v>580</v>
      </c>
    </row>
    <row r="66" spans="1:7" x14ac:dyDescent="0.25">
      <c r="A66" s="141" t="s">
        <v>579</v>
      </c>
      <c r="G66" t="s">
        <v>578</v>
      </c>
    </row>
    <row r="67" spans="1:7" x14ac:dyDescent="0.25">
      <c r="A67" t="s">
        <v>577</v>
      </c>
      <c r="G67" t="s">
        <v>576</v>
      </c>
    </row>
    <row r="68" spans="1:7" x14ac:dyDescent="0.25">
      <c r="G68" t="s">
        <v>575</v>
      </c>
    </row>
    <row r="69" spans="1:7" x14ac:dyDescent="0.25">
      <c r="A69" t="s">
        <v>574</v>
      </c>
      <c r="G69" t="s">
        <v>573</v>
      </c>
    </row>
    <row r="70" spans="1:7" x14ac:dyDescent="0.25">
      <c r="A70" t="s">
        <v>572</v>
      </c>
      <c r="G70" t="s">
        <v>571</v>
      </c>
    </row>
    <row r="71" spans="1:7" x14ac:dyDescent="0.25">
      <c r="A71" t="s">
        <v>570</v>
      </c>
      <c r="G71" t="s">
        <v>569</v>
      </c>
    </row>
    <row r="72" spans="1:7" x14ac:dyDescent="0.25">
      <c r="A72" t="s">
        <v>568</v>
      </c>
    </row>
    <row r="73" spans="1:7" x14ac:dyDescent="0.25">
      <c r="A73" t="s">
        <v>567</v>
      </c>
      <c r="G73" t="s">
        <v>566</v>
      </c>
    </row>
    <row r="75" spans="1:7" x14ac:dyDescent="0.25">
      <c r="G75" t="s">
        <v>565</v>
      </c>
    </row>
    <row r="77" spans="1:7" x14ac:dyDescent="0.25">
      <c r="G77" t="s">
        <v>564</v>
      </c>
    </row>
    <row r="78" spans="1:7" x14ac:dyDescent="0.25">
      <c r="G78" t="s">
        <v>563</v>
      </c>
    </row>
    <row r="79" spans="1:7" x14ac:dyDescent="0.25">
      <c r="G79" t="s">
        <v>562</v>
      </c>
    </row>
    <row r="80" spans="1:7" x14ac:dyDescent="0.25">
      <c r="G80" t="s">
        <v>561</v>
      </c>
    </row>
    <row r="81" spans="7:7" x14ac:dyDescent="0.25">
      <c r="G81" s="141" t="s">
        <v>560</v>
      </c>
    </row>
    <row r="82" spans="7:7" x14ac:dyDescent="0.25">
      <c r="G82" s="141" t="s">
        <v>559</v>
      </c>
    </row>
    <row r="83" spans="7:7" x14ac:dyDescent="0.25">
      <c r="G83" s="141" t="s">
        <v>558</v>
      </c>
    </row>
    <row r="84" spans="7:7" x14ac:dyDescent="0.25">
      <c r="G84" s="141" t="s">
        <v>557</v>
      </c>
    </row>
    <row r="86" spans="7:7" x14ac:dyDescent="0.25">
      <c r="G86" s="141" t="s">
        <v>556</v>
      </c>
    </row>
    <row r="88" spans="7:7" x14ac:dyDescent="0.25">
      <c r="G88" s="141" t="s">
        <v>555</v>
      </c>
    </row>
    <row r="90" spans="7:7" x14ac:dyDescent="0.25">
      <c r="G90" t="s">
        <v>554</v>
      </c>
    </row>
    <row r="92" spans="7:7" x14ac:dyDescent="0.25">
      <c r="G92" t="s">
        <v>553</v>
      </c>
    </row>
    <row r="93" spans="7:7" x14ac:dyDescent="0.25">
      <c r="G93" t="s">
        <v>552</v>
      </c>
    </row>
    <row r="94" spans="7:7" x14ac:dyDescent="0.25">
      <c r="G94" t="s">
        <v>551</v>
      </c>
    </row>
    <row r="95" spans="7:7" x14ac:dyDescent="0.25">
      <c r="G95" t="s">
        <v>550</v>
      </c>
    </row>
    <row r="97" spans="7:7" x14ac:dyDescent="0.25">
      <c r="G97" t="s">
        <v>549</v>
      </c>
    </row>
    <row r="98" spans="7:7" x14ac:dyDescent="0.25">
      <c r="G98" t="s">
        <v>548</v>
      </c>
    </row>
    <row r="99" spans="7:7" x14ac:dyDescent="0.25">
      <c r="G99" t="s">
        <v>547</v>
      </c>
    </row>
    <row r="101" spans="7:7" x14ac:dyDescent="0.25">
      <c r="G101" t="s">
        <v>546</v>
      </c>
    </row>
    <row r="103" spans="7:7" x14ac:dyDescent="0.25">
      <c r="G103" t="s">
        <v>545</v>
      </c>
    </row>
    <row r="105" spans="7:7" x14ac:dyDescent="0.25">
      <c r="G105" t="s">
        <v>544</v>
      </c>
    </row>
    <row r="107" spans="7:7" x14ac:dyDescent="0.25">
      <c r="G107" t="s">
        <v>543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118B-5B75-472D-96FC-400E821346D3}">
  <sheetPr>
    <tabColor theme="4" tint="0.79998168889431442"/>
  </sheetPr>
  <dimension ref="A1:CI240"/>
  <sheetViews>
    <sheetView zoomScale="80" zoomScaleNormal="80" workbookViewId="0">
      <selection activeCell="H4" sqref="H4"/>
    </sheetView>
  </sheetViews>
  <sheetFormatPr baseColWidth="10" defaultRowHeight="15" x14ac:dyDescent="0.25"/>
  <cols>
    <col min="1" max="1" width="10.7109375" bestFit="1" customWidth="1"/>
    <col min="2" max="2" width="10.5703125" bestFit="1" customWidth="1"/>
    <col min="3" max="3" width="10.7109375" bestFit="1" customWidth="1"/>
    <col min="4" max="5" width="12.42578125" bestFit="1" customWidth="1"/>
    <col min="7" max="7" width="10.28515625" bestFit="1" customWidth="1"/>
    <col min="8" max="8" width="10.42578125" bestFit="1" customWidth="1"/>
    <col min="10" max="10" width="29.140625" bestFit="1" customWidth="1"/>
    <col min="11" max="12" width="14" bestFit="1" customWidth="1"/>
    <col min="13" max="20" width="12.5703125" bestFit="1" customWidth="1"/>
    <col min="21" max="29" width="12.28515625" bestFit="1" customWidth="1"/>
    <col min="30" max="87" width="13.7109375" bestFit="1" customWidth="1"/>
  </cols>
  <sheetData>
    <row r="1" spans="1:87" x14ac:dyDescent="0.25">
      <c r="A1" s="26"/>
      <c r="B1" s="26"/>
      <c r="C1" s="142"/>
      <c r="D1" s="142"/>
      <c r="E1" s="142"/>
      <c r="F1" s="26"/>
      <c r="G1" s="26"/>
      <c r="H1" s="26"/>
      <c r="I1" s="26"/>
      <c r="J1" s="26"/>
      <c r="K1" s="142">
        <v>1</v>
      </c>
      <c r="L1" s="142">
        <v>2</v>
      </c>
      <c r="M1" s="142">
        <v>3</v>
      </c>
      <c r="N1" s="142">
        <v>4</v>
      </c>
      <c r="O1" s="142">
        <v>5</v>
      </c>
      <c r="P1" s="142">
        <v>6</v>
      </c>
      <c r="Q1" s="142">
        <v>7</v>
      </c>
      <c r="R1" s="142">
        <v>8</v>
      </c>
      <c r="S1" s="142">
        <v>9</v>
      </c>
      <c r="T1" s="142">
        <v>10</v>
      </c>
      <c r="U1" s="142">
        <v>11</v>
      </c>
      <c r="V1" s="142">
        <v>12</v>
      </c>
      <c r="W1" s="142">
        <v>13</v>
      </c>
      <c r="X1" s="142">
        <v>14</v>
      </c>
      <c r="Y1" s="142">
        <v>15</v>
      </c>
      <c r="Z1" s="142">
        <v>16</v>
      </c>
      <c r="AA1" s="142">
        <v>17</v>
      </c>
      <c r="AB1" s="142">
        <v>18</v>
      </c>
      <c r="AC1" s="142">
        <v>19</v>
      </c>
      <c r="AD1" s="142">
        <v>20</v>
      </c>
      <c r="AE1" s="142">
        <v>21</v>
      </c>
      <c r="AF1" s="142">
        <v>22</v>
      </c>
      <c r="AG1" s="142">
        <v>23</v>
      </c>
      <c r="AH1" s="142">
        <v>24</v>
      </c>
      <c r="AI1" s="142">
        <v>25</v>
      </c>
      <c r="AJ1" s="142">
        <v>26</v>
      </c>
      <c r="AK1" s="142">
        <v>27</v>
      </c>
      <c r="AL1" s="142">
        <v>28</v>
      </c>
      <c r="AM1" s="142">
        <v>29</v>
      </c>
      <c r="AN1" s="142">
        <v>30</v>
      </c>
      <c r="AO1" s="142">
        <v>31</v>
      </c>
      <c r="AP1" s="142">
        <v>32</v>
      </c>
      <c r="AQ1" s="142">
        <v>33</v>
      </c>
      <c r="AR1" s="142">
        <v>34</v>
      </c>
      <c r="AS1" s="142">
        <v>35</v>
      </c>
      <c r="AT1" s="142">
        <v>36</v>
      </c>
      <c r="AU1" s="142">
        <v>37</v>
      </c>
      <c r="AV1" s="142">
        <v>38</v>
      </c>
      <c r="AW1" s="142">
        <v>39</v>
      </c>
      <c r="AX1" s="142">
        <v>40</v>
      </c>
      <c r="AY1" s="142">
        <v>41</v>
      </c>
      <c r="AZ1" s="142">
        <v>42</v>
      </c>
      <c r="BA1" s="142">
        <v>43</v>
      </c>
      <c r="BB1" s="142">
        <v>44</v>
      </c>
      <c r="BC1" s="142">
        <v>45</v>
      </c>
      <c r="BD1" s="142">
        <v>46</v>
      </c>
      <c r="BE1" s="142">
        <v>47</v>
      </c>
      <c r="BF1" s="142">
        <v>48</v>
      </c>
      <c r="BG1" s="142">
        <v>49</v>
      </c>
      <c r="BH1" s="142">
        <v>50</v>
      </c>
      <c r="BI1" s="142">
        <v>51</v>
      </c>
      <c r="BJ1" s="142">
        <v>52</v>
      </c>
      <c r="BK1" s="142">
        <v>53</v>
      </c>
      <c r="BL1" s="142">
        <v>54</v>
      </c>
      <c r="BM1" s="142">
        <v>55</v>
      </c>
      <c r="BN1" s="142">
        <v>56</v>
      </c>
      <c r="BO1" s="142">
        <v>57</v>
      </c>
      <c r="BP1" s="142">
        <v>58</v>
      </c>
      <c r="BQ1" s="142">
        <v>59</v>
      </c>
      <c r="BR1" s="142">
        <v>60</v>
      </c>
      <c r="BS1" s="142">
        <v>61</v>
      </c>
      <c r="BT1" s="142">
        <v>62</v>
      </c>
      <c r="BU1" s="142">
        <v>63</v>
      </c>
      <c r="BV1" s="142">
        <v>64</v>
      </c>
      <c r="BW1" s="142">
        <v>65</v>
      </c>
      <c r="BX1" s="142">
        <v>66</v>
      </c>
      <c r="BY1" s="142">
        <v>67</v>
      </c>
      <c r="BZ1" s="142">
        <v>68</v>
      </c>
      <c r="CA1" s="142">
        <v>69</v>
      </c>
      <c r="CB1" s="142">
        <v>70</v>
      </c>
      <c r="CC1" s="142">
        <v>71</v>
      </c>
      <c r="CD1" s="142">
        <v>72</v>
      </c>
      <c r="CE1" s="142">
        <v>73</v>
      </c>
      <c r="CF1" s="142">
        <v>74</v>
      </c>
      <c r="CG1" s="142">
        <v>75</v>
      </c>
      <c r="CH1" s="142">
        <v>76</v>
      </c>
      <c r="CI1" s="142">
        <v>77</v>
      </c>
    </row>
    <row r="2" spans="1:87" x14ac:dyDescent="0.25">
      <c r="A2" s="26"/>
      <c r="B2" s="26"/>
      <c r="C2" s="142"/>
      <c r="D2" s="142"/>
      <c r="E2" s="142"/>
      <c r="F2" s="26"/>
      <c r="G2" s="26"/>
      <c r="H2" s="26"/>
      <c r="I2" s="26"/>
      <c r="J2" s="26"/>
      <c r="K2" s="143" t="s">
        <v>681</v>
      </c>
      <c r="L2" s="143" t="s">
        <v>682</v>
      </c>
      <c r="M2" s="143" t="s">
        <v>683</v>
      </c>
      <c r="N2" s="143" t="s">
        <v>684</v>
      </c>
      <c r="O2" s="143" t="s">
        <v>685</v>
      </c>
      <c r="P2" s="143" t="s">
        <v>686</v>
      </c>
      <c r="Q2" s="143" t="s">
        <v>687</v>
      </c>
      <c r="R2" s="143" t="s">
        <v>688</v>
      </c>
      <c r="S2" s="143" t="s">
        <v>689</v>
      </c>
      <c r="T2" s="143" t="s">
        <v>690</v>
      </c>
      <c r="U2" s="143" t="s">
        <v>691</v>
      </c>
      <c r="V2" s="143" t="s">
        <v>692</v>
      </c>
      <c r="W2" s="143" t="s">
        <v>693</v>
      </c>
      <c r="X2" s="143" t="s">
        <v>694</v>
      </c>
      <c r="Y2" s="143" t="s">
        <v>695</v>
      </c>
      <c r="Z2" s="143" t="s">
        <v>696</v>
      </c>
      <c r="AA2" s="144" t="s">
        <v>681</v>
      </c>
      <c r="AB2" s="144" t="s">
        <v>682</v>
      </c>
      <c r="AC2" s="144" t="s">
        <v>683</v>
      </c>
      <c r="AD2" s="144" t="s">
        <v>684</v>
      </c>
      <c r="AE2" s="144" t="s">
        <v>685</v>
      </c>
      <c r="AF2" s="144" t="s">
        <v>686</v>
      </c>
      <c r="AG2" s="144" t="s">
        <v>687</v>
      </c>
      <c r="AH2" s="144" t="s">
        <v>688</v>
      </c>
      <c r="AI2" s="144" t="s">
        <v>689</v>
      </c>
      <c r="AJ2" s="144" t="s">
        <v>690</v>
      </c>
      <c r="AK2" s="144" t="s">
        <v>691</v>
      </c>
      <c r="AL2" s="144" t="s">
        <v>692</v>
      </c>
      <c r="AM2" s="144" t="s">
        <v>693</v>
      </c>
      <c r="AN2" s="144" t="s">
        <v>694</v>
      </c>
      <c r="AO2" s="144" t="s">
        <v>695</v>
      </c>
      <c r="AP2" s="144" t="s">
        <v>696</v>
      </c>
      <c r="AQ2" s="143" t="s">
        <v>681</v>
      </c>
      <c r="AR2" s="143" t="s">
        <v>682</v>
      </c>
      <c r="AS2" s="143" t="s">
        <v>683</v>
      </c>
      <c r="AT2" s="143" t="s">
        <v>684</v>
      </c>
      <c r="AU2" s="143" t="s">
        <v>685</v>
      </c>
      <c r="AV2" s="143" t="s">
        <v>686</v>
      </c>
      <c r="AW2" s="143" t="s">
        <v>687</v>
      </c>
      <c r="AX2" s="143" t="s">
        <v>688</v>
      </c>
      <c r="AY2" s="143" t="s">
        <v>689</v>
      </c>
      <c r="AZ2" s="143" t="s">
        <v>690</v>
      </c>
      <c r="BA2" s="143" t="s">
        <v>691</v>
      </c>
      <c r="BB2" s="143" t="s">
        <v>692</v>
      </c>
      <c r="BC2" s="143" t="s">
        <v>693</v>
      </c>
      <c r="BD2" s="143" t="s">
        <v>694</v>
      </c>
      <c r="BE2" s="143" t="s">
        <v>695</v>
      </c>
      <c r="BF2" s="143" t="s">
        <v>696</v>
      </c>
      <c r="BG2" s="144" t="s">
        <v>681</v>
      </c>
      <c r="BH2" s="143" t="s">
        <v>682</v>
      </c>
      <c r="BI2" s="143" t="s">
        <v>683</v>
      </c>
      <c r="BJ2" s="143" t="s">
        <v>684</v>
      </c>
      <c r="BK2" s="143" t="s">
        <v>685</v>
      </c>
      <c r="BL2" s="143" t="s">
        <v>686</v>
      </c>
      <c r="BM2" s="143" t="s">
        <v>687</v>
      </c>
      <c r="BN2" s="143" t="s">
        <v>688</v>
      </c>
      <c r="BO2" s="143" t="s">
        <v>689</v>
      </c>
      <c r="BP2" s="143" t="s">
        <v>690</v>
      </c>
      <c r="BQ2" s="143" t="s">
        <v>691</v>
      </c>
      <c r="BR2" s="143" t="s">
        <v>692</v>
      </c>
      <c r="BS2" s="143" t="s">
        <v>693</v>
      </c>
      <c r="BT2" s="143" t="s">
        <v>694</v>
      </c>
      <c r="BU2" s="143" t="s">
        <v>695</v>
      </c>
      <c r="BV2" s="143" t="s">
        <v>696</v>
      </c>
      <c r="BW2" s="143" t="s">
        <v>697</v>
      </c>
      <c r="BX2" s="143" t="s">
        <v>698</v>
      </c>
      <c r="BY2" s="143" t="s">
        <v>699</v>
      </c>
      <c r="BZ2" s="143" t="s">
        <v>700</v>
      </c>
      <c r="CA2" s="143" t="s">
        <v>701</v>
      </c>
      <c r="CB2" s="143" t="s">
        <v>702</v>
      </c>
      <c r="CC2" s="143" t="s">
        <v>703</v>
      </c>
      <c r="CD2" s="143" t="s">
        <v>704</v>
      </c>
      <c r="CE2" s="143" t="s">
        <v>705</v>
      </c>
      <c r="CF2" s="143" t="s">
        <v>706</v>
      </c>
      <c r="CG2" s="143" t="s">
        <v>707</v>
      </c>
      <c r="CH2" s="143" t="s">
        <v>708</v>
      </c>
      <c r="CI2" s="143" t="s">
        <v>709</v>
      </c>
    </row>
    <row r="3" spans="1:87" x14ac:dyDescent="0.25">
      <c r="A3" s="26"/>
      <c r="B3" s="26"/>
      <c r="C3" s="142"/>
      <c r="D3" s="142"/>
      <c r="E3" s="142"/>
      <c r="F3" s="26"/>
      <c r="G3" s="26"/>
      <c r="H3" s="26"/>
      <c r="I3" s="26"/>
      <c r="J3" s="145" t="s">
        <v>710</v>
      </c>
      <c r="K3" s="146">
        <v>1</v>
      </c>
      <c r="L3" s="146">
        <v>0</v>
      </c>
      <c r="M3" s="146">
        <v>1</v>
      </c>
      <c r="N3" s="146">
        <v>0</v>
      </c>
      <c r="O3" s="146">
        <v>1</v>
      </c>
      <c r="P3" s="146">
        <v>0</v>
      </c>
      <c r="Q3" s="146">
        <v>1</v>
      </c>
      <c r="R3" s="146">
        <v>0</v>
      </c>
      <c r="S3" s="146">
        <v>1</v>
      </c>
      <c r="T3" s="146">
        <v>0</v>
      </c>
      <c r="U3" s="146">
        <v>1</v>
      </c>
      <c r="V3" s="146">
        <v>0</v>
      </c>
      <c r="W3" s="146">
        <v>0</v>
      </c>
      <c r="X3" s="146">
        <v>0</v>
      </c>
      <c r="Y3" s="146">
        <v>1</v>
      </c>
      <c r="Z3" s="146">
        <v>0</v>
      </c>
      <c r="AA3" s="146">
        <v>1</v>
      </c>
      <c r="AB3" s="146">
        <v>0</v>
      </c>
      <c r="AC3" s="146">
        <v>1</v>
      </c>
      <c r="AD3" s="146">
        <v>0</v>
      </c>
      <c r="AE3" s="146">
        <v>1</v>
      </c>
      <c r="AF3" s="146">
        <v>0</v>
      </c>
      <c r="AG3" s="146">
        <v>1</v>
      </c>
      <c r="AH3" s="146">
        <v>0</v>
      </c>
      <c r="AI3" s="146">
        <v>1</v>
      </c>
      <c r="AJ3" s="146">
        <v>0</v>
      </c>
      <c r="AK3" s="146">
        <v>1</v>
      </c>
      <c r="AL3" s="146">
        <v>0</v>
      </c>
      <c r="AM3" s="146">
        <v>0</v>
      </c>
      <c r="AN3" s="146">
        <v>1</v>
      </c>
      <c r="AO3" s="146">
        <v>0</v>
      </c>
      <c r="AP3" s="146">
        <v>1</v>
      </c>
      <c r="AQ3" s="146">
        <v>0</v>
      </c>
      <c r="AR3" s="146">
        <v>1</v>
      </c>
      <c r="AS3" s="146">
        <v>0</v>
      </c>
      <c r="AT3" s="146">
        <v>1</v>
      </c>
      <c r="AU3" s="146">
        <v>0</v>
      </c>
      <c r="AV3" s="146">
        <v>1</v>
      </c>
      <c r="AW3" s="146">
        <v>0</v>
      </c>
      <c r="AX3" s="146">
        <v>1</v>
      </c>
      <c r="AY3" s="146">
        <v>0</v>
      </c>
      <c r="AZ3" s="146">
        <v>1</v>
      </c>
      <c r="BA3" s="146">
        <v>0</v>
      </c>
      <c r="BB3" s="146">
        <v>0</v>
      </c>
      <c r="BC3" s="146">
        <v>0</v>
      </c>
      <c r="BD3" s="146">
        <v>1</v>
      </c>
      <c r="BE3" s="146">
        <v>0</v>
      </c>
      <c r="BF3" s="146">
        <v>1</v>
      </c>
      <c r="BG3" s="146">
        <v>0</v>
      </c>
      <c r="BH3" s="146">
        <v>1</v>
      </c>
      <c r="BI3" s="146">
        <v>0</v>
      </c>
      <c r="BJ3" s="146">
        <v>1</v>
      </c>
      <c r="BK3" s="146">
        <v>0</v>
      </c>
      <c r="BL3" s="146">
        <v>1</v>
      </c>
      <c r="BM3" s="146">
        <v>0</v>
      </c>
      <c r="BN3" s="146">
        <v>1</v>
      </c>
      <c r="BO3" s="146">
        <v>0</v>
      </c>
      <c r="BP3" s="146">
        <v>1</v>
      </c>
      <c r="BQ3" s="146">
        <v>0</v>
      </c>
      <c r="BR3" s="146">
        <v>0</v>
      </c>
      <c r="BS3" s="146">
        <v>0</v>
      </c>
      <c r="BT3" s="146">
        <v>1</v>
      </c>
      <c r="BU3" s="146">
        <v>0</v>
      </c>
      <c r="BV3" s="146">
        <v>1</v>
      </c>
      <c r="BW3" s="146">
        <v>0</v>
      </c>
      <c r="BX3" s="146">
        <v>1</v>
      </c>
      <c r="BY3" s="146">
        <v>0</v>
      </c>
      <c r="BZ3" s="146">
        <v>1</v>
      </c>
      <c r="CA3" s="146">
        <v>0</v>
      </c>
      <c r="CB3" s="146">
        <v>1</v>
      </c>
      <c r="CC3" s="146">
        <v>0</v>
      </c>
      <c r="CD3" s="146">
        <v>1</v>
      </c>
      <c r="CE3" s="146">
        <v>0</v>
      </c>
      <c r="CF3" s="146">
        <v>1</v>
      </c>
      <c r="CG3" s="146">
        <v>0</v>
      </c>
      <c r="CH3" s="146">
        <v>0</v>
      </c>
      <c r="CI3" s="146">
        <v>0</v>
      </c>
    </row>
    <row r="4" spans="1:87" ht="30" x14ac:dyDescent="0.25">
      <c r="A4" s="147" t="s">
        <v>711</v>
      </c>
      <c r="B4" s="142">
        <f>B5+B6+B7+B8</f>
        <v>60965</v>
      </c>
      <c r="C4" s="148" t="s">
        <v>712</v>
      </c>
      <c r="D4" s="148" t="s">
        <v>713</v>
      </c>
      <c r="E4" s="149" t="s">
        <v>714</v>
      </c>
      <c r="F4" s="148" t="s">
        <v>715</v>
      </c>
      <c r="G4" s="148" t="s">
        <v>716</v>
      </c>
      <c r="H4" s="148" t="s">
        <v>717</v>
      </c>
      <c r="I4" s="26"/>
      <c r="J4" s="145" t="s">
        <v>718</v>
      </c>
      <c r="K4" s="146">
        <v>0</v>
      </c>
      <c r="L4" s="146">
        <v>0</v>
      </c>
      <c r="M4" s="146">
        <v>0</v>
      </c>
      <c r="N4" s="146">
        <v>0</v>
      </c>
      <c r="O4" s="146">
        <v>0</v>
      </c>
      <c r="P4" s="146">
        <v>0</v>
      </c>
      <c r="Q4" s="146">
        <v>0</v>
      </c>
      <c r="R4" s="146">
        <v>0</v>
      </c>
      <c r="S4" s="146">
        <v>0</v>
      </c>
      <c r="T4" s="146">
        <v>0</v>
      </c>
      <c r="U4" s="146">
        <v>0</v>
      </c>
      <c r="V4" s="146">
        <v>0</v>
      </c>
      <c r="W4" s="146">
        <v>0</v>
      </c>
      <c r="X4" s="146">
        <v>0</v>
      </c>
      <c r="Y4" s="146">
        <v>0</v>
      </c>
      <c r="Z4" s="146">
        <v>0</v>
      </c>
      <c r="AA4" s="146">
        <v>0</v>
      </c>
      <c r="AB4" s="146">
        <v>0</v>
      </c>
      <c r="AC4" s="146">
        <v>0</v>
      </c>
      <c r="AD4" s="146">
        <v>0</v>
      </c>
      <c r="AE4" s="146">
        <v>0</v>
      </c>
      <c r="AF4" s="146">
        <v>0</v>
      </c>
      <c r="AG4" s="146">
        <v>0</v>
      </c>
      <c r="AH4" s="146">
        <v>0</v>
      </c>
      <c r="AI4" s="146">
        <v>0</v>
      </c>
      <c r="AJ4" s="146">
        <v>0</v>
      </c>
      <c r="AK4" s="146">
        <v>0</v>
      </c>
      <c r="AL4" s="146">
        <v>0</v>
      </c>
      <c r="AM4" s="146">
        <v>0</v>
      </c>
      <c r="AN4" s="146">
        <v>0</v>
      </c>
      <c r="AO4" s="146">
        <v>0</v>
      </c>
      <c r="AP4" s="146">
        <v>0</v>
      </c>
      <c r="AQ4" s="146">
        <v>0</v>
      </c>
      <c r="AR4" s="146">
        <v>0</v>
      </c>
      <c r="AS4" s="146">
        <v>0</v>
      </c>
      <c r="AT4" s="146">
        <v>0</v>
      </c>
      <c r="AU4" s="146">
        <v>0</v>
      </c>
      <c r="AV4" s="146">
        <v>0</v>
      </c>
      <c r="AW4" s="146">
        <v>0</v>
      </c>
      <c r="AX4" s="146">
        <v>0</v>
      </c>
      <c r="AY4" s="146">
        <v>0</v>
      </c>
      <c r="AZ4" s="146">
        <v>0</v>
      </c>
      <c r="BA4" s="146">
        <v>0</v>
      </c>
      <c r="BB4" s="146">
        <v>0</v>
      </c>
      <c r="BC4" s="146">
        <v>0</v>
      </c>
      <c r="BD4" s="146">
        <v>0</v>
      </c>
      <c r="BE4" s="146">
        <v>0</v>
      </c>
      <c r="BF4" s="146">
        <v>0</v>
      </c>
      <c r="BG4" s="146">
        <v>0</v>
      </c>
      <c r="BH4" s="146">
        <v>0</v>
      </c>
      <c r="BI4" s="146">
        <v>0</v>
      </c>
      <c r="BJ4" s="146">
        <v>0</v>
      </c>
      <c r="BK4" s="146">
        <v>0</v>
      </c>
      <c r="BL4" s="146">
        <v>0</v>
      </c>
      <c r="BM4" s="146">
        <v>0</v>
      </c>
      <c r="BN4" s="146">
        <v>0</v>
      </c>
      <c r="BO4" s="146">
        <v>0</v>
      </c>
      <c r="BP4" s="146">
        <v>0</v>
      </c>
      <c r="BQ4" s="146">
        <v>0</v>
      </c>
      <c r="BR4" s="146">
        <v>0</v>
      </c>
      <c r="BS4" s="146">
        <v>0</v>
      </c>
      <c r="BT4" s="146">
        <v>0</v>
      </c>
      <c r="BU4" s="146">
        <v>0</v>
      </c>
      <c r="BV4" s="146">
        <v>0</v>
      </c>
      <c r="BW4" s="146">
        <v>0</v>
      </c>
      <c r="BX4" s="146">
        <v>0</v>
      </c>
      <c r="BY4" s="146">
        <v>0</v>
      </c>
      <c r="BZ4" s="146">
        <v>0</v>
      </c>
      <c r="CA4" s="146">
        <v>0</v>
      </c>
      <c r="CB4" s="146">
        <v>0</v>
      </c>
      <c r="CC4" s="146">
        <v>0</v>
      </c>
      <c r="CD4" s="146">
        <v>0</v>
      </c>
      <c r="CE4" s="146">
        <v>0</v>
      </c>
      <c r="CF4" s="146">
        <v>0</v>
      </c>
      <c r="CG4" s="146">
        <v>0</v>
      </c>
      <c r="CH4" s="146">
        <v>0</v>
      </c>
      <c r="CI4" s="146">
        <v>0</v>
      </c>
    </row>
    <row r="5" spans="1:87" ht="30" x14ac:dyDescent="0.25">
      <c r="A5" s="147" t="s">
        <v>719</v>
      </c>
      <c r="B5" s="150">
        <v>34888</v>
      </c>
      <c r="C5" s="151">
        <v>0.5</v>
      </c>
      <c r="D5" s="151">
        <v>45</v>
      </c>
      <c r="E5" s="151">
        <v>7</v>
      </c>
      <c r="F5" s="151">
        <v>6</v>
      </c>
      <c r="G5" s="151">
        <f>C5*B5</f>
        <v>17444</v>
      </c>
      <c r="H5" s="151">
        <f>B5*E5</f>
        <v>244216</v>
      </c>
      <c r="I5" s="26"/>
      <c r="J5" s="152" t="s">
        <v>720</v>
      </c>
      <c r="K5" s="152">
        <v>2983</v>
      </c>
      <c r="L5" s="152">
        <f>K5-12</f>
        <v>2971</v>
      </c>
      <c r="M5" s="152">
        <f t="shared" ref="M5:BG5" si="0">L5-12</f>
        <v>2959</v>
      </c>
      <c r="N5" s="152">
        <f t="shared" si="0"/>
        <v>2947</v>
      </c>
      <c r="O5" s="152">
        <f t="shared" si="0"/>
        <v>2935</v>
      </c>
      <c r="P5" s="152">
        <f t="shared" si="0"/>
        <v>2923</v>
      </c>
      <c r="Q5" s="152">
        <f t="shared" si="0"/>
        <v>2911</v>
      </c>
      <c r="R5" s="152">
        <f t="shared" si="0"/>
        <v>2899</v>
      </c>
      <c r="S5" s="152">
        <f t="shared" si="0"/>
        <v>2887</v>
      </c>
      <c r="T5" s="152">
        <f t="shared" si="0"/>
        <v>2875</v>
      </c>
      <c r="U5" s="152">
        <f t="shared" si="0"/>
        <v>2863</v>
      </c>
      <c r="V5" s="152">
        <f t="shared" si="0"/>
        <v>2851</v>
      </c>
      <c r="W5" s="152">
        <f t="shared" si="0"/>
        <v>2839</v>
      </c>
      <c r="X5" s="152">
        <f t="shared" si="0"/>
        <v>2827</v>
      </c>
      <c r="Y5" s="152">
        <f t="shared" si="0"/>
        <v>2815</v>
      </c>
      <c r="Z5" s="152">
        <f t="shared" si="0"/>
        <v>2803</v>
      </c>
      <c r="AA5" s="152">
        <f>Z5*0.9</f>
        <v>2522.7000000000003</v>
      </c>
      <c r="AB5" s="152">
        <f t="shared" si="0"/>
        <v>2510.7000000000003</v>
      </c>
      <c r="AC5" s="152">
        <f t="shared" si="0"/>
        <v>2498.7000000000003</v>
      </c>
      <c r="AD5" s="152">
        <f t="shared" si="0"/>
        <v>2486.7000000000003</v>
      </c>
      <c r="AE5" s="152">
        <f t="shared" si="0"/>
        <v>2474.7000000000003</v>
      </c>
      <c r="AF5" s="152">
        <f t="shared" si="0"/>
        <v>2462.7000000000003</v>
      </c>
      <c r="AG5" s="152">
        <f t="shared" si="0"/>
        <v>2450.7000000000003</v>
      </c>
      <c r="AH5" s="152">
        <f t="shared" si="0"/>
        <v>2438.7000000000003</v>
      </c>
      <c r="AI5" s="152">
        <f t="shared" si="0"/>
        <v>2426.7000000000003</v>
      </c>
      <c r="AJ5" s="152">
        <f t="shared" si="0"/>
        <v>2414.7000000000003</v>
      </c>
      <c r="AK5" s="152">
        <f t="shared" si="0"/>
        <v>2402.7000000000003</v>
      </c>
      <c r="AL5" s="152">
        <f t="shared" si="0"/>
        <v>2390.7000000000003</v>
      </c>
      <c r="AM5" s="152">
        <f t="shared" si="0"/>
        <v>2378.7000000000003</v>
      </c>
      <c r="AN5" s="152">
        <f t="shared" si="0"/>
        <v>2366.7000000000003</v>
      </c>
      <c r="AO5" s="152">
        <f t="shared" si="0"/>
        <v>2354.7000000000003</v>
      </c>
      <c r="AP5" s="152">
        <f t="shared" si="0"/>
        <v>2342.7000000000003</v>
      </c>
      <c r="AQ5" s="152">
        <f>AP5*0.9</f>
        <v>2108.4300000000003</v>
      </c>
      <c r="AR5" s="152">
        <f t="shared" si="0"/>
        <v>2096.4300000000003</v>
      </c>
      <c r="AS5" s="152">
        <f t="shared" si="0"/>
        <v>2084.4300000000003</v>
      </c>
      <c r="AT5" s="152">
        <f t="shared" si="0"/>
        <v>2072.4300000000003</v>
      </c>
      <c r="AU5" s="152">
        <f t="shared" si="0"/>
        <v>2060.4300000000003</v>
      </c>
      <c r="AV5" s="152">
        <f t="shared" si="0"/>
        <v>2048.4300000000003</v>
      </c>
      <c r="AW5" s="152">
        <f t="shared" si="0"/>
        <v>2036.4300000000003</v>
      </c>
      <c r="AX5" s="152">
        <f t="shared" si="0"/>
        <v>2024.4300000000003</v>
      </c>
      <c r="AY5" s="152">
        <f t="shared" si="0"/>
        <v>2012.4300000000003</v>
      </c>
      <c r="AZ5" s="152">
        <f t="shared" si="0"/>
        <v>2000.4300000000003</v>
      </c>
      <c r="BA5" s="152">
        <f t="shared" si="0"/>
        <v>1988.4300000000003</v>
      </c>
      <c r="BB5" s="152">
        <f t="shared" si="0"/>
        <v>1976.4300000000003</v>
      </c>
      <c r="BC5" s="152">
        <f t="shared" si="0"/>
        <v>1964.4300000000003</v>
      </c>
      <c r="BD5" s="152">
        <f t="shared" si="0"/>
        <v>1952.4300000000003</v>
      </c>
      <c r="BE5" s="152">
        <f t="shared" si="0"/>
        <v>1940.4300000000003</v>
      </c>
      <c r="BF5" s="152">
        <f t="shared" si="0"/>
        <v>1928.4300000000003</v>
      </c>
      <c r="BG5" s="152">
        <f t="shared" si="0"/>
        <v>1916.4300000000003</v>
      </c>
      <c r="BH5" s="152">
        <f t="shared" ref="BH5:CI5" si="1">BG5</f>
        <v>1916.4300000000003</v>
      </c>
      <c r="BI5" s="152">
        <f t="shared" si="1"/>
        <v>1916.4300000000003</v>
      </c>
      <c r="BJ5" s="152">
        <f t="shared" si="1"/>
        <v>1916.4300000000003</v>
      </c>
      <c r="BK5" s="152">
        <f t="shared" si="1"/>
        <v>1916.4300000000003</v>
      </c>
      <c r="BL5" s="152">
        <f t="shared" si="1"/>
        <v>1916.4300000000003</v>
      </c>
      <c r="BM5" s="152">
        <f t="shared" si="1"/>
        <v>1916.4300000000003</v>
      </c>
      <c r="BN5" s="152">
        <f t="shared" si="1"/>
        <v>1916.4300000000003</v>
      </c>
      <c r="BO5" s="152">
        <f t="shared" si="1"/>
        <v>1916.4300000000003</v>
      </c>
      <c r="BP5" s="152">
        <f t="shared" si="1"/>
        <v>1916.4300000000003</v>
      </c>
      <c r="BQ5" s="152">
        <f t="shared" si="1"/>
        <v>1916.4300000000003</v>
      </c>
      <c r="BR5" s="152">
        <f t="shared" si="1"/>
        <v>1916.4300000000003</v>
      </c>
      <c r="BS5" s="152">
        <f t="shared" si="1"/>
        <v>1916.4300000000003</v>
      </c>
      <c r="BT5" s="152">
        <f t="shared" si="1"/>
        <v>1916.4300000000003</v>
      </c>
      <c r="BU5" s="152">
        <f t="shared" si="1"/>
        <v>1916.4300000000003</v>
      </c>
      <c r="BV5" s="152">
        <f t="shared" si="1"/>
        <v>1916.4300000000003</v>
      </c>
      <c r="BW5" s="152">
        <f t="shared" si="1"/>
        <v>1916.4300000000003</v>
      </c>
      <c r="BX5" s="152">
        <f t="shared" si="1"/>
        <v>1916.4300000000003</v>
      </c>
      <c r="BY5" s="152">
        <f t="shared" si="1"/>
        <v>1916.4300000000003</v>
      </c>
      <c r="BZ5" s="152">
        <f t="shared" si="1"/>
        <v>1916.4300000000003</v>
      </c>
      <c r="CA5" s="152">
        <f t="shared" si="1"/>
        <v>1916.4300000000003</v>
      </c>
      <c r="CB5" s="152">
        <f t="shared" si="1"/>
        <v>1916.4300000000003</v>
      </c>
      <c r="CC5" s="152">
        <f t="shared" si="1"/>
        <v>1916.4300000000003</v>
      </c>
      <c r="CD5" s="152">
        <f t="shared" si="1"/>
        <v>1916.4300000000003</v>
      </c>
      <c r="CE5" s="152">
        <f t="shared" si="1"/>
        <v>1916.4300000000003</v>
      </c>
      <c r="CF5" s="152">
        <f t="shared" si="1"/>
        <v>1916.4300000000003</v>
      </c>
      <c r="CG5" s="152">
        <f t="shared" si="1"/>
        <v>1916.4300000000003</v>
      </c>
      <c r="CH5" s="152">
        <f t="shared" si="1"/>
        <v>1916.4300000000003</v>
      </c>
      <c r="CI5" s="152">
        <f t="shared" si="1"/>
        <v>1916.4300000000003</v>
      </c>
    </row>
    <row r="6" spans="1:87" ht="30" x14ac:dyDescent="0.25">
      <c r="A6" s="147" t="s">
        <v>721</v>
      </c>
      <c r="B6" s="150">
        <v>13391</v>
      </c>
      <c r="C6" s="151">
        <v>0.7</v>
      </c>
      <c r="D6" s="151">
        <v>75</v>
      </c>
      <c r="E6" s="151">
        <v>10</v>
      </c>
      <c r="F6" s="151">
        <v>6</v>
      </c>
      <c r="G6" s="151">
        <f t="shared" ref="G6:G8" si="2">C6*B6</f>
        <v>9373.6999999999989</v>
      </c>
      <c r="H6" s="151">
        <f t="shared" ref="H6:H8" si="3">B6*E6</f>
        <v>133910</v>
      </c>
      <c r="I6" s="26"/>
      <c r="J6" s="153" t="s">
        <v>722</v>
      </c>
      <c r="K6" s="154">
        <f>K5*$B$20</f>
        <v>25116.86</v>
      </c>
      <c r="L6" s="154">
        <f t="shared" ref="L6:BF6" si="4">L5*$B$20</f>
        <v>25015.82</v>
      </c>
      <c r="M6" s="154">
        <f t="shared" si="4"/>
        <v>24914.78</v>
      </c>
      <c r="N6" s="154">
        <f t="shared" si="4"/>
        <v>24813.74</v>
      </c>
      <c r="O6" s="154">
        <f t="shared" si="4"/>
        <v>24712.7</v>
      </c>
      <c r="P6" s="154">
        <f t="shared" si="4"/>
        <v>24611.66</v>
      </c>
      <c r="Q6" s="154">
        <f t="shared" si="4"/>
        <v>24510.62</v>
      </c>
      <c r="R6" s="154">
        <f t="shared" si="4"/>
        <v>24409.579999999998</v>
      </c>
      <c r="S6" s="154">
        <f t="shared" si="4"/>
        <v>24308.54</v>
      </c>
      <c r="T6" s="154">
        <f t="shared" si="4"/>
        <v>24207.5</v>
      </c>
      <c r="U6" s="154">
        <f t="shared" si="4"/>
        <v>24106.46</v>
      </c>
      <c r="V6" s="154">
        <f t="shared" si="4"/>
        <v>24005.42</v>
      </c>
      <c r="W6" s="154">
        <f t="shared" si="4"/>
        <v>23904.38</v>
      </c>
      <c r="X6" s="154">
        <f t="shared" si="4"/>
        <v>23803.34</v>
      </c>
      <c r="Y6" s="154">
        <f t="shared" si="4"/>
        <v>23702.3</v>
      </c>
      <c r="Z6" s="154">
        <f t="shared" si="4"/>
        <v>23601.26</v>
      </c>
      <c r="AA6" s="154">
        <f t="shared" si="4"/>
        <v>21241.134000000002</v>
      </c>
      <c r="AB6" s="154">
        <f t="shared" si="4"/>
        <v>21140.094000000001</v>
      </c>
      <c r="AC6" s="154">
        <f t="shared" si="4"/>
        <v>21039.054000000004</v>
      </c>
      <c r="AD6" s="154">
        <f t="shared" si="4"/>
        <v>20938.014000000003</v>
      </c>
      <c r="AE6" s="154">
        <f t="shared" si="4"/>
        <v>20836.974000000002</v>
      </c>
      <c r="AF6" s="154">
        <f t="shared" si="4"/>
        <v>20735.934000000001</v>
      </c>
      <c r="AG6" s="154">
        <f t="shared" si="4"/>
        <v>20634.894000000004</v>
      </c>
      <c r="AH6" s="154">
        <f t="shared" si="4"/>
        <v>20533.854000000003</v>
      </c>
      <c r="AI6" s="154">
        <f t="shared" si="4"/>
        <v>20432.814000000002</v>
      </c>
      <c r="AJ6" s="154">
        <f t="shared" si="4"/>
        <v>20331.774000000001</v>
      </c>
      <c r="AK6" s="154">
        <f t="shared" si="4"/>
        <v>20230.734</v>
      </c>
      <c r="AL6" s="154">
        <f t="shared" si="4"/>
        <v>20129.694000000003</v>
      </c>
      <c r="AM6" s="154">
        <f t="shared" si="4"/>
        <v>20028.654000000002</v>
      </c>
      <c r="AN6" s="154">
        <f t="shared" si="4"/>
        <v>19927.614000000001</v>
      </c>
      <c r="AO6" s="154">
        <f t="shared" si="4"/>
        <v>19826.574000000001</v>
      </c>
      <c r="AP6" s="154">
        <f t="shared" si="4"/>
        <v>19725.534000000003</v>
      </c>
      <c r="AQ6" s="154">
        <f t="shared" si="4"/>
        <v>17752.980600000003</v>
      </c>
      <c r="AR6" s="154">
        <f t="shared" si="4"/>
        <v>17651.940600000002</v>
      </c>
      <c r="AS6" s="154">
        <f t="shared" si="4"/>
        <v>17550.900600000001</v>
      </c>
      <c r="AT6" s="154">
        <f t="shared" si="4"/>
        <v>17449.860600000004</v>
      </c>
      <c r="AU6" s="154">
        <f t="shared" si="4"/>
        <v>17348.820600000003</v>
      </c>
      <c r="AV6" s="154">
        <f t="shared" si="4"/>
        <v>17247.780600000002</v>
      </c>
      <c r="AW6" s="154">
        <f t="shared" si="4"/>
        <v>17146.740600000001</v>
      </c>
      <c r="AX6" s="154">
        <f t="shared" si="4"/>
        <v>17045.700600000004</v>
      </c>
      <c r="AY6" s="154">
        <f t="shared" si="4"/>
        <v>16944.660600000003</v>
      </c>
      <c r="AZ6" s="154">
        <f t="shared" si="4"/>
        <v>16843.620600000002</v>
      </c>
      <c r="BA6" s="154">
        <f t="shared" si="4"/>
        <v>16742.580600000001</v>
      </c>
      <c r="BB6" s="154">
        <f t="shared" si="4"/>
        <v>16641.540600000004</v>
      </c>
      <c r="BC6" s="154">
        <f t="shared" si="4"/>
        <v>16540.500600000003</v>
      </c>
      <c r="BD6" s="154">
        <f t="shared" si="4"/>
        <v>16439.460600000002</v>
      </c>
      <c r="BE6" s="154">
        <f t="shared" si="4"/>
        <v>16338.420600000003</v>
      </c>
      <c r="BF6" s="154">
        <f t="shared" si="4"/>
        <v>16237.380600000002</v>
      </c>
      <c r="BG6" s="154">
        <f t="shared" ref="BG6:BS6" si="5">BG5*$B$14</f>
        <v>24415.318200000005</v>
      </c>
      <c r="BH6" s="154">
        <f t="shared" si="5"/>
        <v>24415.318200000005</v>
      </c>
      <c r="BI6" s="154">
        <f t="shared" si="5"/>
        <v>24415.318200000005</v>
      </c>
      <c r="BJ6" s="154">
        <f t="shared" si="5"/>
        <v>24415.318200000005</v>
      </c>
      <c r="BK6" s="154">
        <f t="shared" si="5"/>
        <v>24415.318200000005</v>
      </c>
      <c r="BL6" s="154">
        <f t="shared" si="5"/>
        <v>24415.318200000005</v>
      </c>
      <c r="BM6" s="154">
        <f t="shared" si="5"/>
        <v>24415.318200000005</v>
      </c>
      <c r="BN6" s="154">
        <f t="shared" si="5"/>
        <v>24415.318200000005</v>
      </c>
      <c r="BO6" s="154">
        <f t="shared" si="5"/>
        <v>24415.318200000005</v>
      </c>
      <c r="BP6" s="154">
        <f t="shared" si="5"/>
        <v>24415.318200000005</v>
      </c>
      <c r="BQ6" s="154">
        <f t="shared" si="5"/>
        <v>24415.318200000005</v>
      </c>
      <c r="BR6" s="154">
        <f t="shared" si="5"/>
        <v>24415.318200000005</v>
      </c>
      <c r="BS6" s="154">
        <f t="shared" si="5"/>
        <v>24415.318200000005</v>
      </c>
      <c r="BT6" s="154">
        <f>BT5*$B$14</f>
        <v>24415.318200000005</v>
      </c>
      <c r="BU6" s="154">
        <f>BU5*$B$14</f>
        <v>24415.318200000005</v>
      </c>
      <c r="BV6" s="154">
        <f>BV5*$B$14</f>
        <v>24415.318200000005</v>
      </c>
      <c r="BW6" s="154">
        <f t="shared" ref="BW6:CI6" si="6">BW5*$B$14</f>
        <v>24415.318200000005</v>
      </c>
      <c r="BX6" s="154">
        <f t="shared" si="6"/>
        <v>24415.318200000005</v>
      </c>
      <c r="BY6" s="154">
        <f t="shared" si="6"/>
        <v>24415.318200000005</v>
      </c>
      <c r="BZ6" s="154">
        <f t="shared" si="6"/>
        <v>24415.318200000005</v>
      </c>
      <c r="CA6" s="154">
        <f t="shared" si="6"/>
        <v>24415.318200000005</v>
      </c>
      <c r="CB6" s="154">
        <f t="shared" si="6"/>
        <v>24415.318200000005</v>
      </c>
      <c r="CC6" s="154">
        <f t="shared" si="6"/>
        <v>24415.318200000005</v>
      </c>
      <c r="CD6" s="154">
        <f t="shared" si="6"/>
        <v>24415.318200000005</v>
      </c>
      <c r="CE6" s="154">
        <f t="shared" si="6"/>
        <v>24415.318200000005</v>
      </c>
      <c r="CF6" s="154">
        <f t="shared" si="6"/>
        <v>24415.318200000005</v>
      </c>
      <c r="CG6" s="154">
        <f t="shared" si="6"/>
        <v>24415.318200000005</v>
      </c>
      <c r="CH6" s="154">
        <f t="shared" si="6"/>
        <v>24415.318200000005</v>
      </c>
      <c r="CI6" s="154">
        <f t="shared" si="6"/>
        <v>24415.318200000005</v>
      </c>
    </row>
    <row r="7" spans="1:87" x14ac:dyDescent="0.25">
      <c r="A7" s="147" t="s">
        <v>723</v>
      </c>
      <c r="B7" s="150">
        <v>11289</v>
      </c>
      <c r="C7" s="151">
        <v>1</v>
      </c>
      <c r="D7" s="151">
        <v>90</v>
      </c>
      <c r="E7" s="151">
        <v>19</v>
      </c>
      <c r="F7" s="151">
        <v>6</v>
      </c>
      <c r="G7" s="151">
        <f t="shared" si="2"/>
        <v>11289</v>
      </c>
      <c r="H7" s="151">
        <f t="shared" si="3"/>
        <v>214491</v>
      </c>
      <c r="I7" s="26"/>
      <c r="J7" s="153" t="s">
        <v>724</v>
      </c>
      <c r="K7" s="154">
        <f>K5*$C$20</f>
        <v>8143.59</v>
      </c>
      <c r="L7" s="154">
        <f t="shared" ref="L7:BF7" si="7">L5*$C$20</f>
        <v>8110.83</v>
      </c>
      <c r="M7" s="154">
        <f t="shared" si="7"/>
        <v>8078.07</v>
      </c>
      <c r="N7" s="154">
        <f t="shared" si="7"/>
        <v>8045.31</v>
      </c>
      <c r="O7" s="154">
        <f t="shared" si="7"/>
        <v>8012.55</v>
      </c>
      <c r="P7" s="154">
        <f t="shared" si="7"/>
        <v>7979.79</v>
      </c>
      <c r="Q7" s="154">
        <f t="shared" si="7"/>
        <v>7947.03</v>
      </c>
      <c r="R7" s="154">
        <f t="shared" si="7"/>
        <v>7914.2699999999995</v>
      </c>
      <c r="S7" s="154">
        <f t="shared" si="7"/>
        <v>7881.51</v>
      </c>
      <c r="T7" s="154">
        <f t="shared" si="7"/>
        <v>7848.75</v>
      </c>
      <c r="U7" s="154">
        <f t="shared" si="7"/>
        <v>7815.99</v>
      </c>
      <c r="V7" s="154">
        <f t="shared" si="7"/>
        <v>7783.23</v>
      </c>
      <c r="W7" s="154">
        <f t="shared" si="7"/>
        <v>7750.47</v>
      </c>
      <c r="X7" s="154">
        <f t="shared" si="7"/>
        <v>7717.71</v>
      </c>
      <c r="Y7" s="154">
        <f t="shared" si="7"/>
        <v>7684.95</v>
      </c>
      <c r="Z7" s="154">
        <f t="shared" si="7"/>
        <v>7652.19</v>
      </c>
      <c r="AA7" s="154">
        <f t="shared" si="7"/>
        <v>6886.9710000000005</v>
      </c>
      <c r="AB7" s="154">
        <f t="shared" si="7"/>
        <v>6854.2110000000011</v>
      </c>
      <c r="AC7" s="154">
        <f t="shared" si="7"/>
        <v>6821.4510000000009</v>
      </c>
      <c r="AD7" s="154">
        <f t="shared" si="7"/>
        <v>6788.6910000000007</v>
      </c>
      <c r="AE7" s="154">
        <f t="shared" si="7"/>
        <v>6755.9310000000005</v>
      </c>
      <c r="AF7" s="154">
        <f t="shared" si="7"/>
        <v>6723.1710000000003</v>
      </c>
      <c r="AG7" s="154">
        <f t="shared" si="7"/>
        <v>6690.411000000001</v>
      </c>
      <c r="AH7" s="154">
        <f t="shared" si="7"/>
        <v>6657.6510000000007</v>
      </c>
      <c r="AI7" s="154">
        <f t="shared" si="7"/>
        <v>6624.8910000000005</v>
      </c>
      <c r="AJ7" s="154">
        <f t="shared" si="7"/>
        <v>6592.1310000000003</v>
      </c>
      <c r="AK7" s="154">
        <f t="shared" si="7"/>
        <v>6559.371000000001</v>
      </c>
      <c r="AL7" s="154">
        <f t="shared" si="7"/>
        <v>6526.6110000000008</v>
      </c>
      <c r="AM7" s="154">
        <f t="shared" si="7"/>
        <v>6493.8510000000006</v>
      </c>
      <c r="AN7" s="154">
        <f t="shared" si="7"/>
        <v>6461.0910000000003</v>
      </c>
      <c r="AO7" s="154">
        <f t="shared" si="7"/>
        <v>6428.331000000001</v>
      </c>
      <c r="AP7" s="154">
        <f t="shared" si="7"/>
        <v>6395.5710000000008</v>
      </c>
      <c r="AQ7" s="154">
        <f t="shared" si="7"/>
        <v>5756.0139000000008</v>
      </c>
      <c r="AR7" s="154">
        <f t="shared" si="7"/>
        <v>5723.2539000000006</v>
      </c>
      <c r="AS7" s="154">
        <f t="shared" si="7"/>
        <v>5690.4939000000004</v>
      </c>
      <c r="AT7" s="154">
        <f t="shared" si="7"/>
        <v>5657.7339000000011</v>
      </c>
      <c r="AU7" s="154">
        <f t="shared" si="7"/>
        <v>5624.9739000000009</v>
      </c>
      <c r="AV7" s="154">
        <f t="shared" si="7"/>
        <v>5592.2139000000006</v>
      </c>
      <c r="AW7" s="154">
        <f t="shared" si="7"/>
        <v>5559.4539000000004</v>
      </c>
      <c r="AX7" s="154">
        <f t="shared" si="7"/>
        <v>5526.6939000000011</v>
      </c>
      <c r="AY7" s="154">
        <f t="shared" si="7"/>
        <v>5493.9339000000009</v>
      </c>
      <c r="AZ7" s="154">
        <f t="shared" si="7"/>
        <v>5461.1739000000007</v>
      </c>
      <c r="BA7" s="154">
        <f t="shared" si="7"/>
        <v>5428.4139000000005</v>
      </c>
      <c r="BB7" s="154">
        <f t="shared" si="7"/>
        <v>5395.6539000000012</v>
      </c>
      <c r="BC7" s="154">
        <f t="shared" si="7"/>
        <v>5362.8939000000009</v>
      </c>
      <c r="BD7" s="154">
        <f t="shared" si="7"/>
        <v>5330.1339000000007</v>
      </c>
      <c r="BE7" s="154">
        <f t="shared" si="7"/>
        <v>5297.3739000000005</v>
      </c>
      <c r="BF7" s="154">
        <f t="shared" si="7"/>
        <v>5264.6139000000012</v>
      </c>
      <c r="BG7" s="154">
        <f t="shared" ref="BG7:BS7" si="8">BG5*$C$14</f>
        <v>9371.3427000000011</v>
      </c>
      <c r="BH7" s="154">
        <f t="shared" si="8"/>
        <v>9371.3427000000011</v>
      </c>
      <c r="BI7" s="154">
        <f t="shared" si="8"/>
        <v>9371.3427000000011</v>
      </c>
      <c r="BJ7" s="154">
        <f t="shared" si="8"/>
        <v>9371.3427000000011</v>
      </c>
      <c r="BK7" s="154">
        <f t="shared" si="8"/>
        <v>9371.3427000000011</v>
      </c>
      <c r="BL7" s="154">
        <f t="shared" si="8"/>
        <v>9371.3427000000011</v>
      </c>
      <c r="BM7" s="154">
        <f t="shared" si="8"/>
        <v>9371.3427000000011</v>
      </c>
      <c r="BN7" s="154">
        <f t="shared" si="8"/>
        <v>9371.3427000000011</v>
      </c>
      <c r="BO7" s="154">
        <f t="shared" si="8"/>
        <v>9371.3427000000011</v>
      </c>
      <c r="BP7" s="154">
        <f t="shared" si="8"/>
        <v>9371.3427000000011</v>
      </c>
      <c r="BQ7" s="154">
        <f t="shared" si="8"/>
        <v>9371.3427000000011</v>
      </c>
      <c r="BR7" s="154">
        <f t="shared" si="8"/>
        <v>9371.3427000000011</v>
      </c>
      <c r="BS7" s="154">
        <f t="shared" si="8"/>
        <v>9371.3427000000011</v>
      </c>
      <c r="BT7" s="154">
        <f>BT5*$C$14</f>
        <v>9371.3427000000011</v>
      </c>
      <c r="BU7" s="154">
        <f>BU5*$C$14</f>
        <v>9371.3427000000011</v>
      </c>
      <c r="BV7" s="154">
        <f>BV5*$C$14</f>
        <v>9371.3427000000011</v>
      </c>
      <c r="BW7" s="154">
        <f t="shared" ref="BW7:CI7" si="9">BW5*$C$14</f>
        <v>9371.3427000000011</v>
      </c>
      <c r="BX7" s="154">
        <f t="shared" si="9"/>
        <v>9371.3427000000011</v>
      </c>
      <c r="BY7" s="154">
        <f t="shared" si="9"/>
        <v>9371.3427000000011</v>
      </c>
      <c r="BZ7" s="154">
        <f t="shared" si="9"/>
        <v>9371.3427000000011</v>
      </c>
      <c r="CA7" s="154">
        <f t="shared" si="9"/>
        <v>9371.3427000000011</v>
      </c>
      <c r="CB7" s="154">
        <f t="shared" si="9"/>
        <v>9371.3427000000011</v>
      </c>
      <c r="CC7" s="154">
        <f t="shared" si="9"/>
        <v>9371.3427000000011</v>
      </c>
      <c r="CD7" s="154">
        <f t="shared" si="9"/>
        <v>9371.3427000000011</v>
      </c>
      <c r="CE7" s="154">
        <f t="shared" si="9"/>
        <v>9371.3427000000011</v>
      </c>
      <c r="CF7" s="154">
        <f t="shared" si="9"/>
        <v>9371.3427000000011</v>
      </c>
      <c r="CG7" s="154">
        <f t="shared" si="9"/>
        <v>9371.3427000000011</v>
      </c>
      <c r="CH7" s="154">
        <f t="shared" si="9"/>
        <v>9371.3427000000011</v>
      </c>
      <c r="CI7" s="154">
        <f t="shared" si="9"/>
        <v>9371.3427000000011</v>
      </c>
    </row>
    <row r="8" spans="1:87" x14ac:dyDescent="0.25">
      <c r="A8" s="147" t="s">
        <v>725</v>
      </c>
      <c r="B8" s="150">
        <v>1397</v>
      </c>
      <c r="C8" s="151">
        <v>2.5</v>
      </c>
      <c r="D8" s="151">
        <v>300</v>
      </c>
      <c r="E8" s="151">
        <v>35</v>
      </c>
      <c r="F8" s="151">
        <v>6</v>
      </c>
      <c r="G8" s="151">
        <f t="shared" si="2"/>
        <v>3492.5</v>
      </c>
      <c r="H8" s="151">
        <f t="shared" si="3"/>
        <v>48895</v>
      </c>
      <c r="I8" s="26"/>
      <c r="J8" s="153" t="s">
        <v>726</v>
      </c>
      <c r="K8" s="154">
        <f>K5*$D$20</f>
        <v>5121.5126999999993</v>
      </c>
      <c r="L8" s="154">
        <f t="shared" ref="L8:BF8" si="10">L5*$D$20</f>
        <v>5100.9098999999997</v>
      </c>
      <c r="M8" s="154">
        <f t="shared" si="10"/>
        <v>5080.3071</v>
      </c>
      <c r="N8" s="154">
        <f t="shared" si="10"/>
        <v>5059.7042999999994</v>
      </c>
      <c r="O8" s="154">
        <f t="shared" si="10"/>
        <v>5039.1014999999998</v>
      </c>
      <c r="P8" s="154">
        <f t="shared" si="10"/>
        <v>5018.4986999999992</v>
      </c>
      <c r="Q8" s="154">
        <f t="shared" si="10"/>
        <v>4997.8958999999995</v>
      </c>
      <c r="R8" s="154">
        <f t="shared" si="10"/>
        <v>4977.2930999999999</v>
      </c>
      <c r="S8" s="154">
        <f t="shared" si="10"/>
        <v>4956.6902999999993</v>
      </c>
      <c r="T8" s="154">
        <f t="shared" si="10"/>
        <v>4936.0874999999996</v>
      </c>
      <c r="U8" s="154">
        <f t="shared" si="10"/>
        <v>4915.4847</v>
      </c>
      <c r="V8" s="154">
        <f t="shared" si="10"/>
        <v>4894.8818999999994</v>
      </c>
      <c r="W8" s="154">
        <f t="shared" si="10"/>
        <v>4874.2790999999997</v>
      </c>
      <c r="X8" s="154">
        <f t="shared" si="10"/>
        <v>4853.6763000000001</v>
      </c>
      <c r="Y8" s="154">
        <f t="shared" si="10"/>
        <v>4833.0734999999995</v>
      </c>
      <c r="Z8" s="154">
        <f t="shared" si="10"/>
        <v>4812.4706999999999</v>
      </c>
      <c r="AA8" s="154">
        <f t="shared" si="10"/>
        <v>4331.2236300000004</v>
      </c>
      <c r="AB8" s="154">
        <f t="shared" si="10"/>
        <v>4310.6208299999998</v>
      </c>
      <c r="AC8" s="154">
        <f t="shared" si="10"/>
        <v>4290.0180300000002</v>
      </c>
      <c r="AD8" s="154">
        <f t="shared" si="10"/>
        <v>4269.4152300000005</v>
      </c>
      <c r="AE8" s="154">
        <f t="shared" si="10"/>
        <v>4248.8124299999999</v>
      </c>
      <c r="AF8" s="154">
        <f t="shared" si="10"/>
        <v>4228.2096300000003</v>
      </c>
      <c r="AG8" s="154">
        <f t="shared" si="10"/>
        <v>4207.6068299999997</v>
      </c>
      <c r="AH8" s="154">
        <f t="shared" si="10"/>
        <v>4187.0040300000001</v>
      </c>
      <c r="AI8" s="154">
        <f t="shared" si="10"/>
        <v>4166.4012300000004</v>
      </c>
      <c r="AJ8" s="154">
        <f t="shared" si="10"/>
        <v>4145.7984299999998</v>
      </c>
      <c r="AK8" s="154">
        <f t="shared" si="10"/>
        <v>4125.1956300000002</v>
      </c>
      <c r="AL8" s="154">
        <f t="shared" si="10"/>
        <v>4104.5928300000005</v>
      </c>
      <c r="AM8" s="154">
        <f t="shared" si="10"/>
        <v>4083.9900300000004</v>
      </c>
      <c r="AN8" s="154">
        <f t="shared" si="10"/>
        <v>4063.3872300000003</v>
      </c>
      <c r="AO8" s="154">
        <f t="shared" si="10"/>
        <v>4042.7844300000002</v>
      </c>
      <c r="AP8" s="154">
        <f t="shared" si="10"/>
        <v>4022.18163</v>
      </c>
      <c r="AQ8" s="154">
        <f t="shared" si="10"/>
        <v>3619.963467</v>
      </c>
      <c r="AR8" s="154">
        <f t="shared" si="10"/>
        <v>3599.3606670000004</v>
      </c>
      <c r="AS8" s="154">
        <f t="shared" si="10"/>
        <v>3578.7578670000003</v>
      </c>
      <c r="AT8" s="154">
        <f t="shared" si="10"/>
        <v>3558.1550670000001</v>
      </c>
      <c r="AU8" s="154">
        <f t="shared" si="10"/>
        <v>3537.552267</v>
      </c>
      <c r="AV8" s="154">
        <f t="shared" si="10"/>
        <v>3516.9494670000004</v>
      </c>
      <c r="AW8" s="154">
        <f t="shared" si="10"/>
        <v>3496.3466670000003</v>
      </c>
      <c r="AX8" s="154">
        <f t="shared" si="10"/>
        <v>3475.7438670000001</v>
      </c>
      <c r="AY8" s="154">
        <f t="shared" si="10"/>
        <v>3455.141067</v>
      </c>
      <c r="AZ8" s="154">
        <f t="shared" si="10"/>
        <v>3434.5382670000004</v>
      </c>
      <c r="BA8" s="154">
        <f t="shared" si="10"/>
        <v>3413.9354670000002</v>
      </c>
      <c r="BB8" s="154">
        <f t="shared" si="10"/>
        <v>3393.3326670000001</v>
      </c>
      <c r="BC8" s="154">
        <f t="shared" si="10"/>
        <v>3372.7298670000005</v>
      </c>
      <c r="BD8" s="154">
        <f t="shared" si="10"/>
        <v>3352.1270670000004</v>
      </c>
      <c r="BE8" s="154">
        <f t="shared" si="10"/>
        <v>3331.5242670000002</v>
      </c>
      <c r="BF8" s="154">
        <f t="shared" si="10"/>
        <v>3310.9214670000001</v>
      </c>
      <c r="BG8" s="154">
        <f t="shared" ref="BG8:BS8" si="11">BG5*$D$14</f>
        <v>7900.4826750000002</v>
      </c>
      <c r="BH8" s="154">
        <f t="shared" si="11"/>
        <v>7900.4826750000002</v>
      </c>
      <c r="BI8" s="154">
        <f t="shared" si="11"/>
        <v>7900.4826750000002</v>
      </c>
      <c r="BJ8" s="154">
        <f t="shared" si="11"/>
        <v>7900.4826750000002</v>
      </c>
      <c r="BK8" s="154">
        <f t="shared" si="11"/>
        <v>7900.4826750000002</v>
      </c>
      <c r="BL8" s="154">
        <f t="shared" si="11"/>
        <v>7900.4826750000002</v>
      </c>
      <c r="BM8" s="154">
        <f t="shared" si="11"/>
        <v>7900.4826750000002</v>
      </c>
      <c r="BN8" s="154">
        <f t="shared" si="11"/>
        <v>7900.4826750000002</v>
      </c>
      <c r="BO8" s="154">
        <f t="shared" si="11"/>
        <v>7900.4826750000002</v>
      </c>
      <c r="BP8" s="154">
        <f t="shared" si="11"/>
        <v>7900.4826750000002</v>
      </c>
      <c r="BQ8" s="154">
        <f t="shared" si="11"/>
        <v>7900.4826750000002</v>
      </c>
      <c r="BR8" s="154">
        <f t="shared" si="11"/>
        <v>7900.4826750000002</v>
      </c>
      <c r="BS8" s="154">
        <f t="shared" si="11"/>
        <v>7900.4826750000002</v>
      </c>
      <c r="BT8" s="154">
        <f>BT5*$D$14</f>
        <v>7900.4826750000002</v>
      </c>
      <c r="BU8" s="154">
        <f>BU5*$D$14</f>
        <v>7900.4826750000002</v>
      </c>
      <c r="BV8" s="154">
        <f>BV5*$D$14</f>
        <v>7900.4826750000002</v>
      </c>
      <c r="BW8" s="154">
        <f t="shared" ref="BW8:CI8" si="12">BW5*$D$14</f>
        <v>7900.4826750000002</v>
      </c>
      <c r="BX8" s="154">
        <f t="shared" si="12"/>
        <v>7900.4826750000002</v>
      </c>
      <c r="BY8" s="154">
        <f t="shared" si="12"/>
        <v>7900.4826750000002</v>
      </c>
      <c r="BZ8" s="154">
        <f t="shared" si="12"/>
        <v>7900.4826750000002</v>
      </c>
      <c r="CA8" s="154">
        <f t="shared" si="12"/>
        <v>7900.4826750000002</v>
      </c>
      <c r="CB8" s="154">
        <f t="shared" si="12"/>
        <v>7900.4826750000002</v>
      </c>
      <c r="CC8" s="154">
        <f t="shared" si="12"/>
        <v>7900.4826750000002</v>
      </c>
      <c r="CD8" s="154">
        <f t="shared" si="12"/>
        <v>7900.4826750000002</v>
      </c>
      <c r="CE8" s="154">
        <f t="shared" si="12"/>
        <v>7900.4826750000002</v>
      </c>
      <c r="CF8" s="154">
        <f t="shared" si="12"/>
        <v>7900.4826750000002</v>
      </c>
      <c r="CG8" s="154">
        <f t="shared" si="12"/>
        <v>7900.4826750000002</v>
      </c>
      <c r="CH8" s="154">
        <f t="shared" si="12"/>
        <v>7900.4826750000002</v>
      </c>
      <c r="CI8" s="154">
        <f t="shared" si="12"/>
        <v>7900.4826750000002</v>
      </c>
    </row>
    <row r="9" spans="1:87" x14ac:dyDescent="0.25">
      <c r="A9" s="26"/>
      <c r="B9" s="26"/>
      <c r="C9" s="142"/>
      <c r="D9" s="142"/>
      <c r="E9" s="142"/>
      <c r="F9" s="26"/>
      <c r="G9" s="155">
        <f>G8+G7+G6+G5</f>
        <v>41599.199999999997</v>
      </c>
      <c r="H9" s="155">
        <f>H8+H7+H6+H5</f>
        <v>641512</v>
      </c>
      <c r="I9" s="26"/>
      <c r="J9" s="153" t="s">
        <v>727</v>
      </c>
      <c r="K9" s="154">
        <f>K5*$E$20</f>
        <v>536.93999999999994</v>
      </c>
      <c r="L9" s="154">
        <f t="shared" ref="L9:BF9" si="13">L5*$E$20</f>
        <v>534.78</v>
      </c>
      <c r="M9" s="154">
        <f t="shared" si="13"/>
        <v>532.62</v>
      </c>
      <c r="N9" s="154">
        <f t="shared" si="13"/>
        <v>530.46</v>
      </c>
      <c r="O9" s="154">
        <f t="shared" si="13"/>
        <v>528.29999999999995</v>
      </c>
      <c r="P9" s="154">
        <f t="shared" si="13"/>
        <v>526.14</v>
      </c>
      <c r="Q9" s="154">
        <f t="shared" si="13"/>
        <v>523.98</v>
      </c>
      <c r="R9" s="154">
        <f t="shared" si="13"/>
        <v>521.81999999999994</v>
      </c>
      <c r="S9" s="154">
        <f t="shared" si="13"/>
        <v>519.66</v>
      </c>
      <c r="T9" s="154">
        <f t="shared" si="13"/>
        <v>517.5</v>
      </c>
      <c r="U9" s="154">
        <f t="shared" si="13"/>
        <v>515.34</v>
      </c>
      <c r="V9" s="154">
        <f t="shared" si="13"/>
        <v>513.17999999999995</v>
      </c>
      <c r="W9" s="154">
        <f t="shared" si="13"/>
        <v>511.02</v>
      </c>
      <c r="X9" s="154">
        <f t="shared" si="13"/>
        <v>508.85999999999996</v>
      </c>
      <c r="Y9" s="154">
        <f t="shared" si="13"/>
        <v>506.7</v>
      </c>
      <c r="Z9" s="154">
        <f t="shared" si="13"/>
        <v>504.53999999999996</v>
      </c>
      <c r="AA9" s="154">
        <f t="shared" si="13"/>
        <v>454.08600000000001</v>
      </c>
      <c r="AB9" s="154">
        <f t="shared" si="13"/>
        <v>451.92600000000004</v>
      </c>
      <c r="AC9" s="154">
        <f t="shared" si="13"/>
        <v>449.76600000000002</v>
      </c>
      <c r="AD9" s="154">
        <f t="shared" si="13"/>
        <v>447.60600000000005</v>
      </c>
      <c r="AE9" s="154">
        <f t="shared" si="13"/>
        <v>445.44600000000003</v>
      </c>
      <c r="AF9" s="154">
        <f t="shared" si="13"/>
        <v>443.28600000000006</v>
      </c>
      <c r="AG9" s="154">
        <f t="shared" si="13"/>
        <v>441.12600000000003</v>
      </c>
      <c r="AH9" s="154">
        <f t="shared" si="13"/>
        <v>438.96600000000001</v>
      </c>
      <c r="AI9" s="154">
        <f t="shared" si="13"/>
        <v>436.80600000000004</v>
      </c>
      <c r="AJ9" s="154">
        <f t="shared" si="13"/>
        <v>434.64600000000002</v>
      </c>
      <c r="AK9" s="154">
        <f t="shared" si="13"/>
        <v>432.48600000000005</v>
      </c>
      <c r="AL9" s="154">
        <f t="shared" si="13"/>
        <v>430.32600000000002</v>
      </c>
      <c r="AM9" s="154">
        <f t="shared" si="13"/>
        <v>428.16600000000005</v>
      </c>
      <c r="AN9" s="154">
        <f t="shared" si="13"/>
        <v>426.00600000000003</v>
      </c>
      <c r="AO9" s="154">
        <f t="shared" si="13"/>
        <v>423.84600000000006</v>
      </c>
      <c r="AP9" s="154">
        <f t="shared" si="13"/>
        <v>421.68600000000004</v>
      </c>
      <c r="AQ9" s="154">
        <f t="shared" si="13"/>
        <v>379.51740000000007</v>
      </c>
      <c r="AR9" s="154">
        <f t="shared" si="13"/>
        <v>377.35740000000004</v>
      </c>
      <c r="AS9" s="154">
        <f t="shared" si="13"/>
        <v>375.19740000000002</v>
      </c>
      <c r="AT9" s="154">
        <f t="shared" si="13"/>
        <v>373.03740000000005</v>
      </c>
      <c r="AU9" s="154">
        <f t="shared" si="13"/>
        <v>370.87740000000002</v>
      </c>
      <c r="AV9" s="154">
        <f t="shared" si="13"/>
        <v>368.71740000000005</v>
      </c>
      <c r="AW9" s="154">
        <f t="shared" si="13"/>
        <v>366.55740000000003</v>
      </c>
      <c r="AX9" s="154">
        <f t="shared" si="13"/>
        <v>364.39740000000006</v>
      </c>
      <c r="AY9" s="154">
        <f t="shared" si="13"/>
        <v>362.23740000000004</v>
      </c>
      <c r="AZ9" s="154">
        <f t="shared" si="13"/>
        <v>360.07740000000001</v>
      </c>
      <c r="BA9" s="154">
        <f t="shared" si="13"/>
        <v>357.91740000000004</v>
      </c>
      <c r="BB9" s="154">
        <f t="shared" si="13"/>
        <v>355.75740000000002</v>
      </c>
      <c r="BC9" s="154">
        <f t="shared" si="13"/>
        <v>353.59740000000005</v>
      </c>
      <c r="BD9" s="154">
        <f t="shared" si="13"/>
        <v>351.43740000000003</v>
      </c>
      <c r="BE9" s="154">
        <f t="shared" si="13"/>
        <v>349.27740000000006</v>
      </c>
      <c r="BF9" s="154">
        <f t="shared" si="13"/>
        <v>347.11740000000003</v>
      </c>
      <c r="BG9" s="154">
        <f t="shared" ref="BG9:BS9" si="14">BG5*$E$14</f>
        <v>977.37930000000017</v>
      </c>
      <c r="BH9" s="154">
        <f t="shared" si="14"/>
        <v>977.37930000000017</v>
      </c>
      <c r="BI9" s="154">
        <f t="shared" si="14"/>
        <v>977.37930000000017</v>
      </c>
      <c r="BJ9" s="154">
        <f t="shared" si="14"/>
        <v>977.37930000000017</v>
      </c>
      <c r="BK9" s="154">
        <f t="shared" si="14"/>
        <v>977.37930000000017</v>
      </c>
      <c r="BL9" s="154">
        <f t="shared" si="14"/>
        <v>977.37930000000017</v>
      </c>
      <c r="BM9" s="154">
        <f t="shared" si="14"/>
        <v>977.37930000000017</v>
      </c>
      <c r="BN9" s="154">
        <f t="shared" si="14"/>
        <v>977.37930000000017</v>
      </c>
      <c r="BO9" s="154">
        <f t="shared" si="14"/>
        <v>977.37930000000017</v>
      </c>
      <c r="BP9" s="154">
        <f t="shared" si="14"/>
        <v>977.37930000000017</v>
      </c>
      <c r="BQ9" s="154">
        <f t="shared" si="14"/>
        <v>977.37930000000017</v>
      </c>
      <c r="BR9" s="154">
        <f t="shared" si="14"/>
        <v>977.37930000000017</v>
      </c>
      <c r="BS9" s="154">
        <f t="shared" si="14"/>
        <v>977.37930000000017</v>
      </c>
      <c r="BT9" s="154">
        <f>BT5*$E$14</f>
        <v>977.37930000000017</v>
      </c>
      <c r="BU9" s="154">
        <f>BU5*$E$14</f>
        <v>977.37930000000017</v>
      </c>
      <c r="BV9" s="154">
        <f>BV5*$E$14</f>
        <v>977.37930000000017</v>
      </c>
      <c r="BW9" s="154">
        <f t="shared" ref="BW9:CI9" si="15">BW5*$E$14</f>
        <v>977.37930000000017</v>
      </c>
      <c r="BX9" s="154">
        <f t="shared" si="15"/>
        <v>977.37930000000017</v>
      </c>
      <c r="BY9" s="154">
        <f t="shared" si="15"/>
        <v>977.37930000000017</v>
      </c>
      <c r="BZ9" s="154">
        <f t="shared" si="15"/>
        <v>977.37930000000017</v>
      </c>
      <c r="CA9" s="154">
        <f t="shared" si="15"/>
        <v>977.37930000000017</v>
      </c>
      <c r="CB9" s="154">
        <f t="shared" si="15"/>
        <v>977.37930000000017</v>
      </c>
      <c r="CC9" s="154">
        <f t="shared" si="15"/>
        <v>977.37930000000017</v>
      </c>
      <c r="CD9" s="154">
        <f t="shared" si="15"/>
        <v>977.37930000000017</v>
      </c>
      <c r="CE9" s="154">
        <f t="shared" si="15"/>
        <v>977.37930000000017</v>
      </c>
      <c r="CF9" s="154">
        <f t="shared" si="15"/>
        <v>977.37930000000017</v>
      </c>
      <c r="CG9" s="154">
        <f t="shared" si="15"/>
        <v>977.37930000000017</v>
      </c>
      <c r="CH9" s="154">
        <f t="shared" si="15"/>
        <v>977.37930000000017</v>
      </c>
      <c r="CI9" s="154">
        <f t="shared" si="15"/>
        <v>977.37930000000017</v>
      </c>
    </row>
    <row r="10" spans="1:87" ht="21" x14ac:dyDescent="0.25">
      <c r="A10" s="156" t="s">
        <v>728</v>
      </c>
      <c r="B10" s="156" t="s">
        <v>729</v>
      </c>
      <c r="C10" s="156" t="s">
        <v>730</v>
      </c>
      <c r="D10" s="156" t="s">
        <v>731</v>
      </c>
      <c r="E10" s="156" t="s">
        <v>732</v>
      </c>
      <c r="F10" s="156" t="s">
        <v>733</v>
      </c>
      <c r="G10" s="156"/>
      <c r="H10" s="156"/>
      <c r="I10" s="26"/>
      <c r="J10" s="157" t="s">
        <v>734</v>
      </c>
      <c r="K10" s="158">
        <f>B5</f>
        <v>34888</v>
      </c>
      <c r="L10" s="158">
        <f>K10</f>
        <v>34888</v>
      </c>
      <c r="M10" s="158">
        <f t="shared" ref="M10:BX13" si="16">L10</f>
        <v>34888</v>
      </c>
      <c r="N10" s="158">
        <f t="shared" si="16"/>
        <v>34888</v>
      </c>
      <c r="O10" s="158">
        <f t="shared" si="16"/>
        <v>34888</v>
      </c>
      <c r="P10" s="158">
        <f t="shared" si="16"/>
        <v>34888</v>
      </c>
      <c r="Q10" s="158">
        <f t="shared" si="16"/>
        <v>34888</v>
      </c>
      <c r="R10" s="158">
        <f t="shared" si="16"/>
        <v>34888</v>
      </c>
      <c r="S10" s="158">
        <f t="shared" si="16"/>
        <v>34888</v>
      </c>
      <c r="T10" s="158">
        <f t="shared" si="16"/>
        <v>34888</v>
      </c>
      <c r="U10" s="158">
        <f t="shared" si="16"/>
        <v>34888</v>
      </c>
      <c r="V10" s="158">
        <f t="shared" si="16"/>
        <v>34888</v>
      </c>
      <c r="W10" s="158">
        <f t="shared" si="16"/>
        <v>34888</v>
      </c>
      <c r="X10" s="158">
        <f t="shared" si="16"/>
        <v>34888</v>
      </c>
      <c r="Y10" s="158">
        <f t="shared" si="16"/>
        <v>34888</v>
      </c>
      <c r="Z10" s="158">
        <f t="shared" si="16"/>
        <v>34888</v>
      </c>
      <c r="AA10" s="158">
        <f t="shared" si="16"/>
        <v>34888</v>
      </c>
      <c r="AB10" s="158">
        <f t="shared" si="16"/>
        <v>34888</v>
      </c>
      <c r="AC10" s="158">
        <f t="shared" si="16"/>
        <v>34888</v>
      </c>
      <c r="AD10" s="158">
        <f t="shared" si="16"/>
        <v>34888</v>
      </c>
      <c r="AE10" s="158">
        <f t="shared" si="16"/>
        <v>34888</v>
      </c>
      <c r="AF10" s="158">
        <f t="shared" si="16"/>
        <v>34888</v>
      </c>
      <c r="AG10" s="158">
        <f t="shared" si="16"/>
        <v>34888</v>
      </c>
      <c r="AH10" s="158">
        <f t="shared" si="16"/>
        <v>34888</v>
      </c>
      <c r="AI10" s="158">
        <f t="shared" si="16"/>
        <v>34888</v>
      </c>
      <c r="AJ10" s="158">
        <f t="shared" si="16"/>
        <v>34888</v>
      </c>
      <c r="AK10" s="158">
        <f t="shared" si="16"/>
        <v>34888</v>
      </c>
      <c r="AL10" s="158">
        <f t="shared" si="16"/>
        <v>34888</v>
      </c>
      <c r="AM10" s="158">
        <f t="shared" si="16"/>
        <v>34888</v>
      </c>
      <c r="AN10" s="158">
        <f t="shared" si="16"/>
        <v>34888</v>
      </c>
      <c r="AO10" s="158">
        <f t="shared" si="16"/>
        <v>34888</v>
      </c>
      <c r="AP10" s="158">
        <f t="shared" si="16"/>
        <v>34888</v>
      </c>
      <c r="AQ10" s="158">
        <f t="shared" si="16"/>
        <v>34888</v>
      </c>
      <c r="AR10" s="158">
        <f t="shared" si="16"/>
        <v>34888</v>
      </c>
      <c r="AS10" s="158">
        <f t="shared" si="16"/>
        <v>34888</v>
      </c>
      <c r="AT10" s="158">
        <f t="shared" si="16"/>
        <v>34888</v>
      </c>
      <c r="AU10" s="158">
        <f t="shared" si="16"/>
        <v>34888</v>
      </c>
      <c r="AV10" s="158">
        <f t="shared" si="16"/>
        <v>34888</v>
      </c>
      <c r="AW10" s="158">
        <f t="shared" si="16"/>
        <v>34888</v>
      </c>
      <c r="AX10" s="158">
        <f t="shared" si="16"/>
        <v>34888</v>
      </c>
      <c r="AY10" s="158">
        <f t="shared" si="16"/>
        <v>34888</v>
      </c>
      <c r="AZ10" s="158">
        <f t="shared" si="16"/>
        <v>34888</v>
      </c>
      <c r="BA10" s="158">
        <f t="shared" si="16"/>
        <v>34888</v>
      </c>
      <c r="BB10" s="158">
        <f t="shared" si="16"/>
        <v>34888</v>
      </c>
      <c r="BC10" s="158">
        <f t="shared" si="16"/>
        <v>34888</v>
      </c>
      <c r="BD10" s="158">
        <f t="shared" si="16"/>
        <v>34888</v>
      </c>
      <c r="BE10" s="158">
        <f t="shared" si="16"/>
        <v>34888</v>
      </c>
      <c r="BF10" s="158">
        <f t="shared" si="16"/>
        <v>34888</v>
      </c>
      <c r="BG10" s="158">
        <f t="shared" si="16"/>
        <v>34888</v>
      </c>
      <c r="BH10" s="158">
        <f t="shared" si="16"/>
        <v>34888</v>
      </c>
      <c r="BI10" s="158">
        <f t="shared" si="16"/>
        <v>34888</v>
      </c>
      <c r="BJ10" s="158">
        <f t="shared" si="16"/>
        <v>34888</v>
      </c>
      <c r="BK10" s="158">
        <f t="shared" si="16"/>
        <v>34888</v>
      </c>
      <c r="BL10" s="158">
        <f t="shared" si="16"/>
        <v>34888</v>
      </c>
      <c r="BM10" s="158">
        <f t="shared" si="16"/>
        <v>34888</v>
      </c>
      <c r="BN10" s="158">
        <f t="shared" si="16"/>
        <v>34888</v>
      </c>
      <c r="BO10" s="158">
        <f t="shared" si="16"/>
        <v>34888</v>
      </c>
      <c r="BP10" s="158">
        <f t="shared" si="16"/>
        <v>34888</v>
      </c>
      <c r="BQ10" s="158">
        <f t="shared" si="16"/>
        <v>34888</v>
      </c>
      <c r="BR10" s="158">
        <f t="shared" si="16"/>
        <v>34888</v>
      </c>
      <c r="BS10" s="158">
        <f t="shared" si="16"/>
        <v>34888</v>
      </c>
      <c r="BT10" s="158">
        <f t="shared" si="16"/>
        <v>34888</v>
      </c>
      <c r="BU10" s="158">
        <f t="shared" si="16"/>
        <v>34888</v>
      </c>
      <c r="BV10" s="158">
        <f t="shared" si="16"/>
        <v>34888</v>
      </c>
      <c r="BW10" s="158">
        <f t="shared" si="16"/>
        <v>34888</v>
      </c>
      <c r="BX10" s="158">
        <f t="shared" si="16"/>
        <v>34888</v>
      </c>
      <c r="BY10" s="158">
        <f t="shared" ref="BY10:CI12" si="17">BX10</f>
        <v>34888</v>
      </c>
      <c r="BZ10" s="158">
        <f t="shared" si="17"/>
        <v>34888</v>
      </c>
      <c r="CA10" s="158">
        <f t="shared" si="17"/>
        <v>34888</v>
      </c>
      <c r="CB10" s="158">
        <f t="shared" si="17"/>
        <v>34888</v>
      </c>
      <c r="CC10" s="158">
        <f t="shared" si="17"/>
        <v>34888</v>
      </c>
      <c r="CD10" s="158">
        <f t="shared" si="17"/>
        <v>34888</v>
      </c>
      <c r="CE10" s="158">
        <f t="shared" si="17"/>
        <v>34888</v>
      </c>
      <c r="CF10" s="158">
        <f t="shared" si="17"/>
        <v>34888</v>
      </c>
      <c r="CG10" s="158">
        <f t="shared" si="17"/>
        <v>34888</v>
      </c>
      <c r="CH10" s="158">
        <f t="shared" si="17"/>
        <v>34888</v>
      </c>
      <c r="CI10" s="158">
        <f t="shared" si="17"/>
        <v>34888</v>
      </c>
    </row>
    <row r="11" spans="1:87" x14ac:dyDescent="0.25">
      <c r="A11" s="159">
        <v>11</v>
      </c>
      <c r="B11" s="160">
        <v>14.98</v>
      </c>
      <c r="C11" s="160">
        <v>5.95</v>
      </c>
      <c r="D11" s="160">
        <v>5.3253000000000004</v>
      </c>
      <c r="E11" s="160">
        <v>0.68</v>
      </c>
      <c r="F11" s="161">
        <f>E11+D11+C11+B11</f>
        <v>26.935300000000002</v>
      </c>
      <c r="G11" s="161"/>
      <c r="H11" s="161"/>
      <c r="I11" s="26"/>
      <c r="J11" s="157" t="s">
        <v>735</v>
      </c>
      <c r="K11" s="158">
        <f>B6</f>
        <v>13391</v>
      </c>
      <c r="L11" s="158">
        <f>K11</f>
        <v>13391</v>
      </c>
      <c r="M11" s="158">
        <f t="shared" si="16"/>
        <v>13391</v>
      </c>
      <c r="N11" s="158">
        <f t="shared" si="16"/>
        <v>13391</v>
      </c>
      <c r="O11" s="158">
        <f t="shared" si="16"/>
        <v>13391</v>
      </c>
      <c r="P11" s="158">
        <f t="shared" si="16"/>
        <v>13391</v>
      </c>
      <c r="Q11" s="158">
        <f t="shared" si="16"/>
        <v>13391</v>
      </c>
      <c r="R11" s="158">
        <f t="shared" si="16"/>
        <v>13391</v>
      </c>
      <c r="S11" s="158">
        <f t="shared" si="16"/>
        <v>13391</v>
      </c>
      <c r="T11" s="158">
        <f t="shared" si="16"/>
        <v>13391</v>
      </c>
      <c r="U11" s="158">
        <f t="shared" si="16"/>
        <v>13391</v>
      </c>
      <c r="V11" s="158">
        <f t="shared" si="16"/>
        <v>13391</v>
      </c>
      <c r="W11" s="158">
        <f t="shared" si="16"/>
        <v>13391</v>
      </c>
      <c r="X11" s="158">
        <f t="shared" si="16"/>
        <v>13391</v>
      </c>
      <c r="Y11" s="158">
        <f t="shared" si="16"/>
        <v>13391</v>
      </c>
      <c r="Z11" s="158">
        <f t="shared" si="16"/>
        <v>13391</v>
      </c>
      <c r="AA11" s="158">
        <f t="shared" si="16"/>
        <v>13391</v>
      </c>
      <c r="AB11" s="158">
        <f t="shared" si="16"/>
        <v>13391</v>
      </c>
      <c r="AC11" s="158">
        <f t="shared" si="16"/>
        <v>13391</v>
      </c>
      <c r="AD11" s="158">
        <f t="shared" si="16"/>
        <v>13391</v>
      </c>
      <c r="AE11" s="158">
        <f t="shared" si="16"/>
        <v>13391</v>
      </c>
      <c r="AF11" s="158">
        <f t="shared" si="16"/>
        <v>13391</v>
      </c>
      <c r="AG11" s="158">
        <f t="shared" si="16"/>
        <v>13391</v>
      </c>
      <c r="AH11" s="158">
        <f t="shared" si="16"/>
        <v>13391</v>
      </c>
      <c r="AI11" s="158">
        <f t="shared" si="16"/>
        <v>13391</v>
      </c>
      <c r="AJ11" s="158">
        <f t="shared" si="16"/>
        <v>13391</v>
      </c>
      <c r="AK11" s="158">
        <f t="shared" si="16"/>
        <v>13391</v>
      </c>
      <c r="AL11" s="158">
        <f t="shared" si="16"/>
        <v>13391</v>
      </c>
      <c r="AM11" s="158">
        <f t="shared" si="16"/>
        <v>13391</v>
      </c>
      <c r="AN11" s="158">
        <f t="shared" si="16"/>
        <v>13391</v>
      </c>
      <c r="AO11" s="158">
        <f t="shared" si="16"/>
        <v>13391</v>
      </c>
      <c r="AP11" s="158">
        <f t="shared" si="16"/>
        <v>13391</v>
      </c>
      <c r="AQ11" s="158">
        <f t="shared" si="16"/>
        <v>13391</v>
      </c>
      <c r="AR11" s="158">
        <f t="shared" si="16"/>
        <v>13391</v>
      </c>
      <c r="AS11" s="158">
        <f t="shared" si="16"/>
        <v>13391</v>
      </c>
      <c r="AT11" s="158">
        <f t="shared" si="16"/>
        <v>13391</v>
      </c>
      <c r="AU11" s="158">
        <f t="shared" si="16"/>
        <v>13391</v>
      </c>
      <c r="AV11" s="158">
        <f t="shared" si="16"/>
        <v>13391</v>
      </c>
      <c r="AW11" s="158">
        <f t="shared" si="16"/>
        <v>13391</v>
      </c>
      <c r="AX11" s="158">
        <f t="shared" si="16"/>
        <v>13391</v>
      </c>
      <c r="AY11" s="158">
        <f t="shared" si="16"/>
        <v>13391</v>
      </c>
      <c r="AZ11" s="158">
        <f t="shared" si="16"/>
        <v>13391</v>
      </c>
      <c r="BA11" s="158">
        <f t="shared" si="16"/>
        <v>13391</v>
      </c>
      <c r="BB11" s="158">
        <f t="shared" si="16"/>
        <v>13391</v>
      </c>
      <c r="BC11" s="158">
        <f t="shared" si="16"/>
        <v>13391</v>
      </c>
      <c r="BD11" s="158">
        <f t="shared" si="16"/>
        <v>13391</v>
      </c>
      <c r="BE11" s="158">
        <f t="shared" si="16"/>
        <v>13391</v>
      </c>
      <c r="BF11" s="158">
        <f t="shared" si="16"/>
        <v>13391</v>
      </c>
      <c r="BG11" s="158">
        <f t="shared" si="16"/>
        <v>13391</v>
      </c>
      <c r="BH11" s="158">
        <f t="shared" si="16"/>
        <v>13391</v>
      </c>
      <c r="BI11" s="158">
        <f t="shared" si="16"/>
        <v>13391</v>
      </c>
      <c r="BJ11" s="158">
        <f t="shared" si="16"/>
        <v>13391</v>
      </c>
      <c r="BK11" s="158">
        <f t="shared" si="16"/>
        <v>13391</v>
      </c>
      <c r="BL11" s="158">
        <f t="shared" si="16"/>
        <v>13391</v>
      </c>
      <c r="BM11" s="158">
        <f t="shared" si="16"/>
        <v>13391</v>
      </c>
      <c r="BN11" s="158">
        <f t="shared" si="16"/>
        <v>13391</v>
      </c>
      <c r="BO11" s="158">
        <f t="shared" si="16"/>
        <v>13391</v>
      </c>
      <c r="BP11" s="158">
        <f t="shared" si="16"/>
        <v>13391</v>
      </c>
      <c r="BQ11" s="158">
        <f t="shared" si="16"/>
        <v>13391</v>
      </c>
      <c r="BR11" s="158">
        <f t="shared" si="16"/>
        <v>13391</v>
      </c>
      <c r="BS11" s="158">
        <f t="shared" si="16"/>
        <v>13391</v>
      </c>
      <c r="BT11" s="158">
        <f t="shared" si="16"/>
        <v>13391</v>
      </c>
      <c r="BU11" s="158">
        <f t="shared" si="16"/>
        <v>13391</v>
      </c>
      <c r="BV11" s="158">
        <f t="shared" si="16"/>
        <v>13391</v>
      </c>
      <c r="BW11" s="158">
        <f t="shared" si="16"/>
        <v>13391</v>
      </c>
      <c r="BX11" s="158">
        <f t="shared" si="16"/>
        <v>13391</v>
      </c>
      <c r="BY11" s="158">
        <f t="shared" si="17"/>
        <v>13391</v>
      </c>
      <c r="BZ11" s="158">
        <f t="shared" si="17"/>
        <v>13391</v>
      </c>
      <c r="CA11" s="158">
        <f t="shared" si="17"/>
        <v>13391</v>
      </c>
      <c r="CB11" s="158">
        <f t="shared" si="17"/>
        <v>13391</v>
      </c>
      <c r="CC11" s="158">
        <f t="shared" si="17"/>
        <v>13391</v>
      </c>
      <c r="CD11" s="158">
        <f t="shared" si="17"/>
        <v>13391</v>
      </c>
      <c r="CE11" s="158">
        <f t="shared" si="17"/>
        <v>13391</v>
      </c>
      <c r="CF11" s="158">
        <f t="shared" si="17"/>
        <v>13391</v>
      </c>
      <c r="CG11" s="158">
        <f t="shared" si="17"/>
        <v>13391</v>
      </c>
      <c r="CH11" s="158">
        <f t="shared" si="17"/>
        <v>13391</v>
      </c>
      <c r="CI11" s="158">
        <f t="shared" si="17"/>
        <v>13391</v>
      </c>
    </row>
    <row r="12" spans="1:87" x14ac:dyDescent="0.25">
      <c r="A12" s="159">
        <v>10</v>
      </c>
      <c r="B12" s="162">
        <v>14.23</v>
      </c>
      <c r="C12" s="162">
        <v>5.59</v>
      </c>
      <c r="D12" s="162">
        <v>4.9179000000000004</v>
      </c>
      <c r="E12" s="162">
        <v>0.62</v>
      </c>
      <c r="F12" s="161">
        <f t="shared" ref="F12:F21" si="18">E12+D12+C12+B12</f>
        <v>25.357900000000001</v>
      </c>
      <c r="G12" s="161"/>
      <c r="H12" s="161"/>
      <c r="I12" s="26"/>
      <c r="J12" s="157" t="s">
        <v>736</v>
      </c>
      <c r="K12" s="158">
        <f>B7</f>
        <v>11289</v>
      </c>
      <c r="L12" s="158">
        <f>K12</f>
        <v>11289</v>
      </c>
      <c r="M12" s="158">
        <f t="shared" si="16"/>
        <v>11289</v>
      </c>
      <c r="N12" s="158">
        <f t="shared" si="16"/>
        <v>11289</v>
      </c>
      <c r="O12" s="158">
        <f t="shared" si="16"/>
        <v>11289</v>
      </c>
      <c r="P12" s="158">
        <f t="shared" si="16"/>
        <v>11289</v>
      </c>
      <c r="Q12" s="158">
        <f t="shared" si="16"/>
        <v>11289</v>
      </c>
      <c r="R12" s="158">
        <f t="shared" si="16"/>
        <v>11289</v>
      </c>
      <c r="S12" s="158">
        <f t="shared" si="16"/>
        <v>11289</v>
      </c>
      <c r="T12" s="158">
        <f t="shared" si="16"/>
        <v>11289</v>
      </c>
      <c r="U12" s="158">
        <f t="shared" si="16"/>
        <v>11289</v>
      </c>
      <c r="V12" s="158">
        <f t="shared" si="16"/>
        <v>11289</v>
      </c>
      <c r="W12" s="158">
        <f t="shared" si="16"/>
        <v>11289</v>
      </c>
      <c r="X12" s="158">
        <f t="shared" si="16"/>
        <v>11289</v>
      </c>
      <c r="Y12" s="158">
        <f t="shared" si="16"/>
        <v>11289</v>
      </c>
      <c r="Z12" s="158">
        <f t="shared" si="16"/>
        <v>11289</v>
      </c>
      <c r="AA12" s="158">
        <f t="shared" si="16"/>
        <v>11289</v>
      </c>
      <c r="AB12" s="158">
        <f t="shared" si="16"/>
        <v>11289</v>
      </c>
      <c r="AC12" s="158">
        <f t="shared" si="16"/>
        <v>11289</v>
      </c>
      <c r="AD12" s="158">
        <f t="shared" si="16"/>
        <v>11289</v>
      </c>
      <c r="AE12" s="158">
        <f t="shared" si="16"/>
        <v>11289</v>
      </c>
      <c r="AF12" s="158">
        <f t="shared" si="16"/>
        <v>11289</v>
      </c>
      <c r="AG12" s="158">
        <f t="shared" si="16"/>
        <v>11289</v>
      </c>
      <c r="AH12" s="158">
        <f t="shared" si="16"/>
        <v>11289</v>
      </c>
      <c r="AI12" s="158">
        <f t="shared" si="16"/>
        <v>11289</v>
      </c>
      <c r="AJ12" s="158">
        <f t="shared" si="16"/>
        <v>11289</v>
      </c>
      <c r="AK12" s="158">
        <f t="shared" si="16"/>
        <v>11289</v>
      </c>
      <c r="AL12" s="158">
        <f t="shared" si="16"/>
        <v>11289</v>
      </c>
      <c r="AM12" s="158">
        <f t="shared" si="16"/>
        <v>11289</v>
      </c>
      <c r="AN12" s="158">
        <f t="shared" si="16"/>
        <v>11289</v>
      </c>
      <c r="AO12" s="158">
        <f t="shared" si="16"/>
        <v>11289</v>
      </c>
      <c r="AP12" s="158">
        <f t="shared" si="16"/>
        <v>11289</v>
      </c>
      <c r="AQ12" s="158">
        <f t="shared" si="16"/>
        <v>11289</v>
      </c>
      <c r="AR12" s="158">
        <f t="shared" si="16"/>
        <v>11289</v>
      </c>
      <c r="AS12" s="158">
        <f t="shared" si="16"/>
        <v>11289</v>
      </c>
      <c r="AT12" s="158">
        <f t="shared" si="16"/>
        <v>11289</v>
      </c>
      <c r="AU12" s="158">
        <f t="shared" si="16"/>
        <v>11289</v>
      </c>
      <c r="AV12" s="158">
        <f t="shared" si="16"/>
        <v>11289</v>
      </c>
      <c r="AW12" s="158">
        <f t="shared" si="16"/>
        <v>11289</v>
      </c>
      <c r="AX12" s="158">
        <f t="shared" si="16"/>
        <v>11289</v>
      </c>
      <c r="AY12" s="158">
        <f t="shared" si="16"/>
        <v>11289</v>
      </c>
      <c r="AZ12" s="158">
        <f t="shared" si="16"/>
        <v>11289</v>
      </c>
      <c r="BA12" s="158">
        <f t="shared" si="16"/>
        <v>11289</v>
      </c>
      <c r="BB12" s="158">
        <f t="shared" si="16"/>
        <v>11289</v>
      </c>
      <c r="BC12" s="158">
        <f t="shared" si="16"/>
        <v>11289</v>
      </c>
      <c r="BD12" s="158">
        <f t="shared" si="16"/>
        <v>11289</v>
      </c>
      <c r="BE12" s="158">
        <f t="shared" si="16"/>
        <v>11289</v>
      </c>
      <c r="BF12" s="158">
        <f t="shared" si="16"/>
        <v>11289</v>
      </c>
      <c r="BG12" s="158">
        <f t="shared" si="16"/>
        <v>11289</v>
      </c>
      <c r="BH12" s="158">
        <f t="shared" si="16"/>
        <v>11289</v>
      </c>
      <c r="BI12" s="158">
        <f t="shared" si="16"/>
        <v>11289</v>
      </c>
      <c r="BJ12" s="158">
        <f t="shared" si="16"/>
        <v>11289</v>
      </c>
      <c r="BK12" s="158">
        <f t="shared" si="16"/>
        <v>11289</v>
      </c>
      <c r="BL12" s="158">
        <f t="shared" si="16"/>
        <v>11289</v>
      </c>
      <c r="BM12" s="158">
        <f t="shared" si="16"/>
        <v>11289</v>
      </c>
      <c r="BN12" s="158">
        <f t="shared" si="16"/>
        <v>11289</v>
      </c>
      <c r="BO12" s="158">
        <f t="shared" si="16"/>
        <v>11289</v>
      </c>
      <c r="BP12" s="158">
        <f t="shared" si="16"/>
        <v>11289</v>
      </c>
      <c r="BQ12" s="158">
        <f t="shared" si="16"/>
        <v>11289</v>
      </c>
      <c r="BR12" s="158">
        <f t="shared" si="16"/>
        <v>11289</v>
      </c>
      <c r="BS12" s="158">
        <f t="shared" si="16"/>
        <v>11289</v>
      </c>
      <c r="BT12" s="158">
        <f t="shared" si="16"/>
        <v>11289</v>
      </c>
      <c r="BU12" s="158">
        <f t="shared" si="16"/>
        <v>11289</v>
      </c>
      <c r="BV12" s="158">
        <f t="shared" si="16"/>
        <v>11289</v>
      </c>
      <c r="BW12" s="158">
        <f t="shared" si="16"/>
        <v>11289</v>
      </c>
      <c r="BX12" s="158">
        <f t="shared" si="16"/>
        <v>11289</v>
      </c>
      <c r="BY12" s="158">
        <f t="shared" si="17"/>
        <v>11289</v>
      </c>
      <c r="BZ12" s="158">
        <f t="shared" si="17"/>
        <v>11289</v>
      </c>
      <c r="CA12" s="158">
        <f t="shared" si="17"/>
        <v>11289</v>
      </c>
      <c r="CB12" s="158">
        <f t="shared" si="17"/>
        <v>11289</v>
      </c>
      <c r="CC12" s="158">
        <f t="shared" si="17"/>
        <v>11289</v>
      </c>
      <c r="CD12" s="158">
        <f t="shared" si="17"/>
        <v>11289</v>
      </c>
      <c r="CE12" s="158">
        <f t="shared" si="17"/>
        <v>11289</v>
      </c>
      <c r="CF12" s="158">
        <f t="shared" si="17"/>
        <v>11289</v>
      </c>
      <c r="CG12" s="158">
        <f t="shared" si="17"/>
        <v>11289</v>
      </c>
      <c r="CH12" s="158">
        <f t="shared" si="17"/>
        <v>11289</v>
      </c>
      <c r="CI12" s="158">
        <f t="shared" si="17"/>
        <v>11289</v>
      </c>
    </row>
    <row r="13" spans="1:87" x14ac:dyDescent="0.25">
      <c r="A13" s="159">
        <v>9</v>
      </c>
      <c r="B13" s="160">
        <v>13.49</v>
      </c>
      <c r="C13" s="160">
        <v>5.24</v>
      </c>
      <c r="D13" s="160">
        <v>4.5202</v>
      </c>
      <c r="E13" s="160">
        <v>0.56999999999999995</v>
      </c>
      <c r="F13" s="161">
        <f t="shared" si="18"/>
        <v>23.8202</v>
      </c>
      <c r="G13" s="161"/>
      <c r="H13" s="161"/>
      <c r="I13" s="26"/>
      <c r="J13" s="157" t="s">
        <v>737</v>
      </c>
      <c r="K13" s="158">
        <f>B8</f>
        <v>1397</v>
      </c>
      <c r="L13" s="158">
        <f>K13</f>
        <v>1397</v>
      </c>
      <c r="M13" s="158">
        <f t="shared" si="16"/>
        <v>1397</v>
      </c>
      <c r="N13" s="158">
        <f t="shared" si="16"/>
        <v>1397</v>
      </c>
      <c r="O13" s="158">
        <f t="shared" si="16"/>
        <v>1397</v>
      </c>
      <c r="P13" s="158">
        <f t="shared" si="16"/>
        <v>1397</v>
      </c>
      <c r="Q13" s="158">
        <f t="shared" si="16"/>
        <v>1397</v>
      </c>
      <c r="R13" s="158">
        <f t="shared" si="16"/>
        <v>1397</v>
      </c>
      <c r="S13" s="158">
        <f t="shared" si="16"/>
        <v>1397</v>
      </c>
      <c r="T13" s="158">
        <f t="shared" si="16"/>
        <v>1397</v>
      </c>
      <c r="U13" s="158">
        <f t="shared" si="16"/>
        <v>1397</v>
      </c>
      <c r="V13" s="158">
        <f t="shared" si="16"/>
        <v>1397</v>
      </c>
      <c r="W13" s="158">
        <f t="shared" si="16"/>
        <v>1397</v>
      </c>
      <c r="X13" s="158">
        <f t="shared" si="16"/>
        <v>1397</v>
      </c>
      <c r="Y13" s="158">
        <f t="shared" si="16"/>
        <v>1397</v>
      </c>
      <c r="Z13" s="158">
        <f t="shared" si="16"/>
        <v>1397</v>
      </c>
      <c r="AA13" s="158">
        <f t="shared" si="16"/>
        <v>1397</v>
      </c>
      <c r="AB13" s="158">
        <f t="shared" si="16"/>
        <v>1397</v>
      </c>
      <c r="AC13" s="158">
        <f t="shared" si="16"/>
        <v>1397</v>
      </c>
      <c r="AD13" s="158">
        <f t="shared" si="16"/>
        <v>1397</v>
      </c>
      <c r="AE13" s="158">
        <f t="shared" si="16"/>
        <v>1397</v>
      </c>
      <c r="AF13" s="158">
        <f t="shared" si="16"/>
        <v>1397</v>
      </c>
      <c r="AG13" s="158">
        <f t="shared" si="16"/>
        <v>1397</v>
      </c>
      <c r="AH13" s="158">
        <f t="shared" si="16"/>
        <v>1397</v>
      </c>
      <c r="AI13" s="158">
        <f t="shared" si="16"/>
        <v>1397</v>
      </c>
      <c r="AJ13" s="158">
        <f t="shared" si="16"/>
        <v>1397</v>
      </c>
      <c r="AK13" s="158">
        <f t="shared" si="16"/>
        <v>1397</v>
      </c>
      <c r="AL13" s="158">
        <f t="shared" si="16"/>
        <v>1397</v>
      </c>
      <c r="AM13" s="158">
        <f t="shared" si="16"/>
        <v>1397</v>
      </c>
      <c r="AN13" s="158">
        <f t="shared" si="16"/>
        <v>1397</v>
      </c>
      <c r="AO13" s="158">
        <f t="shared" si="16"/>
        <v>1397</v>
      </c>
      <c r="AP13" s="158">
        <f t="shared" si="16"/>
        <v>1397</v>
      </c>
      <c r="AQ13" s="158">
        <f t="shared" si="16"/>
        <v>1397</v>
      </c>
      <c r="AR13" s="158">
        <f t="shared" si="16"/>
        <v>1397</v>
      </c>
      <c r="AS13" s="158">
        <f t="shared" si="16"/>
        <v>1397</v>
      </c>
      <c r="AT13" s="158">
        <f t="shared" si="16"/>
        <v>1397</v>
      </c>
      <c r="AU13" s="158">
        <f t="shared" si="16"/>
        <v>1397</v>
      </c>
      <c r="AV13" s="158">
        <f t="shared" si="16"/>
        <v>1397</v>
      </c>
      <c r="AW13" s="158">
        <f t="shared" si="16"/>
        <v>1397</v>
      </c>
      <c r="AX13" s="158">
        <f t="shared" si="16"/>
        <v>1397</v>
      </c>
      <c r="AY13" s="158">
        <f t="shared" si="16"/>
        <v>1397</v>
      </c>
      <c r="AZ13" s="158">
        <f t="shared" si="16"/>
        <v>1397</v>
      </c>
      <c r="BA13" s="158">
        <f t="shared" si="16"/>
        <v>1397</v>
      </c>
      <c r="BB13" s="158">
        <f t="shared" si="16"/>
        <v>1397</v>
      </c>
      <c r="BC13" s="158">
        <f t="shared" si="16"/>
        <v>1397</v>
      </c>
      <c r="BD13" s="158">
        <f t="shared" si="16"/>
        <v>1397</v>
      </c>
      <c r="BE13" s="158">
        <f t="shared" si="16"/>
        <v>1397</v>
      </c>
      <c r="BF13" s="158">
        <f t="shared" si="16"/>
        <v>1397</v>
      </c>
      <c r="BG13" s="158">
        <f t="shared" si="16"/>
        <v>1397</v>
      </c>
      <c r="BH13" s="158">
        <f t="shared" si="16"/>
        <v>1397</v>
      </c>
      <c r="BI13" s="158">
        <f t="shared" si="16"/>
        <v>1397</v>
      </c>
      <c r="BJ13" s="158">
        <f t="shared" si="16"/>
        <v>1397</v>
      </c>
      <c r="BK13" s="158">
        <f t="shared" si="16"/>
        <v>1397</v>
      </c>
      <c r="BL13" s="158">
        <f t="shared" si="16"/>
        <v>1397</v>
      </c>
      <c r="BM13" s="158">
        <f t="shared" si="16"/>
        <v>1397</v>
      </c>
      <c r="BN13" s="158">
        <f t="shared" si="16"/>
        <v>1397</v>
      </c>
      <c r="BO13" s="158">
        <f t="shared" si="16"/>
        <v>1397</v>
      </c>
      <c r="BP13" s="158">
        <f t="shared" si="16"/>
        <v>1397</v>
      </c>
      <c r="BQ13" s="158">
        <f t="shared" si="16"/>
        <v>1397</v>
      </c>
      <c r="BR13" s="158">
        <f t="shared" si="16"/>
        <v>1397</v>
      </c>
      <c r="BS13" s="158">
        <f t="shared" si="16"/>
        <v>1397</v>
      </c>
      <c r="BT13" s="158">
        <f t="shared" si="16"/>
        <v>1397</v>
      </c>
      <c r="BU13" s="158">
        <f t="shared" si="16"/>
        <v>1397</v>
      </c>
      <c r="BV13" s="158">
        <f t="shared" si="16"/>
        <v>1397</v>
      </c>
      <c r="BW13" s="158">
        <f t="shared" si="16"/>
        <v>1397</v>
      </c>
      <c r="BX13" s="158">
        <f t="shared" ref="BX13:CI16" si="19">BW13</f>
        <v>1397</v>
      </c>
      <c r="BY13" s="158">
        <f t="shared" si="19"/>
        <v>1397</v>
      </c>
      <c r="BZ13" s="158">
        <f t="shared" si="19"/>
        <v>1397</v>
      </c>
      <c r="CA13" s="158">
        <f t="shared" si="19"/>
        <v>1397</v>
      </c>
      <c r="CB13" s="158">
        <f t="shared" si="19"/>
        <v>1397</v>
      </c>
      <c r="CC13" s="158">
        <f t="shared" si="19"/>
        <v>1397</v>
      </c>
      <c r="CD13" s="158">
        <f t="shared" si="19"/>
        <v>1397</v>
      </c>
      <c r="CE13" s="158">
        <f t="shared" si="19"/>
        <v>1397</v>
      </c>
      <c r="CF13" s="158">
        <f t="shared" si="19"/>
        <v>1397</v>
      </c>
      <c r="CG13" s="158">
        <f t="shared" si="19"/>
        <v>1397</v>
      </c>
      <c r="CH13" s="158">
        <f t="shared" si="19"/>
        <v>1397</v>
      </c>
      <c r="CI13" s="158">
        <f t="shared" si="19"/>
        <v>1397</v>
      </c>
    </row>
    <row r="14" spans="1:87" x14ac:dyDescent="0.25">
      <c r="A14" s="159">
        <v>8</v>
      </c>
      <c r="B14" s="162">
        <v>12.74</v>
      </c>
      <c r="C14" s="162">
        <v>4.8899999999999997</v>
      </c>
      <c r="D14" s="162">
        <v>4.1224999999999996</v>
      </c>
      <c r="E14" s="162">
        <v>0.51</v>
      </c>
      <c r="F14" s="161">
        <f t="shared" si="18"/>
        <v>22.262499999999999</v>
      </c>
      <c r="G14" s="161"/>
      <c r="H14" s="161"/>
      <c r="I14" s="26"/>
      <c r="J14" s="157" t="s">
        <v>738</v>
      </c>
      <c r="K14" s="158">
        <f>B5</f>
        <v>34888</v>
      </c>
      <c r="L14" s="163">
        <f>B25</f>
        <v>24421.599999999999</v>
      </c>
      <c r="M14" s="158">
        <f t="shared" ref="M14:BX17" si="20">L14</f>
        <v>24421.599999999999</v>
      </c>
      <c r="N14" s="158">
        <f t="shared" si="20"/>
        <v>24421.599999999999</v>
      </c>
      <c r="O14" s="158">
        <f t="shared" si="20"/>
        <v>24421.599999999999</v>
      </c>
      <c r="P14" s="158">
        <f t="shared" si="20"/>
        <v>24421.599999999999</v>
      </c>
      <c r="Q14" s="158">
        <f t="shared" si="20"/>
        <v>24421.599999999999</v>
      </c>
      <c r="R14" s="158">
        <f t="shared" si="20"/>
        <v>24421.599999999999</v>
      </c>
      <c r="S14" s="158">
        <f t="shared" si="20"/>
        <v>24421.599999999999</v>
      </c>
      <c r="T14" s="158">
        <f t="shared" si="20"/>
        <v>24421.599999999999</v>
      </c>
      <c r="U14" s="158">
        <f t="shared" si="20"/>
        <v>24421.599999999999</v>
      </c>
      <c r="V14" s="158">
        <f t="shared" si="20"/>
        <v>24421.599999999999</v>
      </c>
      <c r="W14" s="158">
        <f t="shared" si="20"/>
        <v>24421.599999999999</v>
      </c>
      <c r="X14" s="158">
        <f t="shared" si="20"/>
        <v>24421.599999999999</v>
      </c>
      <c r="Y14" s="158">
        <f t="shared" si="20"/>
        <v>24421.599999999999</v>
      </c>
      <c r="Z14" s="158">
        <f t="shared" si="20"/>
        <v>24421.599999999999</v>
      </c>
      <c r="AA14" s="158">
        <f t="shared" si="20"/>
        <v>24421.599999999999</v>
      </c>
      <c r="AB14" s="158">
        <f t="shared" si="20"/>
        <v>24421.599999999999</v>
      </c>
      <c r="AC14" s="158">
        <f t="shared" si="20"/>
        <v>24421.599999999999</v>
      </c>
      <c r="AD14" s="158">
        <f t="shared" si="20"/>
        <v>24421.599999999999</v>
      </c>
      <c r="AE14" s="158">
        <f t="shared" si="20"/>
        <v>24421.599999999999</v>
      </c>
      <c r="AF14" s="158">
        <f t="shared" si="20"/>
        <v>24421.599999999999</v>
      </c>
      <c r="AG14" s="158">
        <f t="shared" si="20"/>
        <v>24421.599999999999</v>
      </c>
      <c r="AH14" s="158">
        <f t="shared" si="20"/>
        <v>24421.599999999999</v>
      </c>
      <c r="AI14" s="158">
        <f t="shared" si="20"/>
        <v>24421.599999999999</v>
      </c>
      <c r="AJ14" s="158">
        <f t="shared" si="20"/>
        <v>24421.599999999999</v>
      </c>
      <c r="AK14" s="158">
        <f t="shared" si="20"/>
        <v>24421.599999999999</v>
      </c>
      <c r="AL14" s="158">
        <f t="shared" si="20"/>
        <v>24421.599999999999</v>
      </c>
      <c r="AM14" s="158">
        <f t="shared" si="20"/>
        <v>24421.599999999999</v>
      </c>
      <c r="AN14" s="158">
        <f t="shared" si="20"/>
        <v>24421.599999999999</v>
      </c>
      <c r="AO14" s="158">
        <f t="shared" si="20"/>
        <v>24421.599999999999</v>
      </c>
      <c r="AP14" s="158">
        <f t="shared" si="20"/>
        <v>24421.599999999999</v>
      </c>
      <c r="AQ14" s="158">
        <f t="shared" si="20"/>
        <v>24421.599999999999</v>
      </c>
      <c r="AR14" s="158">
        <f t="shared" si="20"/>
        <v>24421.599999999999</v>
      </c>
      <c r="AS14" s="158">
        <f t="shared" si="20"/>
        <v>24421.599999999999</v>
      </c>
      <c r="AT14" s="158">
        <f t="shared" si="20"/>
        <v>24421.599999999999</v>
      </c>
      <c r="AU14" s="158">
        <f t="shared" si="20"/>
        <v>24421.599999999999</v>
      </c>
      <c r="AV14" s="158">
        <f t="shared" si="20"/>
        <v>24421.599999999999</v>
      </c>
      <c r="AW14" s="158">
        <f t="shared" si="20"/>
        <v>24421.599999999999</v>
      </c>
      <c r="AX14" s="158">
        <f t="shared" si="20"/>
        <v>24421.599999999999</v>
      </c>
      <c r="AY14" s="158">
        <f t="shared" si="20"/>
        <v>24421.599999999999</v>
      </c>
      <c r="AZ14" s="158">
        <f t="shared" si="20"/>
        <v>24421.599999999999</v>
      </c>
      <c r="BA14" s="158">
        <f t="shared" si="20"/>
        <v>24421.599999999999</v>
      </c>
      <c r="BB14" s="158">
        <f t="shared" si="20"/>
        <v>24421.599999999999</v>
      </c>
      <c r="BC14" s="158">
        <f t="shared" si="20"/>
        <v>24421.599999999999</v>
      </c>
      <c r="BD14" s="158">
        <f t="shared" si="20"/>
        <v>24421.599999999999</v>
      </c>
      <c r="BE14" s="158">
        <f t="shared" si="20"/>
        <v>24421.599999999999</v>
      </c>
      <c r="BF14" s="158">
        <f t="shared" si="20"/>
        <v>24421.599999999999</v>
      </c>
      <c r="BG14" s="158">
        <f t="shared" si="20"/>
        <v>24421.599999999999</v>
      </c>
      <c r="BH14" s="158">
        <f t="shared" si="20"/>
        <v>24421.599999999999</v>
      </c>
      <c r="BI14" s="158">
        <f t="shared" si="20"/>
        <v>24421.599999999999</v>
      </c>
      <c r="BJ14" s="158">
        <f t="shared" si="20"/>
        <v>24421.599999999999</v>
      </c>
      <c r="BK14" s="158">
        <f t="shared" si="20"/>
        <v>24421.599999999999</v>
      </c>
      <c r="BL14" s="158">
        <f t="shared" si="20"/>
        <v>24421.599999999999</v>
      </c>
      <c r="BM14" s="158">
        <f t="shared" si="20"/>
        <v>24421.599999999999</v>
      </c>
      <c r="BN14" s="158">
        <f t="shared" si="20"/>
        <v>24421.599999999999</v>
      </c>
      <c r="BO14" s="158">
        <f t="shared" si="20"/>
        <v>24421.599999999999</v>
      </c>
      <c r="BP14" s="158">
        <f t="shared" si="20"/>
        <v>24421.599999999999</v>
      </c>
      <c r="BQ14" s="158">
        <f t="shared" si="20"/>
        <v>24421.599999999999</v>
      </c>
      <c r="BR14" s="158">
        <f t="shared" si="20"/>
        <v>24421.599999999999</v>
      </c>
      <c r="BS14" s="158">
        <f t="shared" si="20"/>
        <v>24421.599999999999</v>
      </c>
      <c r="BT14" s="158">
        <f t="shared" si="20"/>
        <v>24421.599999999999</v>
      </c>
      <c r="BU14" s="158">
        <f t="shared" si="20"/>
        <v>24421.599999999999</v>
      </c>
      <c r="BV14" s="158">
        <f t="shared" si="20"/>
        <v>24421.599999999999</v>
      </c>
      <c r="BW14" s="158">
        <f t="shared" si="20"/>
        <v>24421.599999999999</v>
      </c>
      <c r="BX14" s="158">
        <f t="shared" si="20"/>
        <v>24421.599999999999</v>
      </c>
      <c r="BY14" s="158">
        <f t="shared" si="19"/>
        <v>24421.599999999999</v>
      </c>
      <c r="BZ14" s="158">
        <f t="shared" si="19"/>
        <v>24421.599999999999</v>
      </c>
      <c r="CA14" s="158">
        <f t="shared" si="19"/>
        <v>24421.599999999999</v>
      </c>
      <c r="CB14" s="158">
        <f t="shared" si="19"/>
        <v>24421.599999999999</v>
      </c>
      <c r="CC14" s="158">
        <f t="shared" si="19"/>
        <v>24421.599999999999</v>
      </c>
      <c r="CD14" s="158">
        <f t="shared" si="19"/>
        <v>24421.599999999999</v>
      </c>
      <c r="CE14" s="158">
        <f t="shared" si="19"/>
        <v>24421.599999999999</v>
      </c>
      <c r="CF14" s="158">
        <f t="shared" si="19"/>
        <v>24421.599999999999</v>
      </c>
      <c r="CG14" s="158">
        <f t="shared" si="19"/>
        <v>24421.599999999999</v>
      </c>
      <c r="CH14" s="158">
        <f t="shared" si="19"/>
        <v>24421.599999999999</v>
      </c>
      <c r="CI14" s="158">
        <f t="shared" si="19"/>
        <v>24421.599999999999</v>
      </c>
    </row>
    <row r="15" spans="1:87" x14ac:dyDescent="0.25">
      <c r="A15" s="159">
        <v>7</v>
      </c>
      <c r="B15" s="160">
        <v>12</v>
      </c>
      <c r="C15" s="160">
        <v>4.53</v>
      </c>
      <c r="D15" s="160">
        <v>3.7247999999999997</v>
      </c>
      <c r="E15" s="160">
        <v>0.46</v>
      </c>
      <c r="F15" s="161">
        <f t="shared" si="18"/>
        <v>20.7148</v>
      </c>
      <c r="G15" s="161"/>
      <c r="H15" s="161"/>
      <c r="I15" s="26"/>
      <c r="J15" s="157" t="s">
        <v>739</v>
      </c>
      <c r="K15" s="158">
        <f>B6</f>
        <v>13391</v>
      </c>
      <c r="L15" s="163">
        <f>B26</f>
        <v>9373.6999999999989</v>
      </c>
      <c r="M15" s="158">
        <f t="shared" si="20"/>
        <v>9373.6999999999989</v>
      </c>
      <c r="N15" s="158">
        <f t="shared" si="20"/>
        <v>9373.6999999999989</v>
      </c>
      <c r="O15" s="158">
        <f t="shared" si="20"/>
        <v>9373.6999999999989</v>
      </c>
      <c r="P15" s="158">
        <f t="shared" si="20"/>
        <v>9373.6999999999989</v>
      </c>
      <c r="Q15" s="158">
        <f t="shared" si="20"/>
        <v>9373.6999999999989</v>
      </c>
      <c r="R15" s="158">
        <f t="shared" si="20"/>
        <v>9373.6999999999989</v>
      </c>
      <c r="S15" s="158">
        <f t="shared" si="20"/>
        <v>9373.6999999999989</v>
      </c>
      <c r="T15" s="158">
        <f t="shared" si="20"/>
        <v>9373.6999999999989</v>
      </c>
      <c r="U15" s="158">
        <f t="shared" si="20"/>
        <v>9373.6999999999989</v>
      </c>
      <c r="V15" s="158">
        <f t="shared" si="20"/>
        <v>9373.6999999999989</v>
      </c>
      <c r="W15" s="158">
        <f t="shared" si="20"/>
        <v>9373.6999999999989</v>
      </c>
      <c r="X15" s="158">
        <f t="shared" si="20"/>
        <v>9373.6999999999989</v>
      </c>
      <c r="Y15" s="158">
        <f t="shared" si="20"/>
        <v>9373.6999999999989</v>
      </c>
      <c r="Z15" s="158">
        <f t="shared" si="20"/>
        <v>9373.6999999999989</v>
      </c>
      <c r="AA15" s="158">
        <f t="shared" si="20"/>
        <v>9373.6999999999989</v>
      </c>
      <c r="AB15" s="158">
        <f t="shared" si="20"/>
        <v>9373.6999999999989</v>
      </c>
      <c r="AC15" s="158">
        <f t="shared" si="20"/>
        <v>9373.6999999999989</v>
      </c>
      <c r="AD15" s="158">
        <f t="shared" si="20"/>
        <v>9373.6999999999989</v>
      </c>
      <c r="AE15" s="158">
        <f t="shared" si="20"/>
        <v>9373.6999999999989</v>
      </c>
      <c r="AF15" s="158">
        <f t="shared" si="20"/>
        <v>9373.6999999999989</v>
      </c>
      <c r="AG15" s="158">
        <f t="shared" si="20"/>
        <v>9373.6999999999989</v>
      </c>
      <c r="AH15" s="158">
        <f t="shared" si="20"/>
        <v>9373.6999999999989</v>
      </c>
      <c r="AI15" s="158">
        <f t="shared" si="20"/>
        <v>9373.6999999999989</v>
      </c>
      <c r="AJ15" s="158">
        <f t="shared" si="20"/>
        <v>9373.6999999999989</v>
      </c>
      <c r="AK15" s="158">
        <f t="shared" si="20"/>
        <v>9373.6999999999989</v>
      </c>
      <c r="AL15" s="158">
        <f t="shared" si="20"/>
        <v>9373.6999999999989</v>
      </c>
      <c r="AM15" s="158">
        <f t="shared" si="20"/>
        <v>9373.6999999999989</v>
      </c>
      <c r="AN15" s="158">
        <f t="shared" si="20"/>
        <v>9373.6999999999989</v>
      </c>
      <c r="AO15" s="158">
        <f t="shared" si="20"/>
        <v>9373.6999999999989</v>
      </c>
      <c r="AP15" s="158">
        <f t="shared" si="20"/>
        <v>9373.6999999999989</v>
      </c>
      <c r="AQ15" s="158">
        <f t="shared" si="20"/>
        <v>9373.6999999999989</v>
      </c>
      <c r="AR15" s="158">
        <f t="shared" si="20"/>
        <v>9373.6999999999989</v>
      </c>
      <c r="AS15" s="158">
        <f t="shared" si="20"/>
        <v>9373.6999999999989</v>
      </c>
      <c r="AT15" s="158">
        <f t="shared" si="20"/>
        <v>9373.6999999999989</v>
      </c>
      <c r="AU15" s="158">
        <f t="shared" si="20"/>
        <v>9373.6999999999989</v>
      </c>
      <c r="AV15" s="158">
        <f t="shared" si="20"/>
        <v>9373.6999999999989</v>
      </c>
      <c r="AW15" s="158">
        <f t="shared" si="20"/>
        <v>9373.6999999999989</v>
      </c>
      <c r="AX15" s="158">
        <f t="shared" si="20"/>
        <v>9373.6999999999989</v>
      </c>
      <c r="AY15" s="158">
        <f t="shared" si="20"/>
        <v>9373.6999999999989</v>
      </c>
      <c r="AZ15" s="158">
        <f t="shared" si="20"/>
        <v>9373.6999999999989</v>
      </c>
      <c r="BA15" s="158">
        <f t="shared" si="20"/>
        <v>9373.6999999999989</v>
      </c>
      <c r="BB15" s="158">
        <f t="shared" si="20"/>
        <v>9373.6999999999989</v>
      </c>
      <c r="BC15" s="158">
        <f t="shared" si="20"/>
        <v>9373.6999999999989</v>
      </c>
      <c r="BD15" s="158">
        <f t="shared" si="20"/>
        <v>9373.6999999999989</v>
      </c>
      <c r="BE15" s="158">
        <f t="shared" si="20"/>
        <v>9373.6999999999989</v>
      </c>
      <c r="BF15" s="158">
        <f t="shared" si="20"/>
        <v>9373.6999999999989</v>
      </c>
      <c r="BG15" s="158">
        <f t="shared" si="20"/>
        <v>9373.6999999999989</v>
      </c>
      <c r="BH15" s="158">
        <f t="shared" si="20"/>
        <v>9373.6999999999989</v>
      </c>
      <c r="BI15" s="158">
        <f t="shared" si="20"/>
        <v>9373.6999999999989</v>
      </c>
      <c r="BJ15" s="158">
        <f t="shared" si="20"/>
        <v>9373.6999999999989</v>
      </c>
      <c r="BK15" s="158">
        <f t="shared" si="20"/>
        <v>9373.6999999999989</v>
      </c>
      <c r="BL15" s="158">
        <f t="shared" si="20"/>
        <v>9373.6999999999989</v>
      </c>
      <c r="BM15" s="158">
        <f t="shared" si="20"/>
        <v>9373.6999999999989</v>
      </c>
      <c r="BN15" s="158">
        <f t="shared" si="20"/>
        <v>9373.6999999999989</v>
      </c>
      <c r="BO15" s="158">
        <f t="shared" si="20"/>
        <v>9373.6999999999989</v>
      </c>
      <c r="BP15" s="158">
        <f t="shared" si="20"/>
        <v>9373.6999999999989</v>
      </c>
      <c r="BQ15" s="158">
        <f t="shared" si="20"/>
        <v>9373.6999999999989</v>
      </c>
      <c r="BR15" s="158">
        <f t="shared" si="20"/>
        <v>9373.6999999999989</v>
      </c>
      <c r="BS15" s="158">
        <f t="shared" si="20"/>
        <v>9373.6999999999989</v>
      </c>
      <c r="BT15" s="158">
        <f t="shared" si="20"/>
        <v>9373.6999999999989</v>
      </c>
      <c r="BU15" s="158">
        <f t="shared" si="20"/>
        <v>9373.6999999999989</v>
      </c>
      <c r="BV15" s="158">
        <f t="shared" si="20"/>
        <v>9373.6999999999989</v>
      </c>
      <c r="BW15" s="158">
        <f t="shared" si="20"/>
        <v>9373.6999999999989</v>
      </c>
      <c r="BX15" s="158">
        <f t="shared" si="20"/>
        <v>9373.6999999999989</v>
      </c>
      <c r="BY15" s="158">
        <f t="shared" si="19"/>
        <v>9373.6999999999989</v>
      </c>
      <c r="BZ15" s="158">
        <f t="shared" si="19"/>
        <v>9373.6999999999989</v>
      </c>
      <c r="CA15" s="158">
        <f t="shared" si="19"/>
        <v>9373.6999999999989</v>
      </c>
      <c r="CB15" s="158">
        <f t="shared" si="19"/>
        <v>9373.6999999999989</v>
      </c>
      <c r="CC15" s="158">
        <f t="shared" si="19"/>
        <v>9373.6999999999989</v>
      </c>
      <c r="CD15" s="158">
        <f t="shared" si="19"/>
        <v>9373.6999999999989</v>
      </c>
      <c r="CE15" s="158">
        <f t="shared" si="19"/>
        <v>9373.6999999999989</v>
      </c>
      <c r="CF15" s="158">
        <f t="shared" si="19"/>
        <v>9373.6999999999989</v>
      </c>
      <c r="CG15" s="158">
        <f t="shared" si="19"/>
        <v>9373.6999999999989</v>
      </c>
      <c r="CH15" s="158">
        <f t="shared" si="19"/>
        <v>9373.6999999999989</v>
      </c>
      <c r="CI15" s="158">
        <f t="shared" si="19"/>
        <v>9373.6999999999989</v>
      </c>
    </row>
    <row r="16" spans="1:87" x14ac:dyDescent="0.25">
      <c r="A16" s="159">
        <v>6</v>
      </c>
      <c r="B16" s="162">
        <v>11.26</v>
      </c>
      <c r="C16" s="162">
        <v>4.17</v>
      </c>
      <c r="D16" s="162">
        <v>3.3367999999999998</v>
      </c>
      <c r="E16" s="162">
        <v>0.41</v>
      </c>
      <c r="F16" s="161">
        <f t="shared" si="18"/>
        <v>19.1768</v>
      </c>
      <c r="G16" s="161"/>
      <c r="H16" s="161"/>
      <c r="I16" s="26"/>
      <c r="J16" s="157" t="s">
        <v>740</v>
      </c>
      <c r="K16" s="158">
        <f>B7</f>
        <v>11289</v>
      </c>
      <c r="L16" s="163">
        <f>B27</f>
        <v>7902.2999999999993</v>
      </c>
      <c r="M16" s="158">
        <f t="shared" si="20"/>
        <v>7902.2999999999993</v>
      </c>
      <c r="N16" s="158">
        <f t="shared" si="20"/>
        <v>7902.2999999999993</v>
      </c>
      <c r="O16" s="158">
        <f t="shared" si="20"/>
        <v>7902.2999999999993</v>
      </c>
      <c r="P16" s="158">
        <f t="shared" si="20"/>
        <v>7902.2999999999993</v>
      </c>
      <c r="Q16" s="158">
        <f t="shared" si="20"/>
        <v>7902.2999999999993</v>
      </c>
      <c r="R16" s="158">
        <f t="shared" si="20"/>
        <v>7902.2999999999993</v>
      </c>
      <c r="S16" s="158">
        <f t="shared" si="20"/>
        <v>7902.2999999999993</v>
      </c>
      <c r="T16" s="158">
        <f t="shared" si="20"/>
        <v>7902.2999999999993</v>
      </c>
      <c r="U16" s="158">
        <f t="shared" si="20"/>
        <v>7902.2999999999993</v>
      </c>
      <c r="V16" s="158">
        <f t="shared" si="20"/>
        <v>7902.2999999999993</v>
      </c>
      <c r="W16" s="158">
        <f t="shared" si="20"/>
        <v>7902.2999999999993</v>
      </c>
      <c r="X16" s="158">
        <f t="shared" si="20"/>
        <v>7902.2999999999993</v>
      </c>
      <c r="Y16" s="158">
        <f t="shared" si="20"/>
        <v>7902.2999999999993</v>
      </c>
      <c r="Z16" s="158">
        <f t="shared" si="20"/>
        <v>7902.2999999999993</v>
      </c>
      <c r="AA16" s="158">
        <f t="shared" si="20"/>
        <v>7902.2999999999993</v>
      </c>
      <c r="AB16" s="158">
        <f t="shared" si="20"/>
        <v>7902.2999999999993</v>
      </c>
      <c r="AC16" s="158">
        <f t="shared" si="20"/>
        <v>7902.2999999999993</v>
      </c>
      <c r="AD16" s="158">
        <f t="shared" si="20"/>
        <v>7902.2999999999993</v>
      </c>
      <c r="AE16" s="158">
        <f t="shared" si="20"/>
        <v>7902.2999999999993</v>
      </c>
      <c r="AF16" s="158">
        <f t="shared" si="20"/>
        <v>7902.2999999999993</v>
      </c>
      <c r="AG16" s="158">
        <f t="shared" si="20"/>
        <v>7902.2999999999993</v>
      </c>
      <c r="AH16" s="158">
        <f t="shared" si="20"/>
        <v>7902.2999999999993</v>
      </c>
      <c r="AI16" s="158">
        <f t="shared" si="20"/>
        <v>7902.2999999999993</v>
      </c>
      <c r="AJ16" s="158">
        <f t="shared" si="20"/>
        <v>7902.2999999999993</v>
      </c>
      <c r="AK16" s="158">
        <f t="shared" si="20"/>
        <v>7902.2999999999993</v>
      </c>
      <c r="AL16" s="158">
        <f t="shared" si="20"/>
        <v>7902.2999999999993</v>
      </c>
      <c r="AM16" s="158">
        <f t="shared" si="20"/>
        <v>7902.2999999999993</v>
      </c>
      <c r="AN16" s="158">
        <f t="shared" si="20"/>
        <v>7902.2999999999993</v>
      </c>
      <c r="AO16" s="158">
        <f t="shared" si="20"/>
        <v>7902.2999999999993</v>
      </c>
      <c r="AP16" s="158">
        <f t="shared" si="20"/>
        <v>7902.2999999999993</v>
      </c>
      <c r="AQ16" s="158">
        <f t="shared" si="20"/>
        <v>7902.2999999999993</v>
      </c>
      <c r="AR16" s="158">
        <f t="shared" si="20"/>
        <v>7902.2999999999993</v>
      </c>
      <c r="AS16" s="158">
        <f t="shared" si="20"/>
        <v>7902.2999999999993</v>
      </c>
      <c r="AT16" s="158">
        <f t="shared" si="20"/>
        <v>7902.2999999999993</v>
      </c>
      <c r="AU16" s="158">
        <f t="shared" si="20"/>
        <v>7902.2999999999993</v>
      </c>
      <c r="AV16" s="158">
        <f t="shared" si="20"/>
        <v>7902.2999999999993</v>
      </c>
      <c r="AW16" s="158">
        <f t="shared" si="20"/>
        <v>7902.2999999999993</v>
      </c>
      <c r="AX16" s="158">
        <f t="shared" si="20"/>
        <v>7902.2999999999993</v>
      </c>
      <c r="AY16" s="158">
        <f t="shared" si="20"/>
        <v>7902.2999999999993</v>
      </c>
      <c r="AZ16" s="158">
        <f t="shared" si="20"/>
        <v>7902.2999999999993</v>
      </c>
      <c r="BA16" s="158">
        <f t="shared" si="20"/>
        <v>7902.2999999999993</v>
      </c>
      <c r="BB16" s="158">
        <f t="shared" si="20"/>
        <v>7902.2999999999993</v>
      </c>
      <c r="BC16" s="158">
        <f t="shared" si="20"/>
        <v>7902.2999999999993</v>
      </c>
      <c r="BD16" s="158">
        <f t="shared" si="20"/>
        <v>7902.2999999999993</v>
      </c>
      <c r="BE16" s="158">
        <f t="shared" si="20"/>
        <v>7902.2999999999993</v>
      </c>
      <c r="BF16" s="158">
        <f t="shared" si="20"/>
        <v>7902.2999999999993</v>
      </c>
      <c r="BG16" s="158">
        <f t="shared" si="20"/>
        <v>7902.2999999999993</v>
      </c>
      <c r="BH16" s="158">
        <f t="shared" si="20"/>
        <v>7902.2999999999993</v>
      </c>
      <c r="BI16" s="158">
        <f t="shared" si="20"/>
        <v>7902.2999999999993</v>
      </c>
      <c r="BJ16" s="158">
        <f t="shared" si="20"/>
        <v>7902.2999999999993</v>
      </c>
      <c r="BK16" s="158">
        <f t="shared" si="20"/>
        <v>7902.2999999999993</v>
      </c>
      <c r="BL16" s="158">
        <f t="shared" si="20"/>
        <v>7902.2999999999993</v>
      </c>
      <c r="BM16" s="158">
        <f t="shared" si="20"/>
        <v>7902.2999999999993</v>
      </c>
      <c r="BN16" s="158">
        <f t="shared" si="20"/>
        <v>7902.2999999999993</v>
      </c>
      <c r="BO16" s="158">
        <f t="shared" si="20"/>
        <v>7902.2999999999993</v>
      </c>
      <c r="BP16" s="158">
        <f t="shared" si="20"/>
        <v>7902.2999999999993</v>
      </c>
      <c r="BQ16" s="158">
        <f t="shared" si="20"/>
        <v>7902.2999999999993</v>
      </c>
      <c r="BR16" s="158">
        <f t="shared" si="20"/>
        <v>7902.2999999999993</v>
      </c>
      <c r="BS16" s="158">
        <f t="shared" si="20"/>
        <v>7902.2999999999993</v>
      </c>
      <c r="BT16" s="158">
        <f t="shared" si="20"/>
        <v>7902.2999999999993</v>
      </c>
      <c r="BU16" s="158">
        <f t="shared" si="20"/>
        <v>7902.2999999999993</v>
      </c>
      <c r="BV16" s="158">
        <f t="shared" si="20"/>
        <v>7902.2999999999993</v>
      </c>
      <c r="BW16" s="158">
        <f t="shared" si="20"/>
        <v>7902.2999999999993</v>
      </c>
      <c r="BX16" s="158">
        <f t="shared" si="20"/>
        <v>7902.2999999999993</v>
      </c>
      <c r="BY16" s="158">
        <f t="shared" si="19"/>
        <v>7902.2999999999993</v>
      </c>
      <c r="BZ16" s="158">
        <f t="shared" si="19"/>
        <v>7902.2999999999993</v>
      </c>
      <c r="CA16" s="158">
        <f t="shared" si="19"/>
        <v>7902.2999999999993</v>
      </c>
      <c r="CB16" s="158">
        <f t="shared" si="19"/>
        <v>7902.2999999999993</v>
      </c>
      <c r="CC16" s="158">
        <f t="shared" si="19"/>
        <v>7902.2999999999993</v>
      </c>
      <c r="CD16" s="158">
        <f t="shared" si="19"/>
        <v>7902.2999999999993</v>
      </c>
      <c r="CE16" s="158">
        <f t="shared" si="19"/>
        <v>7902.2999999999993</v>
      </c>
      <c r="CF16" s="158">
        <f t="shared" si="19"/>
        <v>7902.2999999999993</v>
      </c>
      <c r="CG16" s="158">
        <f t="shared" si="19"/>
        <v>7902.2999999999993</v>
      </c>
      <c r="CH16" s="158">
        <f t="shared" si="19"/>
        <v>7902.2999999999993</v>
      </c>
      <c r="CI16" s="158">
        <f t="shared" si="19"/>
        <v>7902.2999999999993</v>
      </c>
    </row>
    <row r="17" spans="1:87" x14ac:dyDescent="0.25">
      <c r="A17" s="159">
        <v>5</v>
      </c>
      <c r="B17" s="160">
        <v>10.52</v>
      </c>
      <c r="C17" s="160">
        <v>3.81</v>
      </c>
      <c r="D17" s="160">
        <v>2.9390999999999998</v>
      </c>
      <c r="E17" s="160">
        <v>0.35</v>
      </c>
      <c r="F17" s="161">
        <f t="shared" si="18"/>
        <v>17.6191</v>
      </c>
      <c r="G17" s="161"/>
      <c r="H17" s="161"/>
      <c r="I17" s="26"/>
      <c r="J17" s="157" t="s">
        <v>741</v>
      </c>
      <c r="K17" s="158">
        <f>B8</f>
        <v>1397</v>
      </c>
      <c r="L17" s="163">
        <f>B28</f>
        <v>977.9</v>
      </c>
      <c r="M17" s="158">
        <f t="shared" si="20"/>
        <v>977.9</v>
      </c>
      <c r="N17" s="158">
        <f t="shared" si="20"/>
        <v>977.9</v>
      </c>
      <c r="O17" s="158">
        <f t="shared" si="20"/>
        <v>977.9</v>
      </c>
      <c r="P17" s="158">
        <f t="shared" si="20"/>
        <v>977.9</v>
      </c>
      <c r="Q17" s="158">
        <f t="shared" si="20"/>
        <v>977.9</v>
      </c>
      <c r="R17" s="158">
        <f t="shared" si="20"/>
        <v>977.9</v>
      </c>
      <c r="S17" s="158">
        <f t="shared" si="20"/>
        <v>977.9</v>
      </c>
      <c r="T17" s="158">
        <f t="shared" si="20"/>
        <v>977.9</v>
      </c>
      <c r="U17" s="158">
        <f t="shared" si="20"/>
        <v>977.9</v>
      </c>
      <c r="V17" s="158">
        <f t="shared" si="20"/>
        <v>977.9</v>
      </c>
      <c r="W17" s="158">
        <f t="shared" si="20"/>
        <v>977.9</v>
      </c>
      <c r="X17" s="158">
        <f t="shared" si="20"/>
        <v>977.9</v>
      </c>
      <c r="Y17" s="158">
        <f t="shared" si="20"/>
        <v>977.9</v>
      </c>
      <c r="Z17" s="158">
        <f t="shared" si="20"/>
        <v>977.9</v>
      </c>
      <c r="AA17" s="158">
        <f t="shared" si="20"/>
        <v>977.9</v>
      </c>
      <c r="AB17" s="158">
        <f t="shared" si="20"/>
        <v>977.9</v>
      </c>
      <c r="AC17" s="158">
        <f t="shared" si="20"/>
        <v>977.9</v>
      </c>
      <c r="AD17" s="158">
        <f t="shared" si="20"/>
        <v>977.9</v>
      </c>
      <c r="AE17" s="158">
        <f t="shared" si="20"/>
        <v>977.9</v>
      </c>
      <c r="AF17" s="158">
        <f t="shared" si="20"/>
        <v>977.9</v>
      </c>
      <c r="AG17" s="158">
        <f t="shared" si="20"/>
        <v>977.9</v>
      </c>
      <c r="AH17" s="158">
        <f t="shared" si="20"/>
        <v>977.9</v>
      </c>
      <c r="AI17" s="158">
        <f t="shared" si="20"/>
        <v>977.9</v>
      </c>
      <c r="AJ17" s="158">
        <f t="shared" si="20"/>
        <v>977.9</v>
      </c>
      <c r="AK17" s="158">
        <f t="shared" si="20"/>
        <v>977.9</v>
      </c>
      <c r="AL17" s="158">
        <f t="shared" si="20"/>
        <v>977.9</v>
      </c>
      <c r="AM17" s="158">
        <f t="shared" si="20"/>
        <v>977.9</v>
      </c>
      <c r="AN17" s="158">
        <f t="shared" si="20"/>
        <v>977.9</v>
      </c>
      <c r="AO17" s="158">
        <f t="shared" si="20"/>
        <v>977.9</v>
      </c>
      <c r="AP17" s="158">
        <f t="shared" si="20"/>
        <v>977.9</v>
      </c>
      <c r="AQ17" s="158">
        <f t="shared" si="20"/>
        <v>977.9</v>
      </c>
      <c r="AR17" s="158">
        <f t="shared" si="20"/>
        <v>977.9</v>
      </c>
      <c r="AS17" s="158">
        <f t="shared" si="20"/>
        <v>977.9</v>
      </c>
      <c r="AT17" s="158">
        <f t="shared" si="20"/>
        <v>977.9</v>
      </c>
      <c r="AU17" s="158">
        <f t="shared" si="20"/>
        <v>977.9</v>
      </c>
      <c r="AV17" s="158">
        <f t="shared" si="20"/>
        <v>977.9</v>
      </c>
      <c r="AW17" s="158">
        <f t="shared" si="20"/>
        <v>977.9</v>
      </c>
      <c r="AX17" s="158">
        <f t="shared" si="20"/>
        <v>977.9</v>
      </c>
      <c r="AY17" s="158">
        <f t="shared" si="20"/>
        <v>977.9</v>
      </c>
      <c r="AZ17" s="158">
        <f t="shared" si="20"/>
        <v>977.9</v>
      </c>
      <c r="BA17" s="158">
        <f t="shared" si="20"/>
        <v>977.9</v>
      </c>
      <c r="BB17" s="158">
        <f t="shared" si="20"/>
        <v>977.9</v>
      </c>
      <c r="BC17" s="158">
        <f t="shared" si="20"/>
        <v>977.9</v>
      </c>
      <c r="BD17" s="158">
        <f t="shared" si="20"/>
        <v>977.9</v>
      </c>
      <c r="BE17" s="158">
        <f t="shared" si="20"/>
        <v>977.9</v>
      </c>
      <c r="BF17" s="158">
        <f t="shared" si="20"/>
        <v>977.9</v>
      </c>
      <c r="BG17" s="158">
        <f t="shared" si="20"/>
        <v>977.9</v>
      </c>
      <c r="BH17" s="158">
        <f t="shared" si="20"/>
        <v>977.9</v>
      </c>
      <c r="BI17" s="158">
        <f t="shared" si="20"/>
        <v>977.9</v>
      </c>
      <c r="BJ17" s="158">
        <f t="shared" si="20"/>
        <v>977.9</v>
      </c>
      <c r="BK17" s="158">
        <f t="shared" si="20"/>
        <v>977.9</v>
      </c>
      <c r="BL17" s="158">
        <f t="shared" si="20"/>
        <v>977.9</v>
      </c>
      <c r="BM17" s="158">
        <f t="shared" si="20"/>
        <v>977.9</v>
      </c>
      <c r="BN17" s="158">
        <f t="shared" si="20"/>
        <v>977.9</v>
      </c>
      <c r="BO17" s="158">
        <f t="shared" si="20"/>
        <v>977.9</v>
      </c>
      <c r="BP17" s="158">
        <f t="shared" si="20"/>
        <v>977.9</v>
      </c>
      <c r="BQ17" s="158">
        <f t="shared" si="20"/>
        <v>977.9</v>
      </c>
      <c r="BR17" s="158">
        <f t="shared" si="20"/>
        <v>977.9</v>
      </c>
      <c r="BS17" s="158">
        <f t="shared" si="20"/>
        <v>977.9</v>
      </c>
      <c r="BT17" s="158">
        <f t="shared" si="20"/>
        <v>977.9</v>
      </c>
      <c r="BU17" s="158">
        <f t="shared" si="20"/>
        <v>977.9</v>
      </c>
      <c r="BV17" s="158">
        <f t="shared" si="20"/>
        <v>977.9</v>
      </c>
      <c r="BW17" s="158">
        <f t="shared" si="20"/>
        <v>977.9</v>
      </c>
      <c r="BX17" s="158">
        <f t="shared" ref="BX17:CI17" si="21">BW17</f>
        <v>977.9</v>
      </c>
      <c r="BY17" s="158">
        <f t="shared" si="21"/>
        <v>977.9</v>
      </c>
      <c r="BZ17" s="158">
        <f t="shared" si="21"/>
        <v>977.9</v>
      </c>
      <c r="CA17" s="158">
        <f t="shared" si="21"/>
        <v>977.9</v>
      </c>
      <c r="CB17" s="158">
        <f t="shared" si="21"/>
        <v>977.9</v>
      </c>
      <c r="CC17" s="158">
        <f t="shared" si="21"/>
        <v>977.9</v>
      </c>
      <c r="CD17" s="158">
        <f t="shared" si="21"/>
        <v>977.9</v>
      </c>
      <c r="CE17" s="158">
        <f t="shared" si="21"/>
        <v>977.9</v>
      </c>
      <c r="CF17" s="158">
        <f t="shared" si="21"/>
        <v>977.9</v>
      </c>
      <c r="CG17" s="158">
        <f t="shared" si="21"/>
        <v>977.9</v>
      </c>
      <c r="CH17" s="158">
        <f t="shared" si="21"/>
        <v>977.9</v>
      </c>
      <c r="CI17" s="158">
        <f t="shared" si="21"/>
        <v>977.9</v>
      </c>
    </row>
    <row r="18" spans="1:87" x14ac:dyDescent="0.25">
      <c r="A18" s="159">
        <v>4</v>
      </c>
      <c r="B18" s="162">
        <v>9.8000000000000007</v>
      </c>
      <c r="C18" s="162">
        <v>3.46</v>
      </c>
      <c r="D18" s="162">
        <v>2.5510999999999999</v>
      </c>
      <c r="E18" s="162">
        <v>0.3</v>
      </c>
      <c r="F18" s="161">
        <f t="shared" si="18"/>
        <v>16.1111</v>
      </c>
      <c r="G18" s="161"/>
      <c r="H18" s="161"/>
      <c r="I18" s="26"/>
      <c r="J18" s="164" t="s">
        <v>742</v>
      </c>
      <c r="K18" s="165">
        <f>IF(K3=1,IF(K10&gt;K6,K6*$E$5,K10*$E$5),0)</f>
        <v>175818.02000000002</v>
      </c>
      <c r="L18" s="165">
        <f t="shared" ref="L18:BW18" si="22">IF(L3=1,IF(L10&gt;L6,L6*$E$5,L10*$E$5),0)</f>
        <v>0</v>
      </c>
      <c r="M18" s="165">
        <f t="shared" si="22"/>
        <v>174403.46</v>
      </c>
      <c r="N18" s="165">
        <f t="shared" si="22"/>
        <v>0</v>
      </c>
      <c r="O18" s="165">
        <f t="shared" si="22"/>
        <v>172988.9</v>
      </c>
      <c r="P18" s="165">
        <f t="shared" si="22"/>
        <v>0</v>
      </c>
      <c r="Q18" s="165">
        <f t="shared" si="22"/>
        <v>171574.34</v>
      </c>
      <c r="R18" s="165">
        <f t="shared" si="22"/>
        <v>0</v>
      </c>
      <c r="S18" s="165">
        <f t="shared" si="22"/>
        <v>170159.78</v>
      </c>
      <c r="T18" s="165">
        <f t="shared" si="22"/>
        <v>0</v>
      </c>
      <c r="U18" s="165">
        <f t="shared" si="22"/>
        <v>168745.22</v>
      </c>
      <c r="V18" s="165">
        <f t="shared" si="22"/>
        <v>0</v>
      </c>
      <c r="W18" s="165">
        <f t="shared" si="22"/>
        <v>0</v>
      </c>
      <c r="X18" s="165">
        <f t="shared" si="22"/>
        <v>0</v>
      </c>
      <c r="Y18" s="165">
        <f t="shared" si="22"/>
        <v>165916.1</v>
      </c>
      <c r="Z18" s="165">
        <f t="shared" si="22"/>
        <v>0</v>
      </c>
      <c r="AA18" s="165">
        <f t="shared" si="22"/>
        <v>148687.93800000002</v>
      </c>
      <c r="AB18" s="165">
        <f t="shared" si="22"/>
        <v>0</v>
      </c>
      <c r="AC18" s="165">
        <f t="shared" si="22"/>
        <v>147273.37800000003</v>
      </c>
      <c r="AD18" s="165">
        <f t="shared" si="22"/>
        <v>0</v>
      </c>
      <c r="AE18" s="165">
        <f t="shared" si="22"/>
        <v>145858.81800000003</v>
      </c>
      <c r="AF18" s="165">
        <f t="shared" si="22"/>
        <v>0</v>
      </c>
      <c r="AG18" s="165">
        <f t="shared" si="22"/>
        <v>144444.25800000003</v>
      </c>
      <c r="AH18" s="165">
        <f t="shared" si="22"/>
        <v>0</v>
      </c>
      <c r="AI18" s="165">
        <f t="shared" si="22"/>
        <v>143029.698</v>
      </c>
      <c r="AJ18" s="165">
        <f t="shared" si="22"/>
        <v>0</v>
      </c>
      <c r="AK18" s="165">
        <f t="shared" si="22"/>
        <v>141615.13800000001</v>
      </c>
      <c r="AL18" s="165">
        <f t="shared" si="22"/>
        <v>0</v>
      </c>
      <c r="AM18" s="165">
        <f t="shared" si="22"/>
        <v>0</v>
      </c>
      <c r="AN18" s="165">
        <f t="shared" si="22"/>
        <v>139493.29800000001</v>
      </c>
      <c r="AO18" s="165">
        <f t="shared" si="22"/>
        <v>0</v>
      </c>
      <c r="AP18" s="165">
        <f t="shared" si="22"/>
        <v>138078.73800000001</v>
      </c>
      <c r="AQ18" s="165">
        <f t="shared" si="22"/>
        <v>0</v>
      </c>
      <c r="AR18" s="165">
        <f t="shared" si="22"/>
        <v>123563.58420000001</v>
      </c>
      <c r="AS18" s="165">
        <f t="shared" si="22"/>
        <v>0</v>
      </c>
      <c r="AT18" s="165">
        <f t="shared" si="22"/>
        <v>122149.02420000003</v>
      </c>
      <c r="AU18" s="165">
        <f t="shared" si="22"/>
        <v>0</v>
      </c>
      <c r="AV18" s="165">
        <f t="shared" si="22"/>
        <v>120734.46420000002</v>
      </c>
      <c r="AW18" s="165">
        <f t="shared" si="22"/>
        <v>0</v>
      </c>
      <c r="AX18" s="165">
        <f t="shared" si="22"/>
        <v>119319.90420000002</v>
      </c>
      <c r="AY18" s="165">
        <f t="shared" si="22"/>
        <v>0</v>
      </c>
      <c r="AZ18" s="165">
        <f t="shared" si="22"/>
        <v>117905.34420000002</v>
      </c>
      <c r="BA18" s="165">
        <f t="shared" si="22"/>
        <v>0</v>
      </c>
      <c r="BB18" s="165">
        <f t="shared" si="22"/>
        <v>0</v>
      </c>
      <c r="BC18" s="165">
        <f t="shared" si="22"/>
        <v>0</v>
      </c>
      <c r="BD18" s="165">
        <f t="shared" si="22"/>
        <v>115076.22420000001</v>
      </c>
      <c r="BE18" s="165">
        <f t="shared" si="22"/>
        <v>0</v>
      </c>
      <c r="BF18" s="165">
        <f t="shared" si="22"/>
        <v>113661.66420000001</v>
      </c>
      <c r="BG18" s="165">
        <f t="shared" si="22"/>
        <v>0</v>
      </c>
      <c r="BH18" s="165">
        <f t="shared" si="22"/>
        <v>170907.22740000003</v>
      </c>
      <c r="BI18" s="165">
        <f t="shared" si="22"/>
        <v>0</v>
      </c>
      <c r="BJ18" s="165">
        <f t="shared" si="22"/>
        <v>170907.22740000003</v>
      </c>
      <c r="BK18" s="165">
        <f t="shared" si="22"/>
        <v>0</v>
      </c>
      <c r="BL18" s="165">
        <f t="shared" si="22"/>
        <v>170907.22740000003</v>
      </c>
      <c r="BM18" s="165">
        <f t="shared" si="22"/>
        <v>0</v>
      </c>
      <c r="BN18" s="165">
        <f t="shared" si="22"/>
        <v>170907.22740000003</v>
      </c>
      <c r="BO18" s="165">
        <f t="shared" si="22"/>
        <v>0</v>
      </c>
      <c r="BP18" s="165">
        <f t="shared" si="22"/>
        <v>170907.22740000003</v>
      </c>
      <c r="BQ18" s="165">
        <f t="shared" si="22"/>
        <v>0</v>
      </c>
      <c r="BR18" s="165">
        <f t="shared" si="22"/>
        <v>0</v>
      </c>
      <c r="BS18" s="165">
        <f t="shared" si="22"/>
        <v>0</v>
      </c>
      <c r="BT18" s="165">
        <f t="shared" si="22"/>
        <v>170907.22740000003</v>
      </c>
      <c r="BU18" s="165">
        <f t="shared" si="22"/>
        <v>0</v>
      </c>
      <c r="BV18" s="165">
        <f t="shared" si="22"/>
        <v>170907.22740000003</v>
      </c>
      <c r="BW18" s="165">
        <f t="shared" si="22"/>
        <v>0</v>
      </c>
      <c r="BX18" s="165">
        <f t="shared" ref="BX18:CI18" si="23">IF(BX3=1,IF(BX10&gt;BX6,BX6*$E$5,BX10*$E$5),0)</f>
        <v>170907.22740000003</v>
      </c>
      <c r="BY18" s="165">
        <f t="shared" si="23"/>
        <v>0</v>
      </c>
      <c r="BZ18" s="165">
        <f t="shared" si="23"/>
        <v>170907.22740000003</v>
      </c>
      <c r="CA18" s="165">
        <f t="shared" si="23"/>
        <v>0</v>
      </c>
      <c r="CB18" s="165">
        <f t="shared" si="23"/>
        <v>170907.22740000003</v>
      </c>
      <c r="CC18" s="165">
        <f t="shared" si="23"/>
        <v>0</v>
      </c>
      <c r="CD18" s="165">
        <f t="shared" si="23"/>
        <v>170907.22740000003</v>
      </c>
      <c r="CE18" s="165">
        <f t="shared" si="23"/>
        <v>0</v>
      </c>
      <c r="CF18" s="165">
        <f t="shared" si="23"/>
        <v>170907.22740000003</v>
      </c>
      <c r="CG18" s="165">
        <f t="shared" si="23"/>
        <v>0</v>
      </c>
      <c r="CH18" s="165">
        <f t="shared" si="23"/>
        <v>0</v>
      </c>
      <c r="CI18" s="165">
        <f t="shared" si="23"/>
        <v>0</v>
      </c>
    </row>
    <row r="19" spans="1:87" x14ac:dyDescent="0.25">
      <c r="A19" s="159">
        <v>3</v>
      </c>
      <c r="B19" s="160">
        <v>9.09</v>
      </c>
      <c r="C19" s="160">
        <v>3.1</v>
      </c>
      <c r="D19" s="160">
        <v>2.1436999999999999</v>
      </c>
      <c r="E19" s="160">
        <v>0.24</v>
      </c>
      <c r="F19" s="161">
        <f t="shared" si="18"/>
        <v>14.573700000000001</v>
      </c>
      <c r="G19" s="161"/>
      <c r="H19" s="161"/>
      <c r="I19" s="26"/>
      <c r="J19" s="164" t="s">
        <v>743</v>
      </c>
      <c r="K19" s="165">
        <f>IF(K3=1,IF(K11&gt;K7,K7*$E$6,K11*$E$6),0)</f>
        <v>81435.899999999994</v>
      </c>
      <c r="L19" s="165">
        <f t="shared" ref="L19:BW19" si="24">IF(L3=1,IF(L11&gt;L7,L7*$E$6,L11*$E$6),0)</f>
        <v>0</v>
      </c>
      <c r="M19" s="165">
        <f t="shared" si="24"/>
        <v>80780.7</v>
      </c>
      <c r="N19" s="165">
        <f t="shared" si="24"/>
        <v>0</v>
      </c>
      <c r="O19" s="165">
        <f t="shared" si="24"/>
        <v>80125.5</v>
      </c>
      <c r="P19" s="165">
        <f t="shared" si="24"/>
        <v>0</v>
      </c>
      <c r="Q19" s="165">
        <f t="shared" si="24"/>
        <v>79470.3</v>
      </c>
      <c r="R19" s="165">
        <f t="shared" si="24"/>
        <v>0</v>
      </c>
      <c r="S19" s="165">
        <f t="shared" si="24"/>
        <v>78815.100000000006</v>
      </c>
      <c r="T19" s="165">
        <f t="shared" si="24"/>
        <v>0</v>
      </c>
      <c r="U19" s="165">
        <f t="shared" si="24"/>
        <v>78159.899999999994</v>
      </c>
      <c r="V19" s="165">
        <f t="shared" si="24"/>
        <v>0</v>
      </c>
      <c r="W19" s="165">
        <f t="shared" si="24"/>
        <v>0</v>
      </c>
      <c r="X19" s="165">
        <f t="shared" si="24"/>
        <v>0</v>
      </c>
      <c r="Y19" s="165">
        <f t="shared" si="24"/>
        <v>76849.5</v>
      </c>
      <c r="Z19" s="165">
        <f t="shared" si="24"/>
        <v>0</v>
      </c>
      <c r="AA19" s="165">
        <f t="shared" si="24"/>
        <v>68869.710000000006</v>
      </c>
      <c r="AB19" s="165">
        <f t="shared" si="24"/>
        <v>0</v>
      </c>
      <c r="AC19" s="165">
        <f t="shared" si="24"/>
        <v>68214.510000000009</v>
      </c>
      <c r="AD19" s="165">
        <f t="shared" si="24"/>
        <v>0</v>
      </c>
      <c r="AE19" s="165">
        <f t="shared" si="24"/>
        <v>67559.31</v>
      </c>
      <c r="AF19" s="165">
        <f t="shared" si="24"/>
        <v>0</v>
      </c>
      <c r="AG19" s="165">
        <f t="shared" si="24"/>
        <v>66904.110000000015</v>
      </c>
      <c r="AH19" s="165">
        <f t="shared" si="24"/>
        <v>0</v>
      </c>
      <c r="AI19" s="165">
        <f t="shared" si="24"/>
        <v>66248.91</v>
      </c>
      <c r="AJ19" s="165">
        <f t="shared" si="24"/>
        <v>0</v>
      </c>
      <c r="AK19" s="165">
        <f t="shared" si="24"/>
        <v>65593.710000000006</v>
      </c>
      <c r="AL19" s="165">
        <f t="shared" si="24"/>
        <v>0</v>
      </c>
      <c r="AM19" s="165">
        <f t="shared" si="24"/>
        <v>0</v>
      </c>
      <c r="AN19" s="165">
        <f t="shared" si="24"/>
        <v>64610.91</v>
      </c>
      <c r="AO19" s="165">
        <f t="shared" si="24"/>
        <v>0</v>
      </c>
      <c r="AP19" s="165">
        <f t="shared" si="24"/>
        <v>63955.710000000006</v>
      </c>
      <c r="AQ19" s="165">
        <f t="shared" si="24"/>
        <v>0</v>
      </c>
      <c r="AR19" s="165">
        <f t="shared" si="24"/>
        <v>57232.539000000004</v>
      </c>
      <c r="AS19" s="165">
        <f t="shared" si="24"/>
        <v>0</v>
      </c>
      <c r="AT19" s="165">
        <f t="shared" si="24"/>
        <v>56577.339000000007</v>
      </c>
      <c r="AU19" s="165">
        <f t="shared" si="24"/>
        <v>0</v>
      </c>
      <c r="AV19" s="165">
        <f t="shared" si="24"/>
        <v>55922.13900000001</v>
      </c>
      <c r="AW19" s="165">
        <f t="shared" si="24"/>
        <v>0</v>
      </c>
      <c r="AX19" s="165">
        <f t="shared" si="24"/>
        <v>55266.939000000013</v>
      </c>
      <c r="AY19" s="165">
        <f t="shared" si="24"/>
        <v>0</v>
      </c>
      <c r="AZ19" s="165">
        <f t="shared" si="24"/>
        <v>54611.739000000009</v>
      </c>
      <c r="BA19" s="165">
        <f t="shared" si="24"/>
        <v>0</v>
      </c>
      <c r="BB19" s="165">
        <f t="shared" si="24"/>
        <v>0</v>
      </c>
      <c r="BC19" s="165">
        <f t="shared" si="24"/>
        <v>0</v>
      </c>
      <c r="BD19" s="165">
        <f t="shared" si="24"/>
        <v>53301.339000000007</v>
      </c>
      <c r="BE19" s="165">
        <f t="shared" si="24"/>
        <v>0</v>
      </c>
      <c r="BF19" s="165">
        <f t="shared" si="24"/>
        <v>52646.13900000001</v>
      </c>
      <c r="BG19" s="165">
        <f t="shared" si="24"/>
        <v>0</v>
      </c>
      <c r="BH19" s="165">
        <f t="shared" si="24"/>
        <v>93713.427000000011</v>
      </c>
      <c r="BI19" s="165">
        <f t="shared" si="24"/>
        <v>0</v>
      </c>
      <c r="BJ19" s="165">
        <f t="shared" si="24"/>
        <v>93713.427000000011</v>
      </c>
      <c r="BK19" s="165">
        <f t="shared" si="24"/>
        <v>0</v>
      </c>
      <c r="BL19" s="165">
        <f t="shared" si="24"/>
        <v>93713.427000000011</v>
      </c>
      <c r="BM19" s="165">
        <f t="shared" si="24"/>
        <v>0</v>
      </c>
      <c r="BN19" s="165">
        <f t="shared" si="24"/>
        <v>93713.427000000011</v>
      </c>
      <c r="BO19" s="165">
        <f t="shared" si="24"/>
        <v>0</v>
      </c>
      <c r="BP19" s="165">
        <f t="shared" si="24"/>
        <v>93713.427000000011</v>
      </c>
      <c r="BQ19" s="165">
        <f t="shared" si="24"/>
        <v>0</v>
      </c>
      <c r="BR19" s="165">
        <f t="shared" si="24"/>
        <v>0</v>
      </c>
      <c r="BS19" s="165">
        <f t="shared" si="24"/>
        <v>0</v>
      </c>
      <c r="BT19" s="165">
        <f t="shared" si="24"/>
        <v>93713.427000000011</v>
      </c>
      <c r="BU19" s="165">
        <f t="shared" si="24"/>
        <v>0</v>
      </c>
      <c r="BV19" s="165">
        <f t="shared" si="24"/>
        <v>93713.427000000011</v>
      </c>
      <c r="BW19" s="165">
        <f t="shared" si="24"/>
        <v>0</v>
      </c>
      <c r="BX19" s="165">
        <f t="shared" ref="BX19:CI19" si="25">IF(BX3=1,IF(BX11&gt;BX7,BX7*$E$6,BX11*$E$6),0)</f>
        <v>93713.427000000011</v>
      </c>
      <c r="BY19" s="165">
        <f t="shared" si="25"/>
        <v>0</v>
      </c>
      <c r="BZ19" s="165">
        <f t="shared" si="25"/>
        <v>93713.427000000011</v>
      </c>
      <c r="CA19" s="165">
        <f t="shared" si="25"/>
        <v>0</v>
      </c>
      <c r="CB19" s="165">
        <f t="shared" si="25"/>
        <v>93713.427000000011</v>
      </c>
      <c r="CC19" s="165">
        <f t="shared" si="25"/>
        <v>0</v>
      </c>
      <c r="CD19" s="165">
        <f t="shared" si="25"/>
        <v>93713.427000000011</v>
      </c>
      <c r="CE19" s="165">
        <f t="shared" si="25"/>
        <v>0</v>
      </c>
      <c r="CF19" s="165">
        <f t="shared" si="25"/>
        <v>93713.427000000011</v>
      </c>
      <c r="CG19" s="165">
        <f t="shared" si="25"/>
        <v>0</v>
      </c>
      <c r="CH19" s="165">
        <f t="shared" si="25"/>
        <v>0</v>
      </c>
      <c r="CI19" s="165">
        <f t="shared" si="25"/>
        <v>0</v>
      </c>
    </row>
    <row r="20" spans="1:87" x14ac:dyDescent="0.25">
      <c r="A20" s="159">
        <v>2</v>
      </c>
      <c r="B20" s="162">
        <v>8.42</v>
      </c>
      <c r="C20" s="162">
        <v>2.73</v>
      </c>
      <c r="D20" s="162">
        <v>1.7168999999999999</v>
      </c>
      <c r="E20" s="162">
        <v>0.18</v>
      </c>
      <c r="F20" s="161">
        <f t="shared" si="18"/>
        <v>13.046900000000001</v>
      </c>
      <c r="G20" s="161"/>
      <c r="H20" s="161"/>
      <c r="I20" s="26"/>
      <c r="J20" s="164" t="s">
        <v>744</v>
      </c>
      <c r="K20" s="165">
        <f>IF(K3=1,IF(K12&gt;K8,K8*$E$7,K12*$E$7),0)</f>
        <v>97308.741299999994</v>
      </c>
      <c r="L20" s="165">
        <f t="shared" ref="L20:BW20" si="26">IF(L3=1,IF(L12&gt;L8,L8*$E$7,L12*$E$7),0)</f>
        <v>0</v>
      </c>
      <c r="M20" s="165">
        <f t="shared" si="26"/>
        <v>96525.834900000002</v>
      </c>
      <c r="N20" s="165">
        <f t="shared" si="26"/>
        <v>0</v>
      </c>
      <c r="O20" s="165">
        <f t="shared" si="26"/>
        <v>95742.928499999995</v>
      </c>
      <c r="P20" s="165">
        <f t="shared" si="26"/>
        <v>0</v>
      </c>
      <c r="Q20" s="165">
        <f t="shared" si="26"/>
        <v>94960.022099999987</v>
      </c>
      <c r="R20" s="165">
        <f t="shared" si="26"/>
        <v>0</v>
      </c>
      <c r="S20" s="165">
        <f t="shared" si="26"/>
        <v>94177.11569999998</v>
      </c>
      <c r="T20" s="165">
        <f t="shared" si="26"/>
        <v>0</v>
      </c>
      <c r="U20" s="165">
        <f t="shared" si="26"/>
        <v>93394.209300000002</v>
      </c>
      <c r="V20" s="165">
        <f t="shared" si="26"/>
        <v>0</v>
      </c>
      <c r="W20" s="165">
        <f t="shared" si="26"/>
        <v>0</v>
      </c>
      <c r="X20" s="165">
        <f t="shared" si="26"/>
        <v>0</v>
      </c>
      <c r="Y20" s="165">
        <f t="shared" si="26"/>
        <v>91828.396499999988</v>
      </c>
      <c r="Z20" s="165">
        <f t="shared" si="26"/>
        <v>0</v>
      </c>
      <c r="AA20" s="165">
        <f t="shared" si="26"/>
        <v>82293.248970000015</v>
      </c>
      <c r="AB20" s="165">
        <f t="shared" si="26"/>
        <v>0</v>
      </c>
      <c r="AC20" s="165">
        <f t="shared" si="26"/>
        <v>81510.342570000008</v>
      </c>
      <c r="AD20" s="165">
        <f t="shared" si="26"/>
        <v>0</v>
      </c>
      <c r="AE20" s="165">
        <f t="shared" si="26"/>
        <v>80727.436170000001</v>
      </c>
      <c r="AF20" s="165">
        <f t="shared" si="26"/>
        <v>0</v>
      </c>
      <c r="AG20" s="165">
        <f t="shared" si="26"/>
        <v>79944.529769999994</v>
      </c>
      <c r="AH20" s="165">
        <f t="shared" si="26"/>
        <v>0</v>
      </c>
      <c r="AI20" s="165">
        <f t="shared" si="26"/>
        <v>79161.623370000001</v>
      </c>
      <c r="AJ20" s="165">
        <f t="shared" si="26"/>
        <v>0</v>
      </c>
      <c r="AK20" s="165">
        <f t="shared" si="26"/>
        <v>78378.716970000009</v>
      </c>
      <c r="AL20" s="165">
        <f t="shared" si="26"/>
        <v>0</v>
      </c>
      <c r="AM20" s="165">
        <f t="shared" si="26"/>
        <v>0</v>
      </c>
      <c r="AN20" s="165">
        <f t="shared" si="26"/>
        <v>77204.357370000012</v>
      </c>
      <c r="AO20" s="165">
        <f t="shared" si="26"/>
        <v>0</v>
      </c>
      <c r="AP20" s="165">
        <f t="shared" si="26"/>
        <v>76421.450970000005</v>
      </c>
      <c r="AQ20" s="165">
        <f t="shared" si="26"/>
        <v>0</v>
      </c>
      <c r="AR20" s="165">
        <f t="shared" si="26"/>
        <v>68387.852673000001</v>
      </c>
      <c r="AS20" s="165">
        <f t="shared" si="26"/>
        <v>0</v>
      </c>
      <c r="AT20" s="165">
        <f t="shared" si="26"/>
        <v>67604.946273000009</v>
      </c>
      <c r="AU20" s="165">
        <f t="shared" si="26"/>
        <v>0</v>
      </c>
      <c r="AV20" s="165">
        <f t="shared" si="26"/>
        <v>66822.039873000002</v>
      </c>
      <c r="AW20" s="165">
        <f t="shared" si="26"/>
        <v>0</v>
      </c>
      <c r="AX20" s="165">
        <f t="shared" si="26"/>
        <v>66039.133473000009</v>
      </c>
      <c r="AY20" s="165">
        <f t="shared" si="26"/>
        <v>0</v>
      </c>
      <c r="AZ20" s="165">
        <f t="shared" si="26"/>
        <v>65256.227073000009</v>
      </c>
      <c r="BA20" s="165">
        <f t="shared" si="26"/>
        <v>0</v>
      </c>
      <c r="BB20" s="165">
        <f t="shared" si="26"/>
        <v>0</v>
      </c>
      <c r="BC20" s="165">
        <f t="shared" si="26"/>
        <v>0</v>
      </c>
      <c r="BD20" s="165">
        <f t="shared" si="26"/>
        <v>63690.414273000009</v>
      </c>
      <c r="BE20" s="165">
        <f t="shared" si="26"/>
        <v>0</v>
      </c>
      <c r="BF20" s="165">
        <f t="shared" si="26"/>
        <v>62907.507873000002</v>
      </c>
      <c r="BG20" s="165">
        <f t="shared" si="26"/>
        <v>0</v>
      </c>
      <c r="BH20" s="165">
        <f t="shared" si="26"/>
        <v>150109.17082500001</v>
      </c>
      <c r="BI20" s="165">
        <f t="shared" si="26"/>
        <v>0</v>
      </c>
      <c r="BJ20" s="165">
        <f t="shared" si="26"/>
        <v>150109.17082500001</v>
      </c>
      <c r="BK20" s="165">
        <f t="shared" si="26"/>
        <v>0</v>
      </c>
      <c r="BL20" s="165">
        <f t="shared" si="26"/>
        <v>150109.17082500001</v>
      </c>
      <c r="BM20" s="165">
        <f t="shared" si="26"/>
        <v>0</v>
      </c>
      <c r="BN20" s="165">
        <f t="shared" si="26"/>
        <v>150109.17082500001</v>
      </c>
      <c r="BO20" s="165">
        <f t="shared" si="26"/>
        <v>0</v>
      </c>
      <c r="BP20" s="165">
        <f t="shared" si="26"/>
        <v>150109.17082500001</v>
      </c>
      <c r="BQ20" s="165">
        <f t="shared" si="26"/>
        <v>0</v>
      </c>
      <c r="BR20" s="165">
        <f t="shared" si="26"/>
        <v>0</v>
      </c>
      <c r="BS20" s="165">
        <f t="shared" si="26"/>
        <v>0</v>
      </c>
      <c r="BT20" s="165">
        <f t="shared" si="26"/>
        <v>150109.17082500001</v>
      </c>
      <c r="BU20" s="165">
        <f t="shared" si="26"/>
        <v>0</v>
      </c>
      <c r="BV20" s="165">
        <f t="shared" si="26"/>
        <v>150109.17082500001</v>
      </c>
      <c r="BW20" s="165">
        <f t="shared" si="26"/>
        <v>0</v>
      </c>
      <c r="BX20" s="165">
        <f t="shared" ref="BX20:CI20" si="27">IF(BX3=1,IF(BX12&gt;BX8,BX8*$E$7,BX12*$E$7),0)</f>
        <v>150109.17082500001</v>
      </c>
      <c r="BY20" s="165">
        <f t="shared" si="27"/>
        <v>0</v>
      </c>
      <c r="BZ20" s="165">
        <f t="shared" si="27"/>
        <v>150109.17082500001</v>
      </c>
      <c r="CA20" s="165">
        <f t="shared" si="27"/>
        <v>0</v>
      </c>
      <c r="CB20" s="165">
        <f t="shared" si="27"/>
        <v>150109.17082500001</v>
      </c>
      <c r="CC20" s="165">
        <f t="shared" si="27"/>
        <v>0</v>
      </c>
      <c r="CD20" s="165">
        <f t="shared" si="27"/>
        <v>150109.17082500001</v>
      </c>
      <c r="CE20" s="165">
        <f t="shared" si="27"/>
        <v>0</v>
      </c>
      <c r="CF20" s="165">
        <f t="shared" si="27"/>
        <v>150109.17082500001</v>
      </c>
      <c r="CG20" s="165">
        <f t="shared" si="27"/>
        <v>0</v>
      </c>
      <c r="CH20" s="165">
        <f t="shared" si="27"/>
        <v>0</v>
      </c>
      <c r="CI20" s="165">
        <f t="shared" si="27"/>
        <v>0</v>
      </c>
    </row>
    <row r="21" spans="1:87" x14ac:dyDescent="0.25">
      <c r="A21" s="159">
        <v>1</v>
      </c>
      <c r="B21" s="160">
        <v>7.85</v>
      </c>
      <c r="C21" s="160">
        <v>2.34</v>
      </c>
      <c r="D21" s="160">
        <v>1.1931</v>
      </c>
      <c r="E21" s="160">
        <v>0.1</v>
      </c>
      <c r="F21" s="161">
        <f t="shared" si="18"/>
        <v>11.4831</v>
      </c>
      <c r="G21" s="161"/>
      <c r="H21" s="161"/>
      <c r="I21" s="26"/>
      <c r="J21" s="164" t="s">
        <v>745</v>
      </c>
      <c r="K21" s="165">
        <f>IF(K3=1,IF(K13&gt;K9,K9*$E$8,K13*$E$8),0)</f>
        <v>18792.899999999998</v>
      </c>
      <c r="L21" s="165">
        <f t="shared" ref="L21:BW21" si="28">IF(L3=1,IF(L13&gt;L9,L9*$E$8,L13*$E$8),0)</f>
        <v>0</v>
      </c>
      <c r="M21" s="165">
        <f t="shared" si="28"/>
        <v>18641.7</v>
      </c>
      <c r="N21" s="165">
        <f t="shared" si="28"/>
        <v>0</v>
      </c>
      <c r="O21" s="165">
        <f t="shared" si="28"/>
        <v>18490.5</v>
      </c>
      <c r="P21" s="165">
        <f t="shared" si="28"/>
        <v>0</v>
      </c>
      <c r="Q21" s="165">
        <f t="shared" si="28"/>
        <v>18339.3</v>
      </c>
      <c r="R21" s="165">
        <f t="shared" si="28"/>
        <v>0</v>
      </c>
      <c r="S21" s="165">
        <f t="shared" si="28"/>
        <v>18188.099999999999</v>
      </c>
      <c r="T21" s="165">
        <f t="shared" si="28"/>
        <v>0</v>
      </c>
      <c r="U21" s="165">
        <f t="shared" si="28"/>
        <v>18036.900000000001</v>
      </c>
      <c r="V21" s="165">
        <f t="shared" si="28"/>
        <v>0</v>
      </c>
      <c r="W21" s="165">
        <f t="shared" si="28"/>
        <v>0</v>
      </c>
      <c r="X21" s="165">
        <f t="shared" si="28"/>
        <v>0</v>
      </c>
      <c r="Y21" s="165">
        <f t="shared" si="28"/>
        <v>17734.5</v>
      </c>
      <c r="Z21" s="165">
        <f t="shared" si="28"/>
        <v>0</v>
      </c>
      <c r="AA21" s="165">
        <f t="shared" si="28"/>
        <v>15893.01</v>
      </c>
      <c r="AB21" s="165">
        <f t="shared" si="28"/>
        <v>0</v>
      </c>
      <c r="AC21" s="165">
        <f t="shared" si="28"/>
        <v>15741.810000000001</v>
      </c>
      <c r="AD21" s="165">
        <f t="shared" si="28"/>
        <v>0</v>
      </c>
      <c r="AE21" s="165">
        <f t="shared" si="28"/>
        <v>15590.61</v>
      </c>
      <c r="AF21" s="165">
        <f t="shared" si="28"/>
        <v>0</v>
      </c>
      <c r="AG21" s="165">
        <f t="shared" si="28"/>
        <v>15439.410000000002</v>
      </c>
      <c r="AH21" s="165">
        <f t="shared" si="28"/>
        <v>0</v>
      </c>
      <c r="AI21" s="165">
        <f t="shared" si="28"/>
        <v>15288.210000000001</v>
      </c>
      <c r="AJ21" s="165">
        <f t="shared" si="28"/>
        <v>0</v>
      </c>
      <c r="AK21" s="165">
        <f t="shared" si="28"/>
        <v>15137.010000000002</v>
      </c>
      <c r="AL21" s="165">
        <f t="shared" si="28"/>
        <v>0</v>
      </c>
      <c r="AM21" s="165">
        <f t="shared" si="28"/>
        <v>0</v>
      </c>
      <c r="AN21" s="165">
        <f t="shared" si="28"/>
        <v>14910.210000000001</v>
      </c>
      <c r="AO21" s="165">
        <f t="shared" si="28"/>
        <v>0</v>
      </c>
      <c r="AP21" s="165">
        <f t="shared" si="28"/>
        <v>14759.010000000002</v>
      </c>
      <c r="AQ21" s="165">
        <f t="shared" si="28"/>
        <v>0</v>
      </c>
      <c r="AR21" s="165">
        <f t="shared" si="28"/>
        <v>13207.509000000002</v>
      </c>
      <c r="AS21" s="165">
        <f t="shared" si="28"/>
        <v>0</v>
      </c>
      <c r="AT21" s="165">
        <f t="shared" si="28"/>
        <v>13056.309000000001</v>
      </c>
      <c r="AU21" s="165">
        <f t="shared" si="28"/>
        <v>0</v>
      </c>
      <c r="AV21" s="165">
        <f t="shared" si="28"/>
        <v>12905.109000000002</v>
      </c>
      <c r="AW21" s="165">
        <f t="shared" si="28"/>
        <v>0</v>
      </c>
      <c r="AX21" s="165">
        <f t="shared" si="28"/>
        <v>12753.909000000001</v>
      </c>
      <c r="AY21" s="165">
        <f t="shared" si="28"/>
        <v>0</v>
      </c>
      <c r="AZ21" s="165">
        <f t="shared" si="28"/>
        <v>12602.709000000001</v>
      </c>
      <c r="BA21" s="165">
        <f t="shared" si="28"/>
        <v>0</v>
      </c>
      <c r="BB21" s="165">
        <f t="shared" si="28"/>
        <v>0</v>
      </c>
      <c r="BC21" s="165">
        <f t="shared" si="28"/>
        <v>0</v>
      </c>
      <c r="BD21" s="165">
        <f t="shared" si="28"/>
        <v>12300.309000000001</v>
      </c>
      <c r="BE21" s="165">
        <f t="shared" si="28"/>
        <v>0</v>
      </c>
      <c r="BF21" s="165">
        <f t="shared" si="28"/>
        <v>12149.109</v>
      </c>
      <c r="BG21" s="165">
        <f t="shared" si="28"/>
        <v>0</v>
      </c>
      <c r="BH21" s="165">
        <f t="shared" si="28"/>
        <v>34208.275500000003</v>
      </c>
      <c r="BI21" s="165">
        <f t="shared" si="28"/>
        <v>0</v>
      </c>
      <c r="BJ21" s="165">
        <f t="shared" si="28"/>
        <v>34208.275500000003</v>
      </c>
      <c r="BK21" s="165">
        <f t="shared" si="28"/>
        <v>0</v>
      </c>
      <c r="BL21" s="165">
        <f t="shared" si="28"/>
        <v>34208.275500000003</v>
      </c>
      <c r="BM21" s="165">
        <f t="shared" si="28"/>
        <v>0</v>
      </c>
      <c r="BN21" s="165">
        <f t="shared" si="28"/>
        <v>34208.275500000003</v>
      </c>
      <c r="BO21" s="165">
        <f t="shared" si="28"/>
        <v>0</v>
      </c>
      <c r="BP21" s="165">
        <f t="shared" si="28"/>
        <v>34208.275500000003</v>
      </c>
      <c r="BQ21" s="165">
        <f t="shared" si="28"/>
        <v>0</v>
      </c>
      <c r="BR21" s="165">
        <f t="shared" si="28"/>
        <v>0</v>
      </c>
      <c r="BS21" s="165">
        <f t="shared" si="28"/>
        <v>0</v>
      </c>
      <c r="BT21" s="165">
        <f t="shared" si="28"/>
        <v>34208.275500000003</v>
      </c>
      <c r="BU21" s="165">
        <f t="shared" si="28"/>
        <v>0</v>
      </c>
      <c r="BV21" s="165">
        <f t="shared" si="28"/>
        <v>34208.275500000003</v>
      </c>
      <c r="BW21" s="165">
        <f t="shared" si="28"/>
        <v>0</v>
      </c>
      <c r="BX21" s="165">
        <f t="shared" ref="BX21:CI21" si="29">IF(BX3=1,IF(BX13&gt;BX9,BX9*$E$8,BX13*$E$8),0)</f>
        <v>34208.275500000003</v>
      </c>
      <c r="BY21" s="165">
        <f t="shared" si="29"/>
        <v>0</v>
      </c>
      <c r="BZ21" s="165">
        <f t="shared" si="29"/>
        <v>34208.275500000003</v>
      </c>
      <c r="CA21" s="165">
        <f t="shared" si="29"/>
        <v>0</v>
      </c>
      <c r="CB21" s="165">
        <f t="shared" si="29"/>
        <v>34208.275500000003</v>
      </c>
      <c r="CC21" s="165">
        <f t="shared" si="29"/>
        <v>0</v>
      </c>
      <c r="CD21" s="165">
        <f t="shared" si="29"/>
        <v>34208.275500000003</v>
      </c>
      <c r="CE21" s="165">
        <f t="shared" si="29"/>
        <v>0</v>
      </c>
      <c r="CF21" s="165">
        <f t="shared" si="29"/>
        <v>34208.275500000003</v>
      </c>
      <c r="CG21" s="165">
        <f t="shared" si="29"/>
        <v>0</v>
      </c>
      <c r="CH21" s="165">
        <f t="shared" si="29"/>
        <v>0</v>
      </c>
      <c r="CI21" s="165">
        <f t="shared" si="29"/>
        <v>0</v>
      </c>
    </row>
    <row r="22" spans="1:87" x14ac:dyDescent="0.25">
      <c r="A22" s="26"/>
      <c r="B22" s="26"/>
      <c r="C22" s="142"/>
      <c r="D22" s="142"/>
      <c r="E22" s="142"/>
      <c r="F22" s="26"/>
      <c r="G22" s="26"/>
      <c r="H22" s="26"/>
      <c r="I22" s="26"/>
      <c r="J22" s="166" t="s">
        <v>746</v>
      </c>
      <c r="K22" s="167">
        <f>IF(K3=1,IF(K14&gt;K6,K6*$E$5,K14*$E$5),0)</f>
        <v>175818.02000000002</v>
      </c>
      <c r="L22" s="167">
        <f t="shared" ref="L22:BW22" si="30">IF(L3=1,IF(L14&gt;L6,L6*$E$5,L14*$E$5),0)</f>
        <v>0</v>
      </c>
      <c r="M22" s="167">
        <f t="shared" si="30"/>
        <v>170951.19999999998</v>
      </c>
      <c r="N22" s="167">
        <f t="shared" si="30"/>
        <v>0</v>
      </c>
      <c r="O22" s="167">
        <f t="shared" si="30"/>
        <v>170951.19999999998</v>
      </c>
      <c r="P22" s="167">
        <f t="shared" si="30"/>
        <v>0</v>
      </c>
      <c r="Q22" s="167">
        <f t="shared" si="30"/>
        <v>170951.19999999998</v>
      </c>
      <c r="R22" s="167">
        <f t="shared" si="30"/>
        <v>0</v>
      </c>
      <c r="S22" s="167">
        <f t="shared" si="30"/>
        <v>170159.78</v>
      </c>
      <c r="T22" s="167">
        <f t="shared" si="30"/>
        <v>0</v>
      </c>
      <c r="U22" s="167">
        <f t="shared" si="30"/>
        <v>168745.22</v>
      </c>
      <c r="V22" s="167">
        <f t="shared" si="30"/>
        <v>0</v>
      </c>
      <c r="W22" s="167">
        <f t="shared" si="30"/>
        <v>0</v>
      </c>
      <c r="X22" s="167">
        <f t="shared" si="30"/>
        <v>0</v>
      </c>
      <c r="Y22" s="167">
        <f t="shared" si="30"/>
        <v>165916.1</v>
      </c>
      <c r="Z22" s="167">
        <f t="shared" si="30"/>
        <v>0</v>
      </c>
      <c r="AA22" s="167">
        <f t="shared" si="30"/>
        <v>148687.93800000002</v>
      </c>
      <c r="AB22" s="167">
        <f t="shared" si="30"/>
        <v>0</v>
      </c>
      <c r="AC22" s="167">
        <f t="shared" si="30"/>
        <v>147273.37800000003</v>
      </c>
      <c r="AD22" s="167">
        <f t="shared" si="30"/>
        <v>0</v>
      </c>
      <c r="AE22" s="167">
        <f t="shared" si="30"/>
        <v>145858.81800000003</v>
      </c>
      <c r="AF22" s="167">
        <f t="shared" si="30"/>
        <v>0</v>
      </c>
      <c r="AG22" s="167">
        <f t="shared" si="30"/>
        <v>144444.25800000003</v>
      </c>
      <c r="AH22" s="167">
        <f t="shared" si="30"/>
        <v>0</v>
      </c>
      <c r="AI22" s="167">
        <f t="shared" si="30"/>
        <v>143029.698</v>
      </c>
      <c r="AJ22" s="167">
        <f t="shared" si="30"/>
        <v>0</v>
      </c>
      <c r="AK22" s="167">
        <f t="shared" si="30"/>
        <v>141615.13800000001</v>
      </c>
      <c r="AL22" s="167">
        <f t="shared" si="30"/>
        <v>0</v>
      </c>
      <c r="AM22" s="167">
        <f t="shared" si="30"/>
        <v>0</v>
      </c>
      <c r="AN22" s="167">
        <f t="shared" si="30"/>
        <v>139493.29800000001</v>
      </c>
      <c r="AO22" s="167">
        <f t="shared" si="30"/>
        <v>0</v>
      </c>
      <c r="AP22" s="167">
        <f t="shared" si="30"/>
        <v>138078.73800000001</v>
      </c>
      <c r="AQ22" s="167">
        <f t="shared" si="30"/>
        <v>0</v>
      </c>
      <c r="AR22" s="167">
        <f t="shared" si="30"/>
        <v>123563.58420000001</v>
      </c>
      <c r="AS22" s="167">
        <f t="shared" si="30"/>
        <v>0</v>
      </c>
      <c r="AT22" s="167">
        <f t="shared" si="30"/>
        <v>122149.02420000003</v>
      </c>
      <c r="AU22" s="167">
        <f t="shared" si="30"/>
        <v>0</v>
      </c>
      <c r="AV22" s="167">
        <f t="shared" si="30"/>
        <v>120734.46420000002</v>
      </c>
      <c r="AW22" s="167">
        <f t="shared" si="30"/>
        <v>0</v>
      </c>
      <c r="AX22" s="167">
        <f t="shared" si="30"/>
        <v>119319.90420000002</v>
      </c>
      <c r="AY22" s="167">
        <f t="shared" si="30"/>
        <v>0</v>
      </c>
      <c r="AZ22" s="167">
        <f t="shared" si="30"/>
        <v>117905.34420000002</v>
      </c>
      <c r="BA22" s="167">
        <f t="shared" si="30"/>
        <v>0</v>
      </c>
      <c r="BB22" s="167">
        <f t="shared" si="30"/>
        <v>0</v>
      </c>
      <c r="BC22" s="167">
        <f t="shared" si="30"/>
        <v>0</v>
      </c>
      <c r="BD22" s="167">
        <f t="shared" si="30"/>
        <v>115076.22420000001</v>
      </c>
      <c r="BE22" s="167">
        <f t="shared" si="30"/>
        <v>0</v>
      </c>
      <c r="BF22" s="167">
        <f t="shared" si="30"/>
        <v>113661.66420000001</v>
      </c>
      <c r="BG22" s="167">
        <f t="shared" si="30"/>
        <v>0</v>
      </c>
      <c r="BH22" s="167">
        <f t="shared" si="30"/>
        <v>170907.22740000003</v>
      </c>
      <c r="BI22" s="167">
        <f t="shared" si="30"/>
        <v>0</v>
      </c>
      <c r="BJ22" s="167">
        <f t="shared" si="30"/>
        <v>170907.22740000003</v>
      </c>
      <c r="BK22" s="167">
        <f t="shared" si="30"/>
        <v>0</v>
      </c>
      <c r="BL22" s="167">
        <f t="shared" si="30"/>
        <v>170907.22740000003</v>
      </c>
      <c r="BM22" s="167">
        <f t="shared" si="30"/>
        <v>0</v>
      </c>
      <c r="BN22" s="167">
        <f t="shared" si="30"/>
        <v>170907.22740000003</v>
      </c>
      <c r="BO22" s="167">
        <f t="shared" si="30"/>
        <v>0</v>
      </c>
      <c r="BP22" s="167">
        <f t="shared" si="30"/>
        <v>170907.22740000003</v>
      </c>
      <c r="BQ22" s="167">
        <f t="shared" si="30"/>
        <v>0</v>
      </c>
      <c r="BR22" s="167">
        <f t="shared" si="30"/>
        <v>0</v>
      </c>
      <c r="BS22" s="167">
        <f t="shared" si="30"/>
        <v>0</v>
      </c>
      <c r="BT22" s="167">
        <f t="shared" si="30"/>
        <v>170907.22740000003</v>
      </c>
      <c r="BU22" s="167">
        <f t="shared" si="30"/>
        <v>0</v>
      </c>
      <c r="BV22" s="167">
        <f t="shared" si="30"/>
        <v>170907.22740000003</v>
      </c>
      <c r="BW22" s="167">
        <f t="shared" si="30"/>
        <v>0</v>
      </c>
      <c r="BX22" s="167">
        <f t="shared" ref="BX22:CI22" si="31">IF(BX3=1,IF(BX14&gt;BX6,BX6*$E$5,BX14*$E$5),0)</f>
        <v>170907.22740000003</v>
      </c>
      <c r="BY22" s="167">
        <f t="shared" si="31"/>
        <v>0</v>
      </c>
      <c r="BZ22" s="167">
        <f t="shared" si="31"/>
        <v>170907.22740000003</v>
      </c>
      <c r="CA22" s="167">
        <f t="shared" si="31"/>
        <v>0</v>
      </c>
      <c r="CB22" s="167">
        <f t="shared" si="31"/>
        <v>170907.22740000003</v>
      </c>
      <c r="CC22" s="167">
        <f t="shared" si="31"/>
        <v>0</v>
      </c>
      <c r="CD22" s="167">
        <f t="shared" si="31"/>
        <v>170907.22740000003</v>
      </c>
      <c r="CE22" s="167">
        <f t="shared" si="31"/>
        <v>0</v>
      </c>
      <c r="CF22" s="167">
        <f t="shared" si="31"/>
        <v>170907.22740000003</v>
      </c>
      <c r="CG22" s="167">
        <f t="shared" si="31"/>
        <v>0</v>
      </c>
      <c r="CH22" s="167">
        <f t="shared" si="31"/>
        <v>0</v>
      </c>
      <c r="CI22" s="167">
        <f t="shared" si="31"/>
        <v>0</v>
      </c>
    </row>
    <row r="23" spans="1:87" x14ac:dyDescent="0.25">
      <c r="A23" s="168" t="s">
        <v>747</v>
      </c>
      <c r="B23" s="169">
        <v>0.7</v>
      </c>
      <c r="C23" s="170"/>
      <c r="D23" s="170"/>
      <c r="E23" s="170"/>
      <c r="F23" s="171"/>
      <c r="G23" s="171"/>
      <c r="H23" s="171"/>
      <c r="I23" s="26"/>
      <c r="J23" s="166" t="s">
        <v>748</v>
      </c>
      <c r="K23" s="167">
        <f>IF(K3=1,IF(K15&gt;K7,K7*$E$6,K15*$E$6),0)</f>
        <v>81435.899999999994</v>
      </c>
      <c r="L23" s="167">
        <f t="shared" ref="L23:BW23" si="32">IF(L3=1,IF(L15&gt;L7,L7*$E$6,L15*$E$6),0)</f>
        <v>0</v>
      </c>
      <c r="M23" s="167">
        <f t="shared" si="32"/>
        <v>80780.7</v>
      </c>
      <c r="N23" s="167">
        <f t="shared" si="32"/>
        <v>0</v>
      </c>
      <c r="O23" s="167">
        <f t="shared" si="32"/>
        <v>80125.5</v>
      </c>
      <c r="P23" s="167">
        <f t="shared" si="32"/>
        <v>0</v>
      </c>
      <c r="Q23" s="167">
        <f t="shared" si="32"/>
        <v>79470.3</v>
      </c>
      <c r="R23" s="167">
        <f t="shared" si="32"/>
        <v>0</v>
      </c>
      <c r="S23" s="167">
        <f t="shared" si="32"/>
        <v>78815.100000000006</v>
      </c>
      <c r="T23" s="167">
        <f t="shared" si="32"/>
        <v>0</v>
      </c>
      <c r="U23" s="167">
        <f t="shared" si="32"/>
        <v>78159.899999999994</v>
      </c>
      <c r="V23" s="167">
        <f t="shared" si="32"/>
        <v>0</v>
      </c>
      <c r="W23" s="167">
        <f t="shared" si="32"/>
        <v>0</v>
      </c>
      <c r="X23" s="167">
        <f t="shared" si="32"/>
        <v>0</v>
      </c>
      <c r="Y23" s="167">
        <f t="shared" si="32"/>
        <v>76849.5</v>
      </c>
      <c r="Z23" s="167">
        <f t="shared" si="32"/>
        <v>0</v>
      </c>
      <c r="AA23" s="167">
        <f t="shared" si="32"/>
        <v>68869.710000000006</v>
      </c>
      <c r="AB23" s="167">
        <f t="shared" si="32"/>
        <v>0</v>
      </c>
      <c r="AC23" s="167">
        <f t="shared" si="32"/>
        <v>68214.510000000009</v>
      </c>
      <c r="AD23" s="167">
        <f t="shared" si="32"/>
        <v>0</v>
      </c>
      <c r="AE23" s="167">
        <f t="shared" si="32"/>
        <v>67559.31</v>
      </c>
      <c r="AF23" s="167">
        <f t="shared" si="32"/>
        <v>0</v>
      </c>
      <c r="AG23" s="167">
        <f t="shared" si="32"/>
        <v>66904.110000000015</v>
      </c>
      <c r="AH23" s="167">
        <f t="shared" si="32"/>
        <v>0</v>
      </c>
      <c r="AI23" s="167">
        <f t="shared" si="32"/>
        <v>66248.91</v>
      </c>
      <c r="AJ23" s="167">
        <f t="shared" si="32"/>
        <v>0</v>
      </c>
      <c r="AK23" s="167">
        <f t="shared" si="32"/>
        <v>65593.710000000006</v>
      </c>
      <c r="AL23" s="167">
        <f t="shared" si="32"/>
        <v>0</v>
      </c>
      <c r="AM23" s="167">
        <f t="shared" si="32"/>
        <v>0</v>
      </c>
      <c r="AN23" s="167">
        <f t="shared" si="32"/>
        <v>64610.91</v>
      </c>
      <c r="AO23" s="167">
        <f t="shared" si="32"/>
        <v>0</v>
      </c>
      <c r="AP23" s="167">
        <f t="shared" si="32"/>
        <v>63955.710000000006</v>
      </c>
      <c r="AQ23" s="167">
        <f t="shared" si="32"/>
        <v>0</v>
      </c>
      <c r="AR23" s="167">
        <f t="shared" si="32"/>
        <v>57232.539000000004</v>
      </c>
      <c r="AS23" s="167">
        <f t="shared" si="32"/>
        <v>0</v>
      </c>
      <c r="AT23" s="167">
        <f t="shared" si="32"/>
        <v>56577.339000000007</v>
      </c>
      <c r="AU23" s="167">
        <f t="shared" si="32"/>
        <v>0</v>
      </c>
      <c r="AV23" s="167">
        <f t="shared" si="32"/>
        <v>55922.13900000001</v>
      </c>
      <c r="AW23" s="167">
        <f t="shared" si="32"/>
        <v>0</v>
      </c>
      <c r="AX23" s="167">
        <f t="shared" si="32"/>
        <v>55266.939000000013</v>
      </c>
      <c r="AY23" s="167">
        <f t="shared" si="32"/>
        <v>0</v>
      </c>
      <c r="AZ23" s="167">
        <f t="shared" si="32"/>
        <v>54611.739000000009</v>
      </c>
      <c r="BA23" s="167">
        <f t="shared" si="32"/>
        <v>0</v>
      </c>
      <c r="BB23" s="167">
        <f t="shared" si="32"/>
        <v>0</v>
      </c>
      <c r="BC23" s="167">
        <f t="shared" si="32"/>
        <v>0</v>
      </c>
      <c r="BD23" s="167">
        <f t="shared" si="32"/>
        <v>53301.339000000007</v>
      </c>
      <c r="BE23" s="167">
        <f t="shared" si="32"/>
        <v>0</v>
      </c>
      <c r="BF23" s="167">
        <f t="shared" si="32"/>
        <v>52646.13900000001</v>
      </c>
      <c r="BG23" s="167">
        <f t="shared" si="32"/>
        <v>0</v>
      </c>
      <c r="BH23" s="167">
        <f t="shared" si="32"/>
        <v>93713.427000000011</v>
      </c>
      <c r="BI23" s="167">
        <f t="shared" si="32"/>
        <v>0</v>
      </c>
      <c r="BJ23" s="167">
        <f t="shared" si="32"/>
        <v>93713.427000000011</v>
      </c>
      <c r="BK23" s="167">
        <f t="shared" si="32"/>
        <v>0</v>
      </c>
      <c r="BL23" s="167">
        <f t="shared" si="32"/>
        <v>93713.427000000011</v>
      </c>
      <c r="BM23" s="167">
        <f t="shared" si="32"/>
        <v>0</v>
      </c>
      <c r="BN23" s="167">
        <f t="shared" si="32"/>
        <v>93713.427000000011</v>
      </c>
      <c r="BO23" s="167">
        <f t="shared" si="32"/>
        <v>0</v>
      </c>
      <c r="BP23" s="167">
        <f t="shared" si="32"/>
        <v>93713.427000000011</v>
      </c>
      <c r="BQ23" s="167">
        <f t="shared" si="32"/>
        <v>0</v>
      </c>
      <c r="BR23" s="167">
        <f t="shared" si="32"/>
        <v>0</v>
      </c>
      <c r="BS23" s="167">
        <f t="shared" si="32"/>
        <v>0</v>
      </c>
      <c r="BT23" s="167">
        <f t="shared" si="32"/>
        <v>93713.427000000011</v>
      </c>
      <c r="BU23" s="167">
        <f t="shared" si="32"/>
        <v>0</v>
      </c>
      <c r="BV23" s="167">
        <f t="shared" si="32"/>
        <v>93713.427000000011</v>
      </c>
      <c r="BW23" s="167">
        <f t="shared" si="32"/>
        <v>0</v>
      </c>
      <c r="BX23" s="167">
        <f t="shared" ref="BX23:CI23" si="33">IF(BX3=1,IF(BX15&gt;BX7,BX7*$E$6,BX15*$E$6),0)</f>
        <v>93713.427000000011</v>
      </c>
      <c r="BY23" s="167">
        <f t="shared" si="33"/>
        <v>0</v>
      </c>
      <c r="BZ23" s="167">
        <f t="shared" si="33"/>
        <v>93713.427000000011</v>
      </c>
      <c r="CA23" s="167">
        <f t="shared" si="33"/>
        <v>0</v>
      </c>
      <c r="CB23" s="167">
        <f t="shared" si="33"/>
        <v>93713.427000000011</v>
      </c>
      <c r="CC23" s="167">
        <f t="shared" si="33"/>
        <v>0</v>
      </c>
      <c r="CD23" s="167">
        <f t="shared" si="33"/>
        <v>93713.427000000011</v>
      </c>
      <c r="CE23" s="167">
        <f t="shared" si="33"/>
        <v>0</v>
      </c>
      <c r="CF23" s="167">
        <f t="shared" si="33"/>
        <v>93713.427000000011</v>
      </c>
      <c r="CG23" s="167">
        <f t="shared" si="33"/>
        <v>0</v>
      </c>
      <c r="CH23" s="167">
        <f t="shared" si="33"/>
        <v>0</v>
      </c>
      <c r="CI23" s="167">
        <f t="shared" si="33"/>
        <v>0</v>
      </c>
    </row>
    <row r="24" spans="1:87" ht="30" x14ac:dyDescent="0.25">
      <c r="A24" s="147" t="s">
        <v>711</v>
      </c>
      <c r="B24" s="172">
        <f>B25+B26+B27+B28</f>
        <v>42675.499999999993</v>
      </c>
      <c r="C24" s="170" t="s">
        <v>749</v>
      </c>
      <c r="D24" s="148" t="s">
        <v>712</v>
      </c>
      <c r="E24" s="148" t="s">
        <v>713</v>
      </c>
      <c r="F24" s="148" t="s">
        <v>715</v>
      </c>
      <c r="G24" s="148"/>
      <c r="H24" s="148"/>
      <c r="I24" s="26"/>
      <c r="J24" s="166" t="s">
        <v>750</v>
      </c>
      <c r="K24" s="167">
        <f>IF(K3=1,IF(K16&gt;K8,K8*$E$7,K16*$E$7),0)</f>
        <v>97308.741299999994</v>
      </c>
      <c r="L24" s="167">
        <f t="shared" ref="L24:BW24" si="34">IF(L3=1,IF(L16&gt;L8,L8*$E$7,L16*$E$7),0)</f>
        <v>0</v>
      </c>
      <c r="M24" s="167">
        <f t="shared" si="34"/>
        <v>96525.834900000002</v>
      </c>
      <c r="N24" s="167">
        <f t="shared" si="34"/>
        <v>0</v>
      </c>
      <c r="O24" s="167">
        <f t="shared" si="34"/>
        <v>95742.928499999995</v>
      </c>
      <c r="P24" s="167">
        <f t="shared" si="34"/>
        <v>0</v>
      </c>
      <c r="Q24" s="167">
        <f t="shared" si="34"/>
        <v>94960.022099999987</v>
      </c>
      <c r="R24" s="167">
        <f t="shared" si="34"/>
        <v>0</v>
      </c>
      <c r="S24" s="167">
        <f t="shared" si="34"/>
        <v>94177.11569999998</v>
      </c>
      <c r="T24" s="167">
        <f t="shared" si="34"/>
        <v>0</v>
      </c>
      <c r="U24" s="167">
        <f t="shared" si="34"/>
        <v>93394.209300000002</v>
      </c>
      <c r="V24" s="167">
        <f t="shared" si="34"/>
        <v>0</v>
      </c>
      <c r="W24" s="167">
        <f t="shared" si="34"/>
        <v>0</v>
      </c>
      <c r="X24" s="167">
        <f t="shared" si="34"/>
        <v>0</v>
      </c>
      <c r="Y24" s="167">
        <f t="shared" si="34"/>
        <v>91828.396499999988</v>
      </c>
      <c r="Z24" s="167">
        <f t="shared" si="34"/>
        <v>0</v>
      </c>
      <c r="AA24" s="167">
        <f t="shared" si="34"/>
        <v>82293.248970000015</v>
      </c>
      <c r="AB24" s="167">
        <f t="shared" si="34"/>
        <v>0</v>
      </c>
      <c r="AC24" s="167">
        <f t="shared" si="34"/>
        <v>81510.342570000008</v>
      </c>
      <c r="AD24" s="167">
        <f t="shared" si="34"/>
        <v>0</v>
      </c>
      <c r="AE24" s="167">
        <f t="shared" si="34"/>
        <v>80727.436170000001</v>
      </c>
      <c r="AF24" s="167">
        <f t="shared" si="34"/>
        <v>0</v>
      </c>
      <c r="AG24" s="167">
        <f t="shared" si="34"/>
        <v>79944.529769999994</v>
      </c>
      <c r="AH24" s="167">
        <f t="shared" si="34"/>
        <v>0</v>
      </c>
      <c r="AI24" s="167">
        <f t="shared" si="34"/>
        <v>79161.623370000001</v>
      </c>
      <c r="AJ24" s="167">
        <f t="shared" si="34"/>
        <v>0</v>
      </c>
      <c r="AK24" s="167">
        <f t="shared" si="34"/>
        <v>78378.716970000009</v>
      </c>
      <c r="AL24" s="167">
        <f t="shared" si="34"/>
        <v>0</v>
      </c>
      <c r="AM24" s="167">
        <f t="shared" si="34"/>
        <v>0</v>
      </c>
      <c r="AN24" s="167">
        <f t="shared" si="34"/>
        <v>77204.357370000012</v>
      </c>
      <c r="AO24" s="167">
        <f t="shared" si="34"/>
        <v>0</v>
      </c>
      <c r="AP24" s="167">
        <f t="shared" si="34"/>
        <v>76421.450970000005</v>
      </c>
      <c r="AQ24" s="167">
        <f t="shared" si="34"/>
        <v>0</v>
      </c>
      <c r="AR24" s="167">
        <f t="shared" si="34"/>
        <v>68387.852673000001</v>
      </c>
      <c r="AS24" s="167">
        <f t="shared" si="34"/>
        <v>0</v>
      </c>
      <c r="AT24" s="167">
        <f t="shared" si="34"/>
        <v>67604.946273000009</v>
      </c>
      <c r="AU24" s="167">
        <f t="shared" si="34"/>
        <v>0</v>
      </c>
      <c r="AV24" s="167">
        <f t="shared" si="34"/>
        <v>66822.039873000002</v>
      </c>
      <c r="AW24" s="167">
        <f t="shared" si="34"/>
        <v>0</v>
      </c>
      <c r="AX24" s="167">
        <f t="shared" si="34"/>
        <v>66039.133473000009</v>
      </c>
      <c r="AY24" s="167">
        <f t="shared" si="34"/>
        <v>0</v>
      </c>
      <c r="AZ24" s="167">
        <f t="shared" si="34"/>
        <v>65256.227073000009</v>
      </c>
      <c r="BA24" s="167">
        <f t="shared" si="34"/>
        <v>0</v>
      </c>
      <c r="BB24" s="167">
        <f t="shared" si="34"/>
        <v>0</v>
      </c>
      <c r="BC24" s="167">
        <f t="shared" si="34"/>
        <v>0</v>
      </c>
      <c r="BD24" s="167">
        <f t="shared" si="34"/>
        <v>63690.414273000009</v>
      </c>
      <c r="BE24" s="167">
        <f t="shared" si="34"/>
        <v>0</v>
      </c>
      <c r="BF24" s="167">
        <f t="shared" si="34"/>
        <v>62907.507873000002</v>
      </c>
      <c r="BG24" s="167">
        <f t="shared" si="34"/>
        <v>0</v>
      </c>
      <c r="BH24" s="167">
        <f t="shared" si="34"/>
        <v>150109.17082500001</v>
      </c>
      <c r="BI24" s="167">
        <f t="shared" si="34"/>
        <v>0</v>
      </c>
      <c r="BJ24" s="167">
        <f t="shared" si="34"/>
        <v>150109.17082500001</v>
      </c>
      <c r="BK24" s="167">
        <f t="shared" si="34"/>
        <v>0</v>
      </c>
      <c r="BL24" s="167">
        <f t="shared" si="34"/>
        <v>150109.17082500001</v>
      </c>
      <c r="BM24" s="167">
        <f t="shared" si="34"/>
        <v>0</v>
      </c>
      <c r="BN24" s="167">
        <f t="shared" si="34"/>
        <v>150109.17082500001</v>
      </c>
      <c r="BO24" s="167">
        <f t="shared" si="34"/>
        <v>0</v>
      </c>
      <c r="BP24" s="167">
        <f t="shared" si="34"/>
        <v>150109.17082500001</v>
      </c>
      <c r="BQ24" s="167">
        <f t="shared" si="34"/>
        <v>0</v>
      </c>
      <c r="BR24" s="167">
        <f t="shared" si="34"/>
        <v>0</v>
      </c>
      <c r="BS24" s="167">
        <f t="shared" si="34"/>
        <v>0</v>
      </c>
      <c r="BT24" s="167">
        <f t="shared" si="34"/>
        <v>150109.17082500001</v>
      </c>
      <c r="BU24" s="167">
        <f t="shared" si="34"/>
        <v>0</v>
      </c>
      <c r="BV24" s="167">
        <f t="shared" si="34"/>
        <v>150109.17082500001</v>
      </c>
      <c r="BW24" s="167">
        <f t="shared" si="34"/>
        <v>0</v>
      </c>
      <c r="BX24" s="167">
        <f t="shared" ref="BX24:CI24" si="35">IF(BX3=1,IF(BX16&gt;BX8,BX8*$E$7,BX16*$E$7),0)</f>
        <v>150109.17082500001</v>
      </c>
      <c r="BY24" s="167">
        <f t="shared" si="35"/>
        <v>0</v>
      </c>
      <c r="BZ24" s="167">
        <f t="shared" si="35"/>
        <v>150109.17082500001</v>
      </c>
      <c r="CA24" s="167">
        <f t="shared" si="35"/>
        <v>0</v>
      </c>
      <c r="CB24" s="167">
        <f t="shared" si="35"/>
        <v>150109.17082500001</v>
      </c>
      <c r="CC24" s="167">
        <f t="shared" si="35"/>
        <v>0</v>
      </c>
      <c r="CD24" s="167">
        <f t="shared" si="35"/>
        <v>150109.17082500001</v>
      </c>
      <c r="CE24" s="167">
        <f t="shared" si="35"/>
        <v>0</v>
      </c>
      <c r="CF24" s="167">
        <f t="shared" si="35"/>
        <v>150109.17082500001</v>
      </c>
      <c r="CG24" s="167">
        <f t="shared" si="35"/>
        <v>0</v>
      </c>
      <c r="CH24" s="167">
        <f t="shared" si="35"/>
        <v>0</v>
      </c>
      <c r="CI24" s="167">
        <f t="shared" si="35"/>
        <v>0</v>
      </c>
    </row>
    <row r="25" spans="1:87" ht="30" x14ac:dyDescent="0.25">
      <c r="A25" s="147" t="s">
        <v>719</v>
      </c>
      <c r="B25" s="173">
        <f>B5*B23</f>
        <v>24421.599999999999</v>
      </c>
      <c r="C25" s="174">
        <f>B25-B5</f>
        <v>-10466.400000000001</v>
      </c>
      <c r="D25" s="170">
        <f>C25*C5</f>
        <v>-5233.2000000000007</v>
      </c>
      <c r="E25" s="175">
        <f>IF(C25&gt;0,C25*D5,0)</f>
        <v>0</v>
      </c>
      <c r="F25" s="176">
        <f>IF(C25&lt;0,C25*F5,0)</f>
        <v>-62798.400000000009</v>
      </c>
      <c r="G25" s="176"/>
      <c r="H25" s="176"/>
      <c r="I25" s="26"/>
      <c r="J25" s="166" t="s">
        <v>751</v>
      </c>
      <c r="K25" s="167">
        <f>IF(K3=1,IF(K17&gt;K9,K9*$E$8,K17*$E$8),0)</f>
        <v>18792.899999999998</v>
      </c>
      <c r="L25" s="167">
        <f t="shared" ref="L25:BW25" si="36">IF(L3=1,IF(L17&gt;L9,L9*$E$8,L17*$E$8),0)</f>
        <v>0</v>
      </c>
      <c r="M25" s="167">
        <f t="shared" si="36"/>
        <v>18641.7</v>
      </c>
      <c r="N25" s="167">
        <f t="shared" si="36"/>
        <v>0</v>
      </c>
      <c r="O25" s="167">
        <f t="shared" si="36"/>
        <v>18490.5</v>
      </c>
      <c r="P25" s="167">
        <f t="shared" si="36"/>
        <v>0</v>
      </c>
      <c r="Q25" s="167">
        <f t="shared" si="36"/>
        <v>18339.3</v>
      </c>
      <c r="R25" s="167">
        <f t="shared" si="36"/>
        <v>0</v>
      </c>
      <c r="S25" s="167">
        <f t="shared" si="36"/>
        <v>18188.099999999999</v>
      </c>
      <c r="T25" s="167">
        <f t="shared" si="36"/>
        <v>0</v>
      </c>
      <c r="U25" s="167">
        <f t="shared" si="36"/>
        <v>18036.900000000001</v>
      </c>
      <c r="V25" s="167">
        <f t="shared" si="36"/>
        <v>0</v>
      </c>
      <c r="W25" s="167">
        <f t="shared" si="36"/>
        <v>0</v>
      </c>
      <c r="X25" s="167">
        <f t="shared" si="36"/>
        <v>0</v>
      </c>
      <c r="Y25" s="167">
        <f t="shared" si="36"/>
        <v>17734.5</v>
      </c>
      <c r="Z25" s="167">
        <f t="shared" si="36"/>
        <v>0</v>
      </c>
      <c r="AA25" s="167">
        <f t="shared" si="36"/>
        <v>15893.01</v>
      </c>
      <c r="AB25" s="167">
        <f t="shared" si="36"/>
        <v>0</v>
      </c>
      <c r="AC25" s="167">
        <f t="shared" si="36"/>
        <v>15741.810000000001</v>
      </c>
      <c r="AD25" s="167">
        <f t="shared" si="36"/>
        <v>0</v>
      </c>
      <c r="AE25" s="167">
        <f t="shared" si="36"/>
        <v>15590.61</v>
      </c>
      <c r="AF25" s="167">
        <f t="shared" si="36"/>
        <v>0</v>
      </c>
      <c r="AG25" s="167">
        <f t="shared" si="36"/>
        <v>15439.410000000002</v>
      </c>
      <c r="AH25" s="167">
        <f t="shared" si="36"/>
        <v>0</v>
      </c>
      <c r="AI25" s="167">
        <f t="shared" si="36"/>
        <v>15288.210000000001</v>
      </c>
      <c r="AJ25" s="167">
        <f t="shared" si="36"/>
        <v>0</v>
      </c>
      <c r="AK25" s="167">
        <f t="shared" si="36"/>
        <v>15137.010000000002</v>
      </c>
      <c r="AL25" s="167">
        <f t="shared" si="36"/>
        <v>0</v>
      </c>
      <c r="AM25" s="167">
        <f t="shared" si="36"/>
        <v>0</v>
      </c>
      <c r="AN25" s="167">
        <f t="shared" si="36"/>
        <v>14910.210000000001</v>
      </c>
      <c r="AO25" s="167">
        <f t="shared" si="36"/>
        <v>0</v>
      </c>
      <c r="AP25" s="167">
        <f t="shared" si="36"/>
        <v>14759.010000000002</v>
      </c>
      <c r="AQ25" s="167">
        <f t="shared" si="36"/>
        <v>0</v>
      </c>
      <c r="AR25" s="167">
        <f t="shared" si="36"/>
        <v>13207.509000000002</v>
      </c>
      <c r="AS25" s="167">
        <f t="shared" si="36"/>
        <v>0</v>
      </c>
      <c r="AT25" s="167">
        <f t="shared" si="36"/>
        <v>13056.309000000001</v>
      </c>
      <c r="AU25" s="167">
        <f t="shared" si="36"/>
        <v>0</v>
      </c>
      <c r="AV25" s="167">
        <f t="shared" si="36"/>
        <v>12905.109000000002</v>
      </c>
      <c r="AW25" s="167">
        <f t="shared" si="36"/>
        <v>0</v>
      </c>
      <c r="AX25" s="167">
        <f t="shared" si="36"/>
        <v>12753.909000000001</v>
      </c>
      <c r="AY25" s="167">
        <f t="shared" si="36"/>
        <v>0</v>
      </c>
      <c r="AZ25" s="167">
        <f t="shared" si="36"/>
        <v>12602.709000000001</v>
      </c>
      <c r="BA25" s="167">
        <f t="shared" si="36"/>
        <v>0</v>
      </c>
      <c r="BB25" s="167">
        <f t="shared" si="36"/>
        <v>0</v>
      </c>
      <c r="BC25" s="167">
        <f t="shared" si="36"/>
        <v>0</v>
      </c>
      <c r="BD25" s="167">
        <f t="shared" si="36"/>
        <v>12300.309000000001</v>
      </c>
      <c r="BE25" s="167">
        <f t="shared" si="36"/>
        <v>0</v>
      </c>
      <c r="BF25" s="167">
        <f t="shared" si="36"/>
        <v>12149.109</v>
      </c>
      <c r="BG25" s="167">
        <f t="shared" si="36"/>
        <v>0</v>
      </c>
      <c r="BH25" s="167">
        <f t="shared" si="36"/>
        <v>34208.275500000003</v>
      </c>
      <c r="BI25" s="167">
        <f t="shared" si="36"/>
        <v>0</v>
      </c>
      <c r="BJ25" s="167">
        <f t="shared" si="36"/>
        <v>34208.275500000003</v>
      </c>
      <c r="BK25" s="167">
        <f t="shared" si="36"/>
        <v>0</v>
      </c>
      <c r="BL25" s="167">
        <f t="shared" si="36"/>
        <v>34208.275500000003</v>
      </c>
      <c r="BM25" s="167">
        <f t="shared" si="36"/>
        <v>0</v>
      </c>
      <c r="BN25" s="167">
        <f t="shared" si="36"/>
        <v>34208.275500000003</v>
      </c>
      <c r="BO25" s="167">
        <f t="shared" si="36"/>
        <v>0</v>
      </c>
      <c r="BP25" s="167">
        <f t="shared" si="36"/>
        <v>34208.275500000003</v>
      </c>
      <c r="BQ25" s="167">
        <f t="shared" si="36"/>
        <v>0</v>
      </c>
      <c r="BR25" s="167">
        <f t="shared" si="36"/>
        <v>0</v>
      </c>
      <c r="BS25" s="167">
        <f t="shared" si="36"/>
        <v>0</v>
      </c>
      <c r="BT25" s="167">
        <f t="shared" si="36"/>
        <v>34208.275500000003</v>
      </c>
      <c r="BU25" s="167">
        <f t="shared" si="36"/>
        <v>0</v>
      </c>
      <c r="BV25" s="167">
        <f t="shared" si="36"/>
        <v>34208.275500000003</v>
      </c>
      <c r="BW25" s="167">
        <f t="shared" si="36"/>
        <v>0</v>
      </c>
      <c r="BX25" s="167">
        <f t="shared" ref="BX25:CI25" si="37">IF(BX3=1,IF(BX17&gt;BX9,BX9*$E$8,BX17*$E$8),0)</f>
        <v>34208.275500000003</v>
      </c>
      <c r="BY25" s="167">
        <f t="shared" si="37"/>
        <v>0</v>
      </c>
      <c r="BZ25" s="167">
        <f t="shared" si="37"/>
        <v>34208.275500000003</v>
      </c>
      <c r="CA25" s="167">
        <f t="shared" si="37"/>
        <v>0</v>
      </c>
      <c r="CB25" s="167">
        <f t="shared" si="37"/>
        <v>34208.275500000003</v>
      </c>
      <c r="CC25" s="167">
        <f t="shared" si="37"/>
        <v>0</v>
      </c>
      <c r="CD25" s="167">
        <f t="shared" si="37"/>
        <v>34208.275500000003</v>
      </c>
      <c r="CE25" s="167">
        <f t="shared" si="37"/>
        <v>0</v>
      </c>
      <c r="CF25" s="167">
        <f t="shared" si="37"/>
        <v>34208.275500000003</v>
      </c>
      <c r="CG25" s="167">
        <f t="shared" si="37"/>
        <v>0</v>
      </c>
      <c r="CH25" s="167">
        <f t="shared" si="37"/>
        <v>0</v>
      </c>
      <c r="CI25" s="167">
        <f t="shared" si="37"/>
        <v>0</v>
      </c>
    </row>
    <row r="26" spans="1:87" ht="30" x14ac:dyDescent="0.25">
      <c r="A26" s="147" t="s">
        <v>721</v>
      </c>
      <c r="B26" s="173">
        <f>B6*B23</f>
        <v>9373.6999999999989</v>
      </c>
      <c r="C26" s="174">
        <f>B26-B6</f>
        <v>-4017.3000000000011</v>
      </c>
      <c r="D26" s="170">
        <f t="shared" ref="D26:D28" si="38">C26*C6</f>
        <v>-2812.1100000000006</v>
      </c>
      <c r="E26" s="175">
        <f t="shared" ref="E26:E28" si="39">IF(C26&gt;0,C26*D6,0)</f>
        <v>0</v>
      </c>
      <c r="F26" s="176">
        <f t="shared" ref="F26:F28" si="40">IF(C26&lt;0,C26*F6,0)</f>
        <v>-24103.800000000007</v>
      </c>
      <c r="G26" s="176"/>
      <c r="H26" s="176"/>
      <c r="I26" s="26"/>
      <c r="J26" s="177" t="s">
        <v>752</v>
      </c>
      <c r="K26" s="178">
        <f>(-1)*$G$9</f>
        <v>-41599.199999999997</v>
      </c>
      <c r="L26" s="178">
        <f t="shared" ref="L26:BW26" si="41">(-1)*$G$9</f>
        <v>-41599.199999999997</v>
      </c>
      <c r="M26" s="178">
        <f t="shared" si="41"/>
        <v>-41599.199999999997</v>
      </c>
      <c r="N26" s="178">
        <f t="shared" si="41"/>
        <v>-41599.199999999997</v>
      </c>
      <c r="O26" s="178">
        <f t="shared" si="41"/>
        <v>-41599.199999999997</v>
      </c>
      <c r="P26" s="178">
        <f t="shared" si="41"/>
        <v>-41599.199999999997</v>
      </c>
      <c r="Q26" s="178">
        <f t="shared" si="41"/>
        <v>-41599.199999999997</v>
      </c>
      <c r="R26" s="178">
        <f t="shared" si="41"/>
        <v>-41599.199999999997</v>
      </c>
      <c r="S26" s="178">
        <f t="shared" si="41"/>
        <v>-41599.199999999997</v>
      </c>
      <c r="T26" s="178">
        <f t="shared" si="41"/>
        <v>-41599.199999999997</v>
      </c>
      <c r="U26" s="178">
        <f t="shared" si="41"/>
        <v>-41599.199999999997</v>
      </c>
      <c r="V26" s="178">
        <f t="shared" si="41"/>
        <v>-41599.199999999997</v>
      </c>
      <c r="W26" s="178">
        <f t="shared" si="41"/>
        <v>-41599.199999999997</v>
      </c>
      <c r="X26" s="178">
        <f t="shared" si="41"/>
        <v>-41599.199999999997</v>
      </c>
      <c r="Y26" s="178">
        <f t="shared" si="41"/>
        <v>-41599.199999999997</v>
      </c>
      <c r="Z26" s="178">
        <f t="shared" si="41"/>
        <v>-41599.199999999997</v>
      </c>
      <c r="AA26" s="178">
        <f t="shared" si="41"/>
        <v>-41599.199999999997</v>
      </c>
      <c r="AB26" s="178">
        <f t="shared" si="41"/>
        <v>-41599.199999999997</v>
      </c>
      <c r="AC26" s="178">
        <f t="shared" si="41"/>
        <v>-41599.199999999997</v>
      </c>
      <c r="AD26" s="178">
        <f t="shared" si="41"/>
        <v>-41599.199999999997</v>
      </c>
      <c r="AE26" s="178">
        <f t="shared" si="41"/>
        <v>-41599.199999999997</v>
      </c>
      <c r="AF26" s="178">
        <f t="shared" si="41"/>
        <v>-41599.199999999997</v>
      </c>
      <c r="AG26" s="178">
        <f t="shared" si="41"/>
        <v>-41599.199999999997</v>
      </c>
      <c r="AH26" s="178">
        <f t="shared" si="41"/>
        <v>-41599.199999999997</v>
      </c>
      <c r="AI26" s="178">
        <f t="shared" si="41"/>
        <v>-41599.199999999997</v>
      </c>
      <c r="AJ26" s="178">
        <f t="shared" si="41"/>
        <v>-41599.199999999997</v>
      </c>
      <c r="AK26" s="178">
        <f t="shared" si="41"/>
        <v>-41599.199999999997</v>
      </c>
      <c r="AL26" s="178">
        <f t="shared" si="41"/>
        <v>-41599.199999999997</v>
      </c>
      <c r="AM26" s="178">
        <f t="shared" si="41"/>
        <v>-41599.199999999997</v>
      </c>
      <c r="AN26" s="178">
        <f t="shared" si="41"/>
        <v>-41599.199999999997</v>
      </c>
      <c r="AO26" s="178">
        <f t="shared" si="41"/>
        <v>-41599.199999999997</v>
      </c>
      <c r="AP26" s="178">
        <f t="shared" si="41"/>
        <v>-41599.199999999997</v>
      </c>
      <c r="AQ26" s="178">
        <f t="shared" si="41"/>
        <v>-41599.199999999997</v>
      </c>
      <c r="AR26" s="178">
        <f t="shared" si="41"/>
        <v>-41599.199999999997</v>
      </c>
      <c r="AS26" s="178">
        <f t="shared" si="41"/>
        <v>-41599.199999999997</v>
      </c>
      <c r="AT26" s="178">
        <f t="shared" si="41"/>
        <v>-41599.199999999997</v>
      </c>
      <c r="AU26" s="178">
        <f t="shared" si="41"/>
        <v>-41599.199999999997</v>
      </c>
      <c r="AV26" s="178">
        <f t="shared" si="41"/>
        <v>-41599.199999999997</v>
      </c>
      <c r="AW26" s="178">
        <f t="shared" si="41"/>
        <v>-41599.199999999997</v>
      </c>
      <c r="AX26" s="178">
        <f t="shared" si="41"/>
        <v>-41599.199999999997</v>
      </c>
      <c r="AY26" s="178">
        <f t="shared" si="41"/>
        <v>-41599.199999999997</v>
      </c>
      <c r="AZ26" s="178">
        <f t="shared" si="41"/>
        <v>-41599.199999999997</v>
      </c>
      <c r="BA26" s="178">
        <f t="shared" si="41"/>
        <v>-41599.199999999997</v>
      </c>
      <c r="BB26" s="178">
        <f t="shared" si="41"/>
        <v>-41599.199999999997</v>
      </c>
      <c r="BC26" s="178">
        <f t="shared" si="41"/>
        <v>-41599.199999999997</v>
      </c>
      <c r="BD26" s="178">
        <f t="shared" si="41"/>
        <v>-41599.199999999997</v>
      </c>
      <c r="BE26" s="178">
        <f t="shared" si="41"/>
        <v>-41599.199999999997</v>
      </c>
      <c r="BF26" s="178">
        <f t="shared" si="41"/>
        <v>-41599.199999999997</v>
      </c>
      <c r="BG26" s="178">
        <f t="shared" si="41"/>
        <v>-41599.199999999997</v>
      </c>
      <c r="BH26" s="178">
        <f t="shared" si="41"/>
        <v>-41599.199999999997</v>
      </c>
      <c r="BI26" s="178">
        <f t="shared" si="41"/>
        <v>-41599.199999999997</v>
      </c>
      <c r="BJ26" s="178">
        <f t="shared" si="41"/>
        <v>-41599.199999999997</v>
      </c>
      <c r="BK26" s="178">
        <f t="shared" si="41"/>
        <v>-41599.199999999997</v>
      </c>
      <c r="BL26" s="178">
        <f t="shared" si="41"/>
        <v>-41599.199999999997</v>
      </c>
      <c r="BM26" s="178">
        <f t="shared" si="41"/>
        <v>-41599.199999999997</v>
      </c>
      <c r="BN26" s="178">
        <f t="shared" si="41"/>
        <v>-41599.199999999997</v>
      </c>
      <c r="BO26" s="178">
        <f t="shared" si="41"/>
        <v>-41599.199999999997</v>
      </c>
      <c r="BP26" s="178">
        <f t="shared" si="41"/>
        <v>-41599.199999999997</v>
      </c>
      <c r="BQ26" s="178">
        <f t="shared" si="41"/>
        <v>-41599.199999999997</v>
      </c>
      <c r="BR26" s="178">
        <f t="shared" si="41"/>
        <v>-41599.199999999997</v>
      </c>
      <c r="BS26" s="178">
        <f t="shared" si="41"/>
        <v>-41599.199999999997</v>
      </c>
      <c r="BT26" s="178">
        <f t="shared" si="41"/>
        <v>-41599.199999999997</v>
      </c>
      <c r="BU26" s="178">
        <f t="shared" si="41"/>
        <v>-41599.199999999997</v>
      </c>
      <c r="BV26" s="178">
        <f t="shared" si="41"/>
        <v>-41599.199999999997</v>
      </c>
      <c r="BW26" s="178">
        <f t="shared" si="41"/>
        <v>-41599.199999999997</v>
      </c>
      <c r="BX26" s="178">
        <f t="shared" ref="BX26:CI26" si="42">(-1)*$G$9</f>
        <v>-41599.199999999997</v>
      </c>
      <c r="BY26" s="178">
        <f t="shared" si="42"/>
        <v>-41599.199999999997</v>
      </c>
      <c r="BZ26" s="178">
        <f t="shared" si="42"/>
        <v>-41599.199999999997</v>
      </c>
      <c r="CA26" s="178">
        <f t="shared" si="42"/>
        <v>-41599.199999999997</v>
      </c>
      <c r="CB26" s="178">
        <f t="shared" si="42"/>
        <v>-41599.199999999997</v>
      </c>
      <c r="CC26" s="178">
        <f t="shared" si="42"/>
        <v>-41599.199999999997</v>
      </c>
      <c r="CD26" s="178">
        <f t="shared" si="42"/>
        <v>-41599.199999999997</v>
      </c>
      <c r="CE26" s="178">
        <f t="shared" si="42"/>
        <v>-41599.199999999997</v>
      </c>
      <c r="CF26" s="178">
        <f t="shared" si="42"/>
        <v>-41599.199999999997</v>
      </c>
      <c r="CG26" s="178">
        <f t="shared" si="42"/>
        <v>-41599.199999999997</v>
      </c>
      <c r="CH26" s="178">
        <f t="shared" si="42"/>
        <v>-41599.199999999997</v>
      </c>
      <c r="CI26" s="178">
        <f t="shared" si="42"/>
        <v>-41599.199999999997</v>
      </c>
    </row>
    <row r="27" spans="1:87" x14ac:dyDescent="0.25">
      <c r="A27" s="147" t="s">
        <v>723</v>
      </c>
      <c r="B27" s="173">
        <f>B7*B23</f>
        <v>7902.2999999999993</v>
      </c>
      <c r="C27" s="174">
        <f>B27-B7</f>
        <v>-3386.7000000000007</v>
      </c>
      <c r="D27" s="170">
        <f t="shared" si="38"/>
        <v>-3386.7000000000007</v>
      </c>
      <c r="E27" s="175">
        <f t="shared" si="39"/>
        <v>0</v>
      </c>
      <c r="F27" s="176">
        <f t="shared" si="40"/>
        <v>-20320.200000000004</v>
      </c>
      <c r="G27" s="176"/>
      <c r="H27" s="176"/>
      <c r="I27" s="26"/>
      <c r="J27" s="179" t="s">
        <v>753</v>
      </c>
      <c r="K27" s="180">
        <f>IF(K14&gt;K6,$C$5*K6*(-1),K14*$C$5*(-1))</f>
        <v>-12558.43</v>
      </c>
      <c r="L27" s="180">
        <f t="shared" ref="L27:BW27" si="43">IF(L14&gt;L6,$C$5*L6*(-1),L14*$C$5*(-1))</f>
        <v>-12210.8</v>
      </c>
      <c r="M27" s="180">
        <f t="shared" si="43"/>
        <v>-12210.8</v>
      </c>
      <c r="N27" s="180">
        <f t="shared" si="43"/>
        <v>-12210.8</v>
      </c>
      <c r="O27" s="180">
        <f t="shared" si="43"/>
        <v>-12210.8</v>
      </c>
      <c r="P27" s="180">
        <f t="shared" si="43"/>
        <v>-12210.8</v>
      </c>
      <c r="Q27" s="180">
        <f t="shared" si="43"/>
        <v>-12210.8</v>
      </c>
      <c r="R27" s="180">
        <f t="shared" si="43"/>
        <v>-12204.789999999999</v>
      </c>
      <c r="S27" s="180">
        <f t="shared" si="43"/>
        <v>-12154.27</v>
      </c>
      <c r="T27" s="180">
        <f t="shared" si="43"/>
        <v>-12103.75</v>
      </c>
      <c r="U27" s="180">
        <f t="shared" si="43"/>
        <v>-12053.23</v>
      </c>
      <c r="V27" s="180">
        <f t="shared" si="43"/>
        <v>-12002.71</v>
      </c>
      <c r="W27" s="180">
        <f t="shared" si="43"/>
        <v>-11952.19</v>
      </c>
      <c r="X27" s="180">
        <f t="shared" si="43"/>
        <v>-11901.67</v>
      </c>
      <c r="Y27" s="180">
        <f t="shared" si="43"/>
        <v>-11851.15</v>
      </c>
      <c r="Z27" s="180">
        <f t="shared" si="43"/>
        <v>-11800.63</v>
      </c>
      <c r="AA27" s="180">
        <f t="shared" si="43"/>
        <v>-10620.567000000001</v>
      </c>
      <c r="AB27" s="180">
        <f t="shared" si="43"/>
        <v>-10570.047</v>
      </c>
      <c r="AC27" s="180">
        <f t="shared" si="43"/>
        <v>-10519.527000000002</v>
      </c>
      <c r="AD27" s="180">
        <f t="shared" si="43"/>
        <v>-10469.007000000001</v>
      </c>
      <c r="AE27" s="180">
        <f t="shared" si="43"/>
        <v>-10418.487000000001</v>
      </c>
      <c r="AF27" s="180">
        <f t="shared" si="43"/>
        <v>-10367.967000000001</v>
      </c>
      <c r="AG27" s="180">
        <f t="shared" si="43"/>
        <v>-10317.447000000002</v>
      </c>
      <c r="AH27" s="180">
        <f t="shared" si="43"/>
        <v>-10266.927000000001</v>
      </c>
      <c r="AI27" s="180">
        <f t="shared" si="43"/>
        <v>-10216.407000000001</v>
      </c>
      <c r="AJ27" s="180">
        <f t="shared" si="43"/>
        <v>-10165.887000000001</v>
      </c>
      <c r="AK27" s="180">
        <f t="shared" si="43"/>
        <v>-10115.367</v>
      </c>
      <c r="AL27" s="180">
        <f t="shared" si="43"/>
        <v>-10064.847000000002</v>
      </c>
      <c r="AM27" s="180">
        <f t="shared" si="43"/>
        <v>-10014.327000000001</v>
      </c>
      <c r="AN27" s="180">
        <f t="shared" si="43"/>
        <v>-9963.8070000000007</v>
      </c>
      <c r="AO27" s="180">
        <f t="shared" si="43"/>
        <v>-9913.2870000000003</v>
      </c>
      <c r="AP27" s="180">
        <f t="shared" si="43"/>
        <v>-9862.7670000000016</v>
      </c>
      <c r="AQ27" s="180">
        <f t="shared" si="43"/>
        <v>-8876.4903000000013</v>
      </c>
      <c r="AR27" s="180">
        <f t="shared" si="43"/>
        <v>-8825.9703000000009</v>
      </c>
      <c r="AS27" s="180">
        <f t="shared" si="43"/>
        <v>-8775.4503000000004</v>
      </c>
      <c r="AT27" s="180">
        <f t="shared" si="43"/>
        <v>-8724.9303000000018</v>
      </c>
      <c r="AU27" s="180">
        <f t="shared" si="43"/>
        <v>-8674.4103000000014</v>
      </c>
      <c r="AV27" s="180">
        <f t="shared" si="43"/>
        <v>-8623.8903000000009</v>
      </c>
      <c r="AW27" s="180">
        <f t="shared" si="43"/>
        <v>-8573.3703000000005</v>
      </c>
      <c r="AX27" s="180">
        <f t="shared" si="43"/>
        <v>-8522.8503000000019</v>
      </c>
      <c r="AY27" s="180">
        <f t="shared" si="43"/>
        <v>-8472.3303000000014</v>
      </c>
      <c r="AZ27" s="180">
        <f t="shared" si="43"/>
        <v>-8421.810300000001</v>
      </c>
      <c r="BA27" s="180">
        <f t="shared" si="43"/>
        <v>-8371.2903000000006</v>
      </c>
      <c r="BB27" s="180">
        <f t="shared" si="43"/>
        <v>-8320.770300000002</v>
      </c>
      <c r="BC27" s="180">
        <f t="shared" si="43"/>
        <v>-8270.2503000000015</v>
      </c>
      <c r="BD27" s="180">
        <f t="shared" si="43"/>
        <v>-8219.7303000000011</v>
      </c>
      <c r="BE27" s="180">
        <f t="shared" si="43"/>
        <v>-8169.2103000000016</v>
      </c>
      <c r="BF27" s="180">
        <f t="shared" si="43"/>
        <v>-8118.6903000000011</v>
      </c>
      <c r="BG27" s="180">
        <f t="shared" si="43"/>
        <v>-12207.659100000003</v>
      </c>
      <c r="BH27" s="180">
        <f t="shared" si="43"/>
        <v>-12207.659100000003</v>
      </c>
      <c r="BI27" s="180">
        <f t="shared" si="43"/>
        <v>-12207.659100000003</v>
      </c>
      <c r="BJ27" s="180">
        <f t="shared" si="43"/>
        <v>-12207.659100000003</v>
      </c>
      <c r="BK27" s="180">
        <f t="shared" si="43"/>
        <v>-12207.659100000003</v>
      </c>
      <c r="BL27" s="180">
        <f t="shared" si="43"/>
        <v>-12207.659100000003</v>
      </c>
      <c r="BM27" s="180">
        <f t="shared" si="43"/>
        <v>-12207.659100000003</v>
      </c>
      <c r="BN27" s="180">
        <f t="shared" si="43"/>
        <v>-12207.659100000003</v>
      </c>
      <c r="BO27" s="180">
        <f t="shared" si="43"/>
        <v>-12207.659100000003</v>
      </c>
      <c r="BP27" s="180">
        <f t="shared" si="43"/>
        <v>-12207.659100000003</v>
      </c>
      <c r="BQ27" s="180">
        <f t="shared" si="43"/>
        <v>-12207.659100000003</v>
      </c>
      <c r="BR27" s="180">
        <f t="shared" si="43"/>
        <v>-12207.659100000003</v>
      </c>
      <c r="BS27" s="180">
        <f t="shared" si="43"/>
        <v>-12207.659100000003</v>
      </c>
      <c r="BT27" s="180">
        <f t="shared" si="43"/>
        <v>-12207.659100000003</v>
      </c>
      <c r="BU27" s="180">
        <f t="shared" si="43"/>
        <v>-12207.659100000003</v>
      </c>
      <c r="BV27" s="180">
        <f t="shared" si="43"/>
        <v>-12207.659100000003</v>
      </c>
      <c r="BW27" s="180">
        <f t="shared" si="43"/>
        <v>-12207.659100000003</v>
      </c>
      <c r="BX27" s="180">
        <f t="shared" ref="BX27:CI27" si="44">IF(BX14&gt;BX6,$C$5*BX6*(-1),BX14*$C$5*(-1))</f>
        <v>-12207.659100000003</v>
      </c>
      <c r="BY27" s="180">
        <f t="shared" si="44"/>
        <v>-12207.659100000003</v>
      </c>
      <c r="BZ27" s="180">
        <f t="shared" si="44"/>
        <v>-12207.659100000003</v>
      </c>
      <c r="CA27" s="180">
        <f t="shared" si="44"/>
        <v>-12207.659100000003</v>
      </c>
      <c r="CB27" s="180">
        <f t="shared" si="44"/>
        <v>-12207.659100000003</v>
      </c>
      <c r="CC27" s="180">
        <f t="shared" si="44"/>
        <v>-12207.659100000003</v>
      </c>
      <c r="CD27" s="180">
        <f t="shared" si="44"/>
        <v>-12207.659100000003</v>
      </c>
      <c r="CE27" s="180">
        <f t="shared" si="44"/>
        <v>-12207.659100000003</v>
      </c>
      <c r="CF27" s="180">
        <f t="shared" si="44"/>
        <v>-12207.659100000003</v>
      </c>
      <c r="CG27" s="180">
        <f t="shared" si="44"/>
        <v>-12207.659100000003</v>
      </c>
      <c r="CH27" s="180">
        <f t="shared" si="44"/>
        <v>-12207.659100000003</v>
      </c>
      <c r="CI27" s="180">
        <f t="shared" si="44"/>
        <v>-12207.659100000003</v>
      </c>
    </row>
    <row r="28" spans="1:87" x14ac:dyDescent="0.25">
      <c r="A28" s="147" t="s">
        <v>725</v>
      </c>
      <c r="B28" s="173">
        <f>B8*B23</f>
        <v>977.9</v>
      </c>
      <c r="C28" s="174">
        <f>B28-B8</f>
        <v>-419.1</v>
      </c>
      <c r="D28" s="170">
        <f t="shared" si="38"/>
        <v>-1047.75</v>
      </c>
      <c r="E28" s="175">
        <f t="shared" si="39"/>
        <v>0</v>
      </c>
      <c r="F28" s="176">
        <f t="shared" si="40"/>
        <v>-2514.6000000000004</v>
      </c>
      <c r="G28" s="176"/>
      <c r="H28" s="176"/>
      <c r="I28" s="26"/>
      <c r="J28" s="179" t="s">
        <v>754</v>
      </c>
      <c r="K28" s="180">
        <f>IF(K15&gt;K7,$C$6*K7*(-1),K15*$C$6*(-1))</f>
        <v>-5700.5129999999999</v>
      </c>
      <c r="L28" s="180">
        <f t="shared" ref="L28:BW28" si="45">IF(L15&gt;L7,$C$6*L7*(-1),L15*$C$6*(-1))</f>
        <v>-5677.5809999999992</v>
      </c>
      <c r="M28" s="180">
        <f t="shared" si="45"/>
        <v>-5654.6489999999994</v>
      </c>
      <c r="N28" s="180">
        <f t="shared" si="45"/>
        <v>-5631.7169999999996</v>
      </c>
      <c r="O28" s="180">
        <f t="shared" si="45"/>
        <v>-5608.7849999999999</v>
      </c>
      <c r="P28" s="180">
        <f t="shared" si="45"/>
        <v>-5585.8530000000001</v>
      </c>
      <c r="Q28" s="180">
        <f t="shared" si="45"/>
        <v>-5562.9209999999994</v>
      </c>
      <c r="R28" s="180">
        <f t="shared" si="45"/>
        <v>-5539.9889999999996</v>
      </c>
      <c r="S28" s="180">
        <f t="shared" si="45"/>
        <v>-5517.0569999999998</v>
      </c>
      <c r="T28" s="180">
        <f t="shared" si="45"/>
        <v>-5494.125</v>
      </c>
      <c r="U28" s="180">
        <f t="shared" si="45"/>
        <v>-5471.1929999999993</v>
      </c>
      <c r="V28" s="180">
        <f t="shared" si="45"/>
        <v>-5448.2609999999995</v>
      </c>
      <c r="W28" s="180">
        <f t="shared" si="45"/>
        <v>-5425.3289999999997</v>
      </c>
      <c r="X28" s="180">
        <f t="shared" si="45"/>
        <v>-5402.3969999999999</v>
      </c>
      <c r="Y28" s="180">
        <f t="shared" si="45"/>
        <v>-5379.4649999999992</v>
      </c>
      <c r="Z28" s="180">
        <f t="shared" si="45"/>
        <v>-5356.5329999999994</v>
      </c>
      <c r="AA28" s="180">
        <f t="shared" si="45"/>
        <v>-4820.8797000000004</v>
      </c>
      <c r="AB28" s="180">
        <f t="shared" si="45"/>
        <v>-4797.9477000000006</v>
      </c>
      <c r="AC28" s="180">
        <f t="shared" si="45"/>
        <v>-4775.0156999999999</v>
      </c>
      <c r="AD28" s="180">
        <f t="shared" si="45"/>
        <v>-4752.0837000000001</v>
      </c>
      <c r="AE28" s="180">
        <f t="shared" si="45"/>
        <v>-4729.1517000000003</v>
      </c>
      <c r="AF28" s="180">
        <f t="shared" si="45"/>
        <v>-4706.2196999999996</v>
      </c>
      <c r="AG28" s="180">
        <f t="shared" si="45"/>
        <v>-4683.2877000000008</v>
      </c>
      <c r="AH28" s="180">
        <f t="shared" si="45"/>
        <v>-4660.3557000000001</v>
      </c>
      <c r="AI28" s="180">
        <f t="shared" si="45"/>
        <v>-4637.4237000000003</v>
      </c>
      <c r="AJ28" s="180">
        <f t="shared" si="45"/>
        <v>-4614.4916999999996</v>
      </c>
      <c r="AK28" s="180">
        <f t="shared" si="45"/>
        <v>-4591.5597000000007</v>
      </c>
      <c r="AL28" s="180">
        <f t="shared" si="45"/>
        <v>-4568.6277</v>
      </c>
      <c r="AM28" s="180">
        <f t="shared" si="45"/>
        <v>-4545.6957000000002</v>
      </c>
      <c r="AN28" s="180">
        <f t="shared" si="45"/>
        <v>-4522.7636999999995</v>
      </c>
      <c r="AO28" s="180">
        <f t="shared" si="45"/>
        <v>-4499.8317000000006</v>
      </c>
      <c r="AP28" s="180">
        <f t="shared" si="45"/>
        <v>-4476.8996999999999</v>
      </c>
      <c r="AQ28" s="180">
        <f t="shared" si="45"/>
        <v>-4029.2097300000005</v>
      </c>
      <c r="AR28" s="180">
        <f t="shared" si="45"/>
        <v>-4006.2777300000002</v>
      </c>
      <c r="AS28" s="180">
        <f t="shared" si="45"/>
        <v>-3983.34573</v>
      </c>
      <c r="AT28" s="180">
        <f t="shared" si="45"/>
        <v>-3960.4137300000007</v>
      </c>
      <c r="AU28" s="180">
        <f t="shared" si="45"/>
        <v>-3937.4817300000004</v>
      </c>
      <c r="AV28" s="180">
        <f t="shared" si="45"/>
        <v>-3914.5497300000002</v>
      </c>
      <c r="AW28" s="180">
        <f t="shared" si="45"/>
        <v>-3891.6177299999999</v>
      </c>
      <c r="AX28" s="180">
        <f t="shared" si="45"/>
        <v>-3868.6857300000006</v>
      </c>
      <c r="AY28" s="180">
        <f t="shared" si="45"/>
        <v>-3845.7537300000004</v>
      </c>
      <c r="AZ28" s="180">
        <f t="shared" si="45"/>
        <v>-3822.8217300000001</v>
      </c>
      <c r="BA28" s="180">
        <f t="shared" si="45"/>
        <v>-3799.8897299999999</v>
      </c>
      <c r="BB28" s="180">
        <f t="shared" si="45"/>
        <v>-3776.9577300000005</v>
      </c>
      <c r="BC28" s="180">
        <f t="shared" si="45"/>
        <v>-3754.0257300000003</v>
      </c>
      <c r="BD28" s="180">
        <f t="shared" si="45"/>
        <v>-3731.0937300000001</v>
      </c>
      <c r="BE28" s="180">
        <f t="shared" si="45"/>
        <v>-3708.1617300000003</v>
      </c>
      <c r="BF28" s="180">
        <f t="shared" si="45"/>
        <v>-3685.2297300000005</v>
      </c>
      <c r="BG28" s="180">
        <f t="shared" si="45"/>
        <v>-6559.9398900000006</v>
      </c>
      <c r="BH28" s="180">
        <f t="shared" si="45"/>
        <v>-6559.9398900000006</v>
      </c>
      <c r="BI28" s="180">
        <f t="shared" si="45"/>
        <v>-6559.9398900000006</v>
      </c>
      <c r="BJ28" s="180">
        <f t="shared" si="45"/>
        <v>-6559.9398900000006</v>
      </c>
      <c r="BK28" s="180">
        <f t="shared" si="45"/>
        <v>-6559.9398900000006</v>
      </c>
      <c r="BL28" s="180">
        <f t="shared" si="45"/>
        <v>-6559.9398900000006</v>
      </c>
      <c r="BM28" s="180">
        <f t="shared" si="45"/>
        <v>-6559.9398900000006</v>
      </c>
      <c r="BN28" s="180">
        <f t="shared" si="45"/>
        <v>-6559.9398900000006</v>
      </c>
      <c r="BO28" s="180">
        <f t="shared" si="45"/>
        <v>-6559.9398900000006</v>
      </c>
      <c r="BP28" s="180">
        <f t="shared" si="45"/>
        <v>-6559.9398900000006</v>
      </c>
      <c r="BQ28" s="180">
        <f t="shared" si="45"/>
        <v>-6559.9398900000006</v>
      </c>
      <c r="BR28" s="180">
        <f t="shared" si="45"/>
        <v>-6559.9398900000006</v>
      </c>
      <c r="BS28" s="180">
        <f t="shared" si="45"/>
        <v>-6559.9398900000006</v>
      </c>
      <c r="BT28" s="180">
        <f t="shared" si="45"/>
        <v>-6559.9398900000006</v>
      </c>
      <c r="BU28" s="180">
        <f t="shared" si="45"/>
        <v>-6559.9398900000006</v>
      </c>
      <c r="BV28" s="180">
        <f t="shared" si="45"/>
        <v>-6559.9398900000006</v>
      </c>
      <c r="BW28" s="180">
        <f t="shared" si="45"/>
        <v>-6559.9398900000006</v>
      </c>
      <c r="BX28" s="180">
        <f t="shared" ref="BX28:CI28" si="46">IF(BX15&gt;BX7,$C$6*BX7*(-1),BX15*$C$6*(-1))</f>
        <v>-6559.9398900000006</v>
      </c>
      <c r="BY28" s="180">
        <f t="shared" si="46"/>
        <v>-6559.9398900000006</v>
      </c>
      <c r="BZ28" s="180">
        <f t="shared" si="46"/>
        <v>-6559.9398900000006</v>
      </c>
      <c r="CA28" s="180">
        <f t="shared" si="46"/>
        <v>-6559.9398900000006</v>
      </c>
      <c r="CB28" s="180">
        <f t="shared" si="46"/>
        <v>-6559.9398900000006</v>
      </c>
      <c r="CC28" s="180">
        <f t="shared" si="46"/>
        <v>-6559.9398900000006</v>
      </c>
      <c r="CD28" s="180">
        <f t="shared" si="46"/>
        <v>-6559.9398900000006</v>
      </c>
      <c r="CE28" s="180">
        <f t="shared" si="46"/>
        <v>-6559.9398900000006</v>
      </c>
      <c r="CF28" s="180">
        <f t="shared" si="46"/>
        <v>-6559.9398900000006</v>
      </c>
      <c r="CG28" s="180">
        <f t="shared" si="46"/>
        <v>-6559.9398900000006</v>
      </c>
      <c r="CH28" s="180">
        <f t="shared" si="46"/>
        <v>-6559.9398900000006</v>
      </c>
      <c r="CI28" s="180">
        <f t="shared" si="46"/>
        <v>-6559.9398900000006</v>
      </c>
    </row>
    <row r="29" spans="1:87" x14ac:dyDescent="0.25">
      <c r="A29" s="26"/>
      <c r="B29" s="26"/>
      <c r="C29" s="142"/>
      <c r="D29" s="142"/>
      <c r="E29" s="142"/>
      <c r="F29" s="26"/>
      <c r="G29" s="26"/>
      <c r="H29" s="26"/>
      <c r="I29" s="26"/>
      <c r="J29" s="179" t="s">
        <v>755</v>
      </c>
      <c r="K29" s="180">
        <f>IF(K16&gt;K8,$C$7*K8*(-1),K16*$C$7*(-1))</f>
        <v>-5121.5126999999993</v>
      </c>
      <c r="L29" s="180">
        <f t="shared" ref="L29:BW29" si="47">IF(L16&gt;L8,$C$7*L8*(-1),L16*$C$7*(-1))</f>
        <v>-5100.9098999999997</v>
      </c>
      <c r="M29" s="180">
        <f t="shared" si="47"/>
        <v>-5080.3071</v>
      </c>
      <c r="N29" s="180">
        <f t="shared" si="47"/>
        <v>-5059.7042999999994</v>
      </c>
      <c r="O29" s="180">
        <f t="shared" si="47"/>
        <v>-5039.1014999999998</v>
      </c>
      <c r="P29" s="180">
        <f t="shared" si="47"/>
        <v>-5018.4986999999992</v>
      </c>
      <c r="Q29" s="180">
        <f t="shared" si="47"/>
        <v>-4997.8958999999995</v>
      </c>
      <c r="R29" s="180">
        <f t="shared" si="47"/>
        <v>-4977.2930999999999</v>
      </c>
      <c r="S29" s="180">
        <f t="shared" si="47"/>
        <v>-4956.6902999999993</v>
      </c>
      <c r="T29" s="180">
        <f t="shared" si="47"/>
        <v>-4936.0874999999996</v>
      </c>
      <c r="U29" s="180">
        <f t="shared" si="47"/>
        <v>-4915.4847</v>
      </c>
      <c r="V29" s="180">
        <f t="shared" si="47"/>
        <v>-4894.8818999999994</v>
      </c>
      <c r="W29" s="180">
        <f t="shared" si="47"/>
        <v>-4874.2790999999997</v>
      </c>
      <c r="X29" s="180">
        <f t="shared" si="47"/>
        <v>-4853.6763000000001</v>
      </c>
      <c r="Y29" s="180">
        <f t="shared" si="47"/>
        <v>-4833.0734999999995</v>
      </c>
      <c r="Z29" s="180">
        <f t="shared" si="47"/>
        <v>-4812.4706999999999</v>
      </c>
      <c r="AA29" s="180">
        <f t="shared" si="47"/>
        <v>-4331.2236300000004</v>
      </c>
      <c r="AB29" s="180">
        <f t="shared" si="47"/>
        <v>-4310.6208299999998</v>
      </c>
      <c r="AC29" s="180">
        <f t="shared" si="47"/>
        <v>-4290.0180300000002</v>
      </c>
      <c r="AD29" s="180">
        <f t="shared" si="47"/>
        <v>-4269.4152300000005</v>
      </c>
      <c r="AE29" s="180">
        <f t="shared" si="47"/>
        <v>-4248.8124299999999</v>
      </c>
      <c r="AF29" s="180">
        <f t="shared" si="47"/>
        <v>-4228.2096300000003</v>
      </c>
      <c r="AG29" s="180">
        <f t="shared" si="47"/>
        <v>-4207.6068299999997</v>
      </c>
      <c r="AH29" s="180">
        <f t="shared" si="47"/>
        <v>-4187.0040300000001</v>
      </c>
      <c r="AI29" s="180">
        <f t="shared" si="47"/>
        <v>-4166.4012300000004</v>
      </c>
      <c r="AJ29" s="180">
        <f t="shared" si="47"/>
        <v>-4145.7984299999998</v>
      </c>
      <c r="AK29" s="180">
        <f t="shared" si="47"/>
        <v>-4125.1956300000002</v>
      </c>
      <c r="AL29" s="180">
        <f t="shared" si="47"/>
        <v>-4104.5928300000005</v>
      </c>
      <c r="AM29" s="180">
        <f t="shared" si="47"/>
        <v>-4083.9900300000004</v>
      </c>
      <c r="AN29" s="180">
        <f t="shared" si="47"/>
        <v>-4063.3872300000003</v>
      </c>
      <c r="AO29" s="180">
        <f t="shared" si="47"/>
        <v>-4042.7844300000002</v>
      </c>
      <c r="AP29" s="180">
        <f t="shared" si="47"/>
        <v>-4022.18163</v>
      </c>
      <c r="AQ29" s="180">
        <f t="shared" si="47"/>
        <v>-3619.963467</v>
      </c>
      <c r="AR29" s="180">
        <f t="shared" si="47"/>
        <v>-3599.3606670000004</v>
      </c>
      <c r="AS29" s="180">
        <f t="shared" si="47"/>
        <v>-3578.7578670000003</v>
      </c>
      <c r="AT29" s="180">
        <f t="shared" si="47"/>
        <v>-3558.1550670000001</v>
      </c>
      <c r="AU29" s="180">
        <f t="shared" si="47"/>
        <v>-3537.552267</v>
      </c>
      <c r="AV29" s="180">
        <f t="shared" si="47"/>
        <v>-3516.9494670000004</v>
      </c>
      <c r="AW29" s="180">
        <f t="shared" si="47"/>
        <v>-3496.3466670000003</v>
      </c>
      <c r="AX29" s="180">
        <f t="shared" si="47"/>
        <v>-3475.7438670000001</v>
      </c>
      <c r="AY29" s="180">
        <f t="shared" si="47"/>
        <v>-3455.141067</v>
      </c>
      <c r="AZ29" s="180">
        <f t="shared" si="47"/>
        <v>-3434.5382670000004</v>
      </c>
      <c r="BA29" s="180">
        <f t="shared" si="47"/>
        <v>-3413.9354670000002</v>
      </c>
      <c r="BB29" s="180">
        <f t="shared" si="47"/>
        <v>-3393.3326670000001</v>
      </c>
      <c r="BC29" s="180">
        <f t="shared" si="47"/>
        <v>-3372.7298670000005</v>
      </c>
      <c r="BD29" s="180">
        <f t="shared" si="47"/>
        <v>-3352.1270670000004</v>
      </c>
      <c r="BE29" s="180">
        <f t="shared" si="47"/>
        <v>-3331.5242670000002</v>
      </c>
      <c r="BF29" s="180">
        <f t="shared" si="47"/>
        <v>-3310.9214670000001</v>
      </c>
      <c r="BG29" s="180">
        <f t="shared" si="47"/>
        <v>-7900.4826750000002</v>
      </c>
      <c r="BH29" s="180">
        <f t="shared" si="47"/>
        <v>-7900.4826750000002</v>
      </c>
      <c r="BI29" s="180">
        <f t="shared" si="47"/>
        <v>-7900.4826750000002</v>
      </c>
      <c r="BJ29" s="180">
        <f t="shared" si="47"/>
        <v>-7900.4826750000002</v>
      </c>
      <c r="BK29" s="180">
        <f t="shared" si="47"/>
        <v>-7900.4826750000002</v>
      </c>
      <c r="BL29" s="180">
        <f t="shared" si="47"/>
        <v>-7900.4826750000002</v>
      </c>
      <c r="BM29" s="180">
        <f t="shared" si="47"/>
        <v>-7900.4826750000002</v>
      </c>
      <c r="BN29" s="180">
        <f t="shared" si="47"/>
        <v>-7900.4826750000002</v>
      </c>
      <c r="BO29" s="180">
        <f t="shared" si="47"/>
        <v>-7900.4826750000002</v>
      </c>
      <c r="BP29" s="180">
        <f t="shared" si="47"/>
        <v>-7900.4826750000002</v>
      </c>
      <c r="BQ29" s="180">
        <f t="shared" si="47"/>
        <v>-7900.4826750000002</v>
      </c>
      <c r="BR29" s="180">
        <f t="shared" si="47"/>
        <v>-7900.4826750000002</v>
      </c>
      <c r="BS29" s="180">
        <f t="shared" si="47"/>
        <v>-7900.4826750000002</v>
      </c>
      <c r="BT29" s="180">
        <f t="shared" si="47"/>
        <v>-7900.4826750000002</v>
      </c>
      <c r="BU29" s="180">
        <f t="shared" si="47"/>
        <v>-7900.4826750000002</v>
      </c>
      <c r="BV29" s="180">
        <f t="shared" si="47"/>
        <v>-7900.4826750000002</v>
      </c>
      <c r="BW29" s="180">
        <f t="shared" si="47"/>
        <v>-7900.4826750000002</v>
      </c>
      <c r="BX29" s="180">
        <f t="shared" ref="BX29:CI29" si="48">IF(BX16&gt;BX8,$C$7*BX8*(-1),BX16*$C$7*(-1))</f>
        <v>-7900.4826750000002</v>
      </c>
      <c r="BY29" s="180">
        <f t="shared" si="48"/>
        <v>-7900.4826750000002</v>
      </c>
      <c r="BZ29" s="180">
        <f t="shared" si="48"/>
        <v>-7900.4826750000002</v>
      </c>
      <c r="CA29" s="180">
        <f t="shared" si="48"/>
        <v>-7900.4826750000002</v>
      </c>
      <c r="CB29" s="180">
        <f t="shared" si="48"/>
        <v>-7900.4826750000002</v>
      </c>
      <c r="CC29" s="180">
        <f t="shared" si="48"/>
        <v>-7900.4826750000002</v>
      </c>
      <c r="CD29" s="180">
        <f t="shared" si="48"/>
        <v>-7900.4826750000002</v>
      </c>
      <c r="CE29" s="180">
        <f t="shared" si="48"/>
        <v>-7900.4826750000002</v>
      </c>
      <c r="CF29" s="180">
        <f t="shared" si="48"/>
        <v>-7900.4826750000002</v>
      </c>
      <c r="CG29" s="180">
        <f t="shared" si="48"/>
        <v>-7900.4826750000002</v>
      </c>
      <c r="CH29" s="180">
        <f t="shared" si="48"/>
        <v>-7900.4826750000002</v>
      </c>
      <c r="CI29" s="180">
        <f t="shared" si="48"/>
        <v>-7900.4826750000002</v>
      </c>
    </row>
    <row r="30" spans="1:87" x14ac:dyDescent="0.25">
      <c r="A30" s="181"/>
      <c r="B30" s="26"/>
      <c r="C30" s="142"/>
      <c r="D30" s="182" t="s">
        <v>756</v>
      </c>
      <c r="E30" s="183">
        <f>K40</f>
        <v>-119737.00000000001</v>
      </c>
      <c r="F30" s="26"/>
      <c r="G30" s="26"/>
      <c r="H30" s="26"/>
      <c r="I30" s="26"/>
      <c r="J30" s="179" t="s">
        <v>757</v>
      </c>
      <c r="K30" s="180">
        <f>IF(K17&gt;K9,$C$8*K9*(-1),K17*$C$8*(-1))</f>
        <v>-1342.35</v>
      </c>
      <c r="L30" s="180">
        <f t="shared" ref="L30:BW30" si="49">IF(L17&gt;L9,$C$8*L9*(-1),L17*$C$8*(-1))</f>
        <v>-1336.9499999999998</v>
      </c>
      <c r="M30" s="180">
        <f t="shared" si="49"/>
        <v>-1331.55</v>
      </c>
      <c r="N30" s="180">
        <f t="shared" si="49"/>
        <v>-1326.15</v>
      </c>
      <c r="O30" s="180">
        <f t="shared" si="49"/>
        <v>-1320.75</v>
      </c>
      <c r="P30" s="180">
        <f t="shared" si="49"/>
        <v>-1315.35</v>
      </c>
      <c r="Q30" s="180">
        <f t="shared" si="49"/>
        <v>-1309.95</v>
      </c>
      <c r="R30" s="180">
        <f t="shared" si="49"/>
        <v>-1304.5499999999997</v>
      </c>
      <c r="S30" s="180">
        <f t="shared" si="49"/>
        <v>-1299.1499999999999</v>
      </c>
      <c r="T30" s="180">
        <f t="shared" si="49"/>
        <v>-1293.75</v>
      </c>
      <c r="U30" s="180">
        <f t="shared" si="49"/>
        <v>-1288.3500000000001</v>
      </c>
      <c r="V30" s="180">
        <f t="shared" si="49"/>
        <v>-1282.9499999999998</v>
      </c>
      <c r="W30" s="180">
        <f t="shared" si="49"/>
        <v>-1277.55</v>
      </c>
      <c r="X30" s="180">
        <f t="shared" si="49"/>
        <v>-1272.1499999999999</v>
      </c>
      <c r="Y30" s="180">
        <f t="shared" si="49"/>
        <v>-1266.75</v>
      </c>
      <c r="Z30" s="180">
        <f t="shared" si="49"/>
        <v>-1261.3499999999999</v>
      </c>
      <c r="AA30" s="180">
        <f t="shared" si="49"/>
        <v>-1135.2150000000001</v>
      </c>
      <c r="AB30" s="180">
        <f t="shared" si="49"/>
        <v>-1129.8150000000001</v>
      </c>
      <c r="AC30" s="180">
        <f t="shared" si="49"/>
        <v>-1124.415</v>
      </c>
      <c r="AD30" s="180">
        <f t="shared" si="49"/>
        <v>-1119.0150000000001</v>
      </c>
      <c r="AE30" s="180">
        <f t="shared" si="49"/>
        <v>-1113.615</v>
      </c>
      <c r="AF30" s="180">
        <f t="shared" si="49"/>
        <v>-1108.2150000000001</v>
      </c>
      <c r="AG30" s="180">
        <f t="shared" si="49"/>
        <v>-1102.8150000000001</v>
      </c>
      <c r="AH30" s="180">
        <f t="shared" si="49"/>
        <v>-1097.415</v>
      </c>
      <c r="AI30" s="180">
        <f t="shared" si="49"/>
        <v>-1092.0150000000001</v>
      </c>
      <c r="AJ30" s="180">
        <f t="shared" si="49"/>
        <v>-1086.615</v>
      </c>
      <c r="AK30" s="180">
        <f t="shared" si="49"/>
        <v>-1081.2150000000001</v>
      </c>
      <c r="AL30" s="180">
        <f t="shared" si="49"/>
        <v>-1075.8150000000001</v>
      </c>
      <c r="AM30" s="180">
        <f t="shared" si="49"/>
        <v>-1070.4150000000002</v>
      </c>
      <c r="AN30" s="180">
        <f t="shared" si="49"/>
        <v>-1065.0150000000001</v>
      </c>
      <c r="AO30" s="180">
        <f t="shared" si="49"/>
        <v>-1059.6150000000002</v>
      </c>
      <c r="AP30" s="180">
        <f t="shared" si="49"/>
        <v>-1054.2150000000001</v>
      </c>
      <c r="AQ30" s="180">
        <f t="shared" si="49"/>
        <v>-948.79350000000022</v>
      </c>
      <c r="AR30" s="180">
        <f t="shared" si="49"/>
        <v>-943.39350000000013</v>
      </c>
      <c r="AS30" s="180">
        <f t="shared" si="49"/>
        <v>-937.99350000000004</v>
      </c>
      <c r="AT30" s="180">
        <f t="shared" si="49"/>
        <v>-932.59350000000018</v>
      </c>
      <c r="AU30" s="180">
        <f t="shared" si="49"/>
        <v>-927.19350000000009</v>
      </c>
      <c r="AV30" s="180">
        <f t="shared" si="49"/>
        <v>-921.79350000000011</v>
      </c>
      <c r="AW30" s="180">
        <f t="shared" si="49"/>
        <v>-916.39350000000013</v>
      </c>
      <c r="AX30" s="180">
        <f t="shared" si="49"/>
        <v>-910.99350000000015</v>
      </c>
      <c r="AY30" s="180">
        <f t="shared" si="49"/>
        <v>-905.59350000000006</v>
      </c>
      <c r="AZ30" s="180">
        <f t="shared" si="49"/>
        <v>-900.19350000000009</v>
      </c>
      <c r="BA30" s="180">
        <f t="shared" si="49"/>
        <v>-894.79350000000011</v>
      </c>
      <c r="BB30" s="180">
        <f t="shared" si="49"/>
        <v>-889.39350000000002</v>
      </c>
      <c r="BC30" s="180">
        <f t="shared" si="49"/>
        <v>-883.99350000000015</v>
      </c>
      <c r="BD30" s="180">
        <f t="shared" si="49"/>
        <v>-878.59350000000006</v>
      </c>
      <c r="BE30" s="180">
        <f t="shared" si="49"/>
        <v>-873.19350000000009</v>
      </c>
      <c r="BF30" s="180">
        <f t="shared" si="49"/>
        <v>-867.79350000000011</v>
      </c>
      <c r="BG30" s="180">
        <f t="shared" si="49"/>
        <v>-2443.4482500000004</v>
      </c>
      <c r="BH30" s="180">
        <f t="shared" si="49"/>
        <v>-2443.4482500000004</v>
      </c>
      <c r="BI30" s="180">
        <f t="shared" si="49"/>
        <v>-2443.4482500000004</v>
      </c>
      <c r="BJ30" s="180">
        <f t="shared" si="49"/>
        <v>-2443.4482500000004</v>
      </c>
      <c r="BK30" s="180">
        <f t="shared" si="49"/>
        <v>-2443.4482500000004</v>
      </c>
      <c r="BL30" s="180">
        <f t="shared" si="49"/>
        <v>-2443.4482500000004</v>
      </c>
      <c r="BM30" s="180">
        <f t="shared" si="49"/>
        <v>-2443.4482500000004</v>
      </c>
      <c r="BN30" s="180">
        <f t="shared" si="49"/>
        <v>-2443.4482500000004</v>
      </c>
      <c r="BO30" s="180">
        <f t="shared" si="49"/>
        <v>-2443.4482500000004</v>
      </c>
      <c r="BP30" s="180">
        <f t="shared" si="49"/>
        <v>-2443.4482500000004</v>
      </c>
      <c r="BQ30" s="180">
        <f t="shared" si="49"/>
        <v>-2443.4482500000004</v>
      </c>
      <c r="BR30" s="180">
        <f t="shared" si="49"/>
        <v>-2443.4482500000004</v>
      </c>
      <c r="BS30" s="180">
        <f t="shared" si="49"/>
        <v>-2443.4482500000004</v>
      </c>
      <c r="BT30" s="180">
        <f t="shared" si="49"/>
        <v>-2443.4482500000004</v>
      </c>
      <c r="BU30" s="180">
        <f t="shared" si="49"/>
        <v>-2443.4482500000004</v>
      </c>
      <c r="BV30" s="180">
        <f t="shared" si="49"/>
        <v>-2443.4482500000004</v>
      </c>
      <c r="BW30" s="180">
        <f t="shared" si="49"/>
        <v>-2443.4482500000004</v>
      </c>
      <c r="BX30" s="180">
        <f t="shared" ref="BX30:CI30" si="50">IF(BX17&gt;BX9,$C$8*BX9*(-1),BX17*$C$8*(-1))</f>
        <v>-2443.4482500000004</v>
      </c>
      <c r="BY30" s="180">
        <f t="shared" si="50"/>
        <v>-2443.4482500000004</v>
      </c>
      <c r="BZ30" s="180">
        <f t="shared" si="50"/>
        <v>-2443.4482500000004</v>
      </c>
      <c r="CA30" s="180">
        <f t="shared" si="50"/>
        <v>-2443.4482500000004</v>
      </c>
      <c r="CB30" s="180">
        <f t="shared" si="50"/>
        <v>-2443.4482500000004</v>
      </c>
      <c r="CC30" s="180">
        <f t="shared" si="50"/>
        <v>-2443.4482500000004</v>
      </c>
      <c r="CD30" s="180">
        <f t="shared" si="50"/>
        <v>-2443.4482500000004</v>
      </c>
      <c r="CE30" s="180">
        <f t="shared" si="50"/>
        <v>-2443.4482500000004</v>
      </c>
      <c r="CF30" s="180">
        <f t="shared" si="50"/>
        <v>-2443.4482500000004</v>
      </c>
      <c r="CG30" s="180">
        <f t="shared" si="50"/>
        <v>-2443.4482500000004</v>
      </c>
      <c r="CH30" s="180">
        <f t="shared" si="50"/>
        <v>-2443.4482500000004</v>
      </c>
      <c r="CI30" s="180">
        <f t="shared" si="50"/>
        <v>-2443.4482500000004</v>
      </c>
    </row>
    <row r="31" spans="1:87" x14ac:dyDescent="0.25">
      <c r="A31" s="26"/>
      <c r="B31" s="26"/>
      <c r="C31" s="142"/>
      <c r="D31" s="142" t="s">
        <v>758</v>
      </c>
      <c r="E31" s="184">
        <f>BV44</f>
        <v>660374.78000000014</v>
      </c>
      <c r="F31" s="26"/>
      <c r="G31" s="26"/>
      <c r="H31" s="26"/>
      <c r="I31" s="26"/>
      <c r="J31" s="179" t="s">
        <v>759</v>
      </c>
      <c r="K31" s="180">
        <f>IF(K14&gt;K6,$C$5*(K14-K6)*(-1),0)</f>
        <v>-4885.57</v>
      </c>
      <c r="L31" s="180">
        <f t="shared" ref="L31:BW31" si="51">IF(L14&gt;L6,$C$5*(L14-L6)*(-1),0)</f>
        <v>0</v>
      </c>
      <c r="M31" s="180">
        <f t="shared" si="51"/>
        <v>0</v>
      </c>
      <c r="N31" s="180">
        <f t="shared" si="51"/>
        <v>0</v>
      </c>
      <c r="O31" s="180">
        <f t="shared" si="51"/>
        <v>0</v>
      </c>
      <c r="P31" s="180">
        <f t="shared" si="51"/>
        <v>0</v>
      </c>
      <c r="Q31" s="180">
        <f t="shared" si="51"/>
        <v>0</v>
      </c>
      <c r="R31" s="180">
        <f t="shared" si="51"/>
        <v>-6.0100000000002183</v>
      </c>
      <c r="S31" s="180">
        <f t="shared" si="51"/>
        <v>-56.529999999998836</v>
      </c>
      <c r="T31" s="180">
        <f t="shared" si="51"/>
        <v>-107.04999999999927</v>
      </c>
      <c r="U31" s="180">
        <f t="shared" si="51"/>
        <v>-157.56999999999971</v>
      </c>
      <c r="V31" s="180">
        <f t="shared" si="51"/>
        <v>-208.09000000000015</v>
      </c>
      <c r="W31" s="180">
        <f t="shared" si="51"/>
        <v>-258.60999999999876</v>
      </c>
      <c r="X31" s="180">
        <f t="shared" si="51"/>
        <v>-309.1299999999992</v>
      </c>
      <c r="Y31" s="180">
        <f t="shared" si="51"/>
        <v>-359.64999999999964</v>
      </c>
      <c r="Z31" s="180">
        <f t="shared" si="51"/>
        <v>-410.17000000000007</v>
      </c>
      <c r="AA31" s="180">
        <f t="shared" si="51"/>
        <v>-1590.2329999999984</v>
      </c>
      <c r="AB31" s="180">
        <f t="shared" si="51"/>
        <v>-1640.7529999999988</v>
      </c>
      <c r="AC31" s="180">
        <f t="shared" si="51"/>
        <v>-1691.2729999999974</v>
      </c>
      <c r="AD31" s="180">
        <f t="shared" si="51"/>
        <v>-1741.7929999999978</v>
      </c>
      <c r="AE31" s="180">
        <f t="shared" si="51"/>
        <v>-1792.3129999999983</v>
      </c>
      <c r="AF31" s="180">
        <f t="shared" si="51"/>
        <v>-1842.8329999999987</v>
      </c>
      <c r="AG31" s="180">
        <f t="shared" si="51"/>
        <v>-1893.3529999999973</v>
      </c>
      <c r="AH31" s="180">
        <f t="shared" si="51"/>
        <v>-1943.8729999999978</v>
      </c>
      <c r="AI31" s="180">
        <f t="shared" si="51"/>
        <v>-1994.3929999999982</v>
      </c>
      <c r="AJ31" s="180">
        <f t="shared" si="51"/>
        <v>-2044.9129999999986</v>
      </c>
      <c r="AK31" s="180">
        <f t="shared" si="51"/>
        <v>-2095.4329999999991</v>
      </c>
      <c r="AL31" s="180">
        <f t="shared" si="51"/>
        <v>-2145.9529999999977</v>
      </c>
      <c r="AM31" s="180">
        <f t="shared" si="51"/>
        <v>-2196.4729999999981</v>
      </c>
      <c r="AN31" s="180">
        <f t="shared" si="51"/>
        <v>-2246.9929999999986</v>
      </c>
      <c r="AO31" s="180">
        <f t="shared" si="51"/>
        <v>-2297.512999999999</v>
      </c>
      <c r="AP31" s="180">
        <f t="shared" si="51"/>
        <v>-2348.0329999999976</v>
      </c>
      <c r="AQ31" s="180">
        <f t="shared" si="51"/>
        <v>-3334.309699999998</v>
      </c>
      <c r="AR31" s="180">
        <f t="shared" si="51"/>
        <v>-3384.8296999999984</v>
      </c>
      <c r="AS31" s="180">
        <f t="shared" si="51"/>
        <v>-3435.3496999999988</v>
      </c>
      <c r="AT31" s="180">
        <f t="shared" si="51"/>
        <v>-3485.8696999999975</v>
      </c>
      <c r="AU31" s="180">
        <f t="shared" si="51"/>
        <v>-3536.3896999999979</v>
      </c>
      <c r="AV31" s="180">
        <f t="shared" si="51"/>
        <v>-3586.9096999999983</v>
      </c>
      <c r="AW31" s="180">
        <f t="shared" si="51"/>
        <v>-3637.4296999999988</v>
      </c>
      <c r="AX31" s="180">
        <f t="shared" si="51"/>
        <v>-3687.9496999999974</v>
      </c>
      <c r="AY31" s="180">
        <f t="shared" si="51"/>
        <v>-3738.4696999999978</v>
      </c>
      <c r="AZ31" s="180">
        <f t="shared" si="51"/>
        <v>-3788.9896999999983</v>
      </c>
      <c r="BA31" s="180">
        <f t="shared" si="51"/>
        <v>-3839.5096999999987</v>
      </c>
      <c r="BB31" s="180">
        <f t="shared" si="51"/>
        <v>-3890.0296999999973</v>
      </c>
      <c r="BC31" s="180">
        <f t="shared" si="51"/>
        <v>-3940.5496999999978</v>
      </c>
      <c r="BD31" s="180">
        <f t="shared" si="51"/>
        <v>-3991.0696999999982</v>
      </c>
      <c r="BE31" s="180">
        <f t="shared" si="51"/>
        <v>-4041.5896999999977</v>
      </c>
      <c r="BF31" s="180">
        <f t="shared" si="51"/>
        <v>-4092.1096999999982</v>
      </c>
      <c r="BG31" s="180">
        <f t="shared" si="51"/>
        <v>-3.1408999999966909</v>
      </c>
      <c r="BH31" s="180">
        <f t="shared" si="51"/>
        <v>-3.1408999999966909</v>
      </c>
      <c r="BI31" s="180">
        <f t="shared" si="51"/>
        <v>-3.1408999999966909</v>
      </c>
      <c r="BJ31" s="180">
        <f t="shared" si="51"/>
        <v>-3.1408999999966909</v>
      </c>
      <c r="BK31" s="180">
        <f t="shared" si="51"/>
        <v>-3.1408999999966909</v>
      </c>
      <c r="BL31" s="180">
        <f t="shared" si="51"/>
        <v>-3.1408999999966909</v>
      </c>
      <c r="BM31" s="180">
        <f t="shared" si="51"/>
        <v>-3.1408999999966909</v>
      </c>
      <c r="BN31" s="180">
        <f t="shared" si="51"/>
        <v>-3.1408999999966909</v>
      </c>
      <c r="BO31" s="180">
        <f t="shared" si="51"/>
        <v>-3.1408999999966909</v>
      </c>
      <c r="BP31" s="180">
        <f t="shared" si="51"/>
        <v>-3.1408999999966909</v>
      </c>
      <c r="BQ31" s="180">
        <f t="shared" si="51"/>
        <v>-3.1408999999966909</v>
      </c>
      <c r="BR31" s="180">
        <f t="shared" si="51"/>
        <v>-3.1408999999966909</v>
      </c>
      <c r="BS31" s="180">
        <f t="shared" si="51"/>
        <v>-3.1408999999966909</v>
      </c>
      <c r="BT31" s="180">
        <f t="shared" si="51"/>
        <v>-3.1408999999966909</v>
      </c>
      <c r="BU31" s="180">
        <f t="shared" si="51"/>
        <v>-3.1408999999966909</v>
      </c>
      <c r="BV31" s="180">
        <f t="shared" si="51"/>
        <v>-3.1408999999966909</v>
      </c>
      <c r="BW31" s="180">
        <f t="shared" si="51"/>
        <v>-3.1408999999966909</v>
      </c>
      <c r="BX31" s="180">
        <f t="shared" ref="BX31:CI31" si="52">IF(BX14&gt;BX6,$C$5*(BX14-BX6)*(-1),0)</f>
        <v>-3.1408999999966909</v>
      </c>
      <c r="BY31" s="180">
        <f t="shared" si="52"/>
        <v>-3.1408999999966909</v>
      </c>
      <c r="BZ31" s="180">
        <f t="shared" si="52"/>
        <v>-3.1408999999966909</v>
      </c>
      <c r="CA31" s="180">
        <f t="shared" si="52"/>
        <v>-3.1408999999966909</v>
      </c>
      <c r="CB31" s="180">
        <f t="shared" si="52"/>
        <v>-3.1408999999966909</v>
      </c>
      <c r="CC31" s="180">
        <f t="shared" si="52"/>
        <v>-3.1408999999966909</v>
      </c>
      <c r="CD31" s="180">
        <f t="shared" si="52"/>
        <v>-3.1408999999966909</v>
      </c>
      <c r="CE31" s="180">
        <f t="shared" si="52"/>
        <v>-3.1408999999966909</v>
      </c>
      <c r="CF31" s="180">
        <f t="shared" si="52"/>
        <v>-3.1408999999966909</v>
      </c>
      <c r="CG31" s="180">
        <f t="shared" si="52"/>
        <v>-3.1408999999966909</v>
      </c>
      <c r="CH31" s="180">
        <f t="shared" si="52"/>
        <v>-3.1408999999966909</v>
      </c>
      <c r="CI31" s="180">
        <f t="shared" si="52"/>
        <v>-3.1408999999966909</v>
      </c>
    </row>
    <row r="32" spans="1:87" x14ac:dyDescent="0.25">
      <c r="A32" s="26"/>
      <c r="B32" s="26"/>
      <c r="C32" s="142"/>
      <c r="D32" s="142"/>
      <c r="E32" s="142"/>
      <c r="F32" s="26"/>
      <c r="G32" s="26"/>
      <c r="H32" s="26"/>
      <c r="I32" s="26"/>
      <c r="J32" s="179" t="s">
        <v>760</v>
      </c>
      <c r="K32" s="180">
        <f>IF(K15&gt;K7,$C$6*(K15-K7)*(-1),0)</f>
        <v>-3673.1869999999994</v>
      </c>
      <c r="L32" s="180">
        <f t="shared" ref="L32:BW32" si="53">IF(L15&gt;L7,$C$6*(L15-L7)*(-1),0)</f>
        <v>-884.00899999999922</v>
      </c>
      <c r="M32" s="180">
        <f t="shared" si="53"/>
        <v>-906.94099999999935</v>
      </c>
      <c r="N32" s="180">
        <f t="shared" si="53"/>
        <v>-929.87299999999891</v>
      </c>
      <c r="O32" s="180">
        <f t="shared" si="53"/>
        <v>-952.80499999999904</v>
      </c>
      <c r="P32" s="180">
        <f t="shared" si="53"/>
        <v>-975.73699999999917</v>
      </c>
      <c r="Q32" s="180">
        <f t="shared" si="53"/>
        <v>-998.6689999999993</v>
      </c>
      <c r="R32" s="180">
        <f t="shared" si="53"/>
        <v>-1021.6009999999995</v>
      </c>
      <c r="S32" s="180">
        <f t="shared" si="53"/>
        <v>-1044.532999999999</v>
      </c>
      <c r="T32" s="180">
        <f t="shared" si="53"/>
        <v>-1067.4649999999992</v>
      </c>
      <c r="U32" s="180">
        <f t="shared" si="53"/>
        <v>-1090.3969999999993</v>
      </c>
      <c r="V32" s="180">
        <f t="shared" si="53"/>
        <v>-1113.3289999999995</v>
      </c>
      <c r="W32" s="180">
        <f t="shared" si="53"/>
        <v>-1136.2609999999991</v>
      </c>
      <c r="X32" s="180">
        <f t="shared" si="53"/>
        <v>-1159.1929999999991</v>
      </c>
      <c r="Y32" s="180">
        <f t="shared" si="53"/>
        <v>-1182.1249999999993</v>
      </c>
      <c r="Z32" s="180">
        <f t="shared" si="53"/>
        <v>-1205.0569999999993</v>
      </c>
      <c r="AA32" s="180">
        <f t="shared" si="53"/>
        <v>-1740.7102999999988</v>
      </c>
      <c r="AB32" s="180">
        <f t="shared" si="53"/>
        <v>-1763.6422999999984</v>
      </c>
      <c r="AC32" s="180">
        <f t="shared" si="53"/>
        <v>-1786.5742999999984</v>
      </c>
      <c r="AD32" s="180">
        <f t="shared" si="53"/>
        <v>-1809.5062999999986</v>
      </c>
      <c r="AE32" s="180">
        <f t="shared" si="53"/>
        <v>-1832.4382999999987</v>
      </c>
      <c r="AF32" s="180">
        <f t="shared" si="53"/>
        <v>-1855.3702999999989</v>
      </c>
      <c r="AG32" s="180">
        <f t="shared" si="53"/>
        <v>-1878.3022999999985</v>
      </c>
      <c r="AH32" s="180">
        <f t="shared" si="53"/>
        <v>-1901.2342999999985</v>
      </c>
      <c r="AI32" s="180">
        <f t="shared" si="53"/>
        <v>-1924.1662999999987</v>
      </c>
      <c r="AJ32" s="180">
        <f t="shared" si="53"/>
        <v>-1947.098299999999</v>
      </c>
      <c r="AK32" s="180">
        <f t="shared" si="53"/>
        <v>-1970.0302999999983</v>
      </c>
      <c r="AL32" s="180">
        <f t="shared" si="53"/>
        <v>-1992.9622999999985</v>
      </c>
      <c r="AM32" s="180">
        <f t="shared" si="53"/>
        <v>-2015.8942999999988</v>
      </c>
      <c r="AN32" s="180">
        <f t="shared" si="53"/>
        <v>-2038.8262999999988</v>
      </c>
      <c r="AO32" s="180">
        <f t="shared" si="53"/>
        <v>-2061.7582999999986</v>
      </c>
      <c r="AP32" s="180">
        <f t="shared" si="53"/>
        <v>-2084.6902999999984</v>
      </c>
      <c r="AQ32" s="180">
        <f t="shared" si="53"/>
        <v>-2532.3802699999983</v>
      </c>
      <c r="AR32" s="180">
        <f t="shared" si="53"/>
        <v>-2555.3122699999985</v>
      </c>
      <c r="AS32" s="180">
        <f t="shared" si="53"/>
        <v>-2578.2442699999988</v>
      </c>
      <c r="AT32" s="180">
        <f t="shared" si="53"/>
        <v>-2601.1762699999981</v>
      </c>
      <c r="AU32" s="180">
        <f t="shared" si="53"/>
        <v>-2624.1082699999984</v>
      </c>
      <c r="AV32" s="180">
        <f t="shared" si="53"/>
        <v>-2647.0402699999986</v>
      </c>
      <c r="AW32" s="180">
        <f t="shared" si="53"/>
        <v>-2669.9722699999988</v>
      </c>
      <c r="AX32" s="180">
        <f t="shared" si="53"/>
        <v>-2692.9042699999982</v>
      </c>
      <c r="AY32" s="180">
        <f t="shared" si="53"/>
        <v>-2715.8362699999984</v>
      </c>
      <c r="AZ32" s="180">
        <f t="shared" si="53"/>
        <v>-2738.7682699999987</v>
      </c>
      <c r="BA32" s="180">
        <f t="shared" si="53"/>
        <v>-2761.7002699999989</v>
      </c>
      <c r="BB32" s="180">
        <f t="shared" si="53"/>
        <v>-2784.6322699999982</v>
      </c>
      <c r="BC32" s="180">
        <f t="shared" si="53"/>
        <v>-2807.5642699999985</v>
      </c>
      <c r="BD32" s="180">
        <f t="shared" si="53"/>
        <v>-2830.4962699999987</v>
      </c>
      <c r="BE32" s="180">
        <f t="shared" si="53"/>
        <v>-2853.4282699999985</v>
      </c>
      <c r="BF32" s="180">
        <f t="shared" si="53"/>
        <v>-2876.3602699999983</v>
      </c>
      <c r="BG32" s="180">
        <f t="shared" si="53"/>
        <v>-1.6501099999984943</v>
      </c>
      <c r="BH32" s="180">
        <f t="shared" si="53"/>
        <v>-1.6501099999984943</v>
      </c>
      <c r="BI32" s="180">
        <f t="shared" si="53"/>
        <v>-1.6501099999984943</v>
      </c>
      <c r="BJ32" s="180">
        <f t="shared" si="53"/>
        <v>-1.6501099999984943</v>
      </c>
      <c r="BK32" s="180">
        <f t="shared" si="53"/>
        <v>-1.6501099999984943</v>
      </c>
      <c r="BL32" s="180">
        <f t="shared" si="53"/>
        <v>-1.6501099999984943</v>
      </c>
      <c r="BM32" s="180">
        <f t="shared" si="53"/>
        <v>-1.6501099999984943</v>
      </c>
      <c r="BN32" s="180">
        <f t="shared" si="53"/>
        <v>-1.6501099999984943</v>
      </c>
      <c r="BO32" s="180">
        <f t="shared" si="53"/>
        <v>-1.6501099999984943</v>
      </c>
      <c r="BP32" s="180">
        <f t="shared" si="53"/>
        <v>-1.6501099999984943</v>
      </c>
      <c r="BQ32" s="180">
        <f t="shared" si="53"/>
        <v>-1.6501099999984943</v>
      </c>
      <c r="BR32" s="180">
        <f t="shared" si="53"/>
        <v>-1.6501099999984943</v>
      </c>
      <c r="BS32" s="180">
        <f t="shared" si="53"/>
        <v>-1.6501099999984943</v>
      </c>
      <c r="BT32" s="180">
        <f t="shared" si="53"/>
        <v>-1.6501099999984943</v>
      </c>
      <c r="BU32" s="180">
        <f t="shared" si="53"/>
        <v>-1.6501099999984943</v>
      </c>
      <c r="BV32" s="180">
        <f t="shared" si="53"/>
        <v>-1.6501099999984943</v>
      </c>
      <c r="BW32" s="180">
        <f t="shared" si="53"/>
        <v>-1.6501099999984943</v>
      </c>
      <c r="BX32" s="180">
        <f t="shared" ref="BX32:CI32" si="54">IF(BX15&gt;BX7,$C$6*(BX15-BX7)*(-1),0)</f>
        <v>-1.6501099999984943</v>
      </c>
      <c r="BY32" s="180">
        <f t="shared" si="54"/>
        <v>-1.6501099999984943</v>
      </c>
      <c r="BZ32" s="180">
        <f t="shared" si="54"/>
        <v>-1.6501099999984943</v>
      </c>
      <c r="CA32" s="180">
        <f t="shared" si="54"/>
        <v>-1.6501099999984943</v>
      </c>
      <c r="CB32" s="180">
        <f t="shared" si="54"/>
        <v>-1.6501099999984943</v>
      </c>
      <c r="CC32" s="180">
        <f t="shared" si="54"/>
        <v>-1.6501099999984943</v>
      </c>
      <c r="CD32" s="180">
        <f t="shared" si="54"/>
        <v>-1.6501099999984943</v>
      </c>
      <c r="CE32" s="180">
        <f t="shared" si="54"/>
        <v>-1.6501099999984943</v>
      </c>
      <c r="CF32" s="180">
        <f t="shared" si="54"/>
        <v>-1.6501099999984943</v>
      </c>
      <c r="CG32" s="180">
        <f t="shared" si="54"/>
        <v>-1.6501099999984943</v>
      </c>
      <c r="CH32" s="180">
        <f t="shared" si="54"/>
        <v>-1.6501099999984943</v>
      </c>
      <c r="CI32" s="180">
        <f t="shared" si="54"/>
        <v>-1.6501099999984943</v>
      </c>
    </row>
    <row r="33" spans="1:87" x14ac:dyDescent="0.25">
      <c r="A33" s="26"/>
      <c r="B33" s="26"/>
      <c r="C33" s="142"/>
      <c r="D33" s="142"/>
      <c r="E33" s="142"/>
      <c r="F33" s="26"/>
      <c r="G33" s="26"/>
      <c r="H33" s="26"/>
      <c r="I33" s="26"/>
      <c r="J33" s="179" t="s">
        <v>761</v>
      </c>
      <c r="K33" s="180">
        <f>IF(K16&gt;K8,$C$7*(K16-K8)*(-1),0)</f>
        <v>-6167.4873000000007</v>
      </c>
      <c r="L33" s="180">
        <f t="shared" ref="L33:BW33" si="55">IF(L16&gt;L8,$C$7*(L16-L8)*(-1),0)</f>
        <v>-2801.3900999999996</v>
      </c>
      <c r="M33" s="180">
        <f t="shared" si="55"/>
        <v>-2821.9928999999993</v>
      </c>
      <c r="N33" s="180">
        <f t="shared" si="55"/>
        <v>-2842.5956999999999</v>
      </c>
      <c r="O33" s="180">
        <f t="shared" si="55"/>
        <v>-2863.1984999999995</v>
      </c>
      <c r="P33" s="180">
        <f t="shared" si="55"/>
        <v>-2883.8013000000001</v>
      </c>
      <c r="Q33" s="180">
        <f t="shared" si="55"/>
        <v>-2904.4040999999997</v>
      </c>
      <c r="R33" s="180">
        <f t="shared" si="55"/>
        <v>-2925.0068999999994</v>
      </c>
      <c r="S33" s="180">
        <f t="shared" si="55"/>
        <v>-2945.6097</v>
      </c>
      <c r="T33" s="180">
        <f t="shared" si="55"/>
        <v>-2966.2124999999996</v>
      </c>
      <c r="U33" s="180">
        <f t="shared" si="55"/>
        <v>-2986.8152999999993</v>
      </c>
      <c r="V33" s="180">
        <f t="shared" si="55"/>
        <v>-3007.4180999999999</v>
      </c>
      <c r="W33" s="180">
        <f t="shared" si="55"/>
        <v>-3028.0208999999995</v>
      </c>
      <c r="X33" s="180">
        <f t="shared" si="55"/>
        <v>-3048.6236999999992</v>
      </c>
      <c r="Y33" s="180">
        <f t="shared" si="55"/>
        <v>-3069.2264999999998</v>
      </c>
      <c r="Z33" s="180">
        <f t="shared" si="55"/>
        <v>-3089.8292999999994</v>
      </c>
      <c r="AA33" s="180">
        <f t="shared" si="55"/>
        <v>-3571.0763699999989</v>
      </c>
      <c r="AB33" s="180">
        <f t="shared" si="55"/>
        <v>-3591.6791699999994</v>
      </c>
      <c r="AC33" s="180">
        <f t="shared" si="55"/>
        <v>-3612.2819699999991</v>
      </c>
      <c r="AD33" s="180">
        <f t="shared" si="55"/>
        <v>-3632.8847699999988</v>
      </c>
      <c r="AE33" s="180">
        <f t="shared" si="55"/>
        <v>-3653.4875699999993</v>
      </c>
      <c r="AF33" s="180">
        <f t="shared" si="55"/>
        <v>-3674.090369999999</v>
      </c>
      <c r="AG33" s="180">
        <f t="shared" si="55"/>
        <v>-3694.6931699999996</v>
      </c>
      <c r="AH33" s="180">
        <f t="shared" si="55"/>
        <v>-3715.2959699999992</v>
      </c>
      <c r="AI33" s="180">
        <f t="shared" si="55"/>
        <v>-3735.8987699999989</v>
      </c>
      <c r="AJ33" s="180">
        <f t="shared" si="55"/>
        <v>-3756.5015699999994</v>
      </c>
      <c r="AK33" s="180">
        <f t="shared" si="55"/>
        <v>-3777.1043699999991</v>
      </c>
      <c r="AL33" s="180">
        <f t="shared" si="55"/>
        <v>-3797.7071699999988</v>
      </c>
      <c r="AM33" s="180">
        <f t="shared" si="55"/>
        <v>-3818.3099699999989</v>
      </c>
      <c r="AN33" s="180">
        <f t="shared" si="55"/>
        <v>-3838.912769999999</v>
      </c>
      <c r="AO33" s="180">
        <f t="shared" si="55"/>
        <v>-3859.5155699999991</v>
      </c>
      <c r="AP33" s="180">
        <f t="shared" si="55"/>
        <v>-3880.1183699999992</v>
      </c>
      <c r="AQ33" s="180">
        <f t="shared" si="55"/>
        <v>-4282.3365329999997</v>
      </c>
      <c r="AR33" s="180">
        <f t="shared" si="55"/>
        <v>-4302.9393329999984</v>
      </c>
      <c r="AS33" s="180">
        <f t="shared" si="55"/>
        <v>-4323.542132999999</v>
      </c>
      <c r="AT33" s="180">
        <f t="shared" si="55"/>
        <v>-4344.1449329999996</v>
      </c>
      <c r="AU33" s="180">
        <f t="shared" si="55"/>
        <v>-4364.7477329999992</v>
      </c>
      <c r="AV33" s="180">
        <f t="shared" si="55"/>
        <v>-4385.3505329999989</v>
      </c>
      <c r="AW33" s="180">
        <f t="shared" si="55"/>
        <v>-4405.9533329999995</v>
      </c>
      <c r="AX33" s="180">
        <f t="shared" si="55"/>
        <v>-4426.5561329999991</v>
      </c>
      <c r="AY33" s="180">
        <f t="shared" si="55"/>
        <v>-4447.1589329999988</v>
      </c>
      <c r="AZ33" s="180">
        <f t="shared" si="55"/>
        <v>-4467.7617329999994</v>
      </c>
      <c r="BA33" s="180">
        <f t="shared" si="55"/>
        <v>-4488.364532999999</v>
      </c>
      <c r="BB33" s="180">
        <f t="shared" si="55"/>
        <v>-4508.9673329999987</v>
      </c>
      <c r="BC33" s="180">
        <f t="shared" si="55"/>
        <v>-4529.5701329999993</v>
      </c>
      <c r="BD33" s="180">
        <f t="shared" si="55"/>
        <v>-4550.1729329999989</v>
      </c>
      <c r="BE33" s="180">
        <f t="shared" si="55"/>
        <v>-4570.7757329999986</v>
      </c>
      <c r="BF33" s="180">
        <f t="shared" si="55"/>
        <v>-4591.3785329999992</v>
      </c>
      <c r="BG33" s="180">
        <f t="shared" si="55"/>
        <v>-1.817324999999073</v>
      </c>
      <c r="BH33" s="180">
        <f t="shared" si="55"/>
        <v>-1.817324999999073</v>
      </c>
      <c r="BI33" s="180">
        <f t="shared" si="55"/>
        <v>-1.817324999999073</v>
      </c>
      <c r="BJ33" s="180">
        <f t="shared" si="55"/>
        <v>-1.817324999999073</v>
      </c>
      <c r="BK33" s="180">
        <f t="shared" si="55"/>
        <v>-1.817324999999073</v>
      </c>
      <c r="BL33" s="180">
        <f t="shared" si="55"/>
        <v>-1.817324999999073</v>
      </c>
      <c r="BM33" s="180">
        <f t="shared" si="55"/>
        <v>-1.817324999999073</v>
      </c>
      <c r="BN33" s="180">
        <f t="shared" si="55"/>
        <v>-1.817324999999073</v>
      </c>
      <c r="BO33" s="180">
        <f t="shared" si="55"/>
        <v>-1.817324999999073</v>
      </c>
      <c r="BP33" s="180">
        <f t="shared" si="55"/>
        <v>-1.817324999999073</v>
      </c>
      <c r="BQ33" s="180">
        <f t="shared" si="55"/>
        <v>-1.817324999999073</v>
      </c>
      <c r="BR33" s="180">
        <f t="shared" si="55"/>
        <v>-1.817324999999073</v>
      </c>
      <c r="BS33" s="180">
        <f t="shared" si="55"/>
        <v>-1.817324999999073</v>
      </c>
      <c r="BT33" s="180">
        <f t="shared" si="55"/>
        <v>-1.817324999999073</v>
      </c>
      <c r="BU33" s="180">
        <f t="shared" si="55"/>
        <v>-1.817324999999073</v>
      </c>
      <c r="BV33" s="180">
        <f t="shared" si="55"/>
        <v>-1.817324999999073</v>
      </c>
      <c r="BW33" s="180">
        <f t="shared" si="55"/>
        <v>-1.817324999999073</v>
      </c>
      <c r="BX33" s="180">
        <f t="shared" ref="BX33:CI33" si="56">IF(BX16&gt;BX8,$C$7*(BX16-BX8)*(-1),0)</f>
        <v>-1.817324999999073</v>
      </c>
      <c r="BY33" s="180">
        <f t="shared" si="56"/>
        <v>-1.817324999999073</v>
      </c>
      <c r="BZ33" s="180">
        <f t="shared" si="56"/>
        <v>-1.817324999999073</v>
      </c>
      <c r="CA33" s="180">
        <f t="shared" si="56"/>
        <v>-1.817324999999073</v>
      </c>
      <c r="CB33" s="180">
        <f t="shared" si="56"/>
        <v>-1.817324999999073</v>
      </c>
      <c r="CC33" s="180">
        <f t="shared" si="56"/>
        <v>-1.817324999999073</v>
      </c>
      <c r="CD33" s="180">
        <f t="shared" si="56"/>
        <v>-1.817324999999073</v>
      </c>
      <c r="CE33" s="180">
        <f t="shared" si="56"/>
        <v>-1.817324999999073</v>
      </c>
      <c r="CF33" s="180">
        <f t="shared" si="56"/>
        <v>-1.817324999999073</v>
      </c>
      <c r="CG33" s="180">
        <f t="shared" si="56"/>
        <v>-1.817324999999073</v>
      </c>
      <c r="CH33" s="180">
        <f t="shared" si="56"/>
        <v>-1.817324999999073</v>
      </c>
      <c r="CI33" s="180">
        <f t="shared" si="56"/>
        <v>-1.817324999999073</v>
      </c>
    </row>
    <row r="34" spans="1:87" x14ac:dyDescent="0.25">
      <c r="A34" s="185"/>
      <c r="B34" s="185" t="s">
        <v>762</v>
      </c>
      <c r="C34" s="185" t="s">
        <v>763</v>
      </c>
      <c r="D34" s="185" t="s">
        <v>764</v>
      </c>
      <c r="E34" s="185" t="s">
        <v>765</v>
      </c>
      <c r="F34" s="185" t="s">
        <v>733</v>
      </c>
      <c r="G34" s="26"/>
      <c r="H34" s="26"/>
      <c r="I34" s="26"/>
      <c r="J34" s="179" t="s">
        <v>766</v>
      </c>
      <c r="K34" s="180">
        <f>IF(K17&gt;K9,$C$8*(K17-K9)*(-1),0)</f>
        <v>-2150.15</v>
      </c>
      <c r="L34" s="180">
        <f t="shared" ref="L34:BW34" si="57">IF(L17&gt;L9,$C$8*(L17-L9)*(-1),0)</f>
        <v>-1107.8</v>
      </c>
      <c r="M34" s="180">
        <f t="shared" si="57"/>
        <v>-1113.1999999999998</v>
      </c>
      <c r="N34" s="180">
        <f t="shared" si="57"/>
        <v>-1118.5999999999999</v>
      </c>
      <c r="O34" s="180">
        <f t="shared" si="57"/>
        <v>-1124</v>
      </c>
      <c r="P34" s="180">
        <f t="shared" si="57"/>
        <v>-1129.4000000000001</v>
      </c>
      <c r="Q34" s="180">
        <f t="shared" si="57"/>
        <v>-1134.8</v>
      </c>
      <c r="R34" s="180">
        <f t="shared" si="57"/>
        <v>-1140.2</v>
      </c>
      <c r="S34" s="180">
        <f t="shared" si="57"/>
        <v>-1145.5999999999999</v>
      </c>
      <c r="T34" s="180">
        <f t="shared" si="57"/>
        <v>-1151</v>
      </c>
      <c r="U34" s="180">
        <f t="shared" si="57"/>
        <v>-1156.3999999999999</v>
      </c>
      <c r="V34" s="180">
        <f t="shared" si="57"/>
        <v>-1161.8000000000002</v>
      </c>
      <c r="W34" s="180">
        <f t="shared" si="57"/>
        <v>-1167.2</v>
      </c>
      <c r="X34" s="180">
        <f t="shared" si="57"/>
        <v>-1172.6000000000001</v>
      </c>
      <c r="Y34" s="180">
        <f t="shared" si="57"/>
        <v>-1178</v>
      </c>
      <c r="Z34" s="180">
        <f t="shared" si="57"/>
        <v>-1183.4000000000001</v>
      </c>
      <c r="AA34" s="180">
        <f t="shared" si="57"/>
        <v>-1309.5349999999999</v>
      </c>
      <c r="AB34" s="180">
        <f t="shared" si="57"/>
        <v>-1314.9349999999999</v>
      </c>
      <c r="AC34" s="180">
        <f t="shared" si="57"/>
        <v>-1320.335</v>
      </c>
      <c r="AD34" s="180">
        <f t="shared" si="57"/>
        <v>-1325.7349999999997</v>
      </c>
      <c r="AE34" s="180">
        <f t="shared" si="57"/>
        <v>-1331.1349999999998</v>
      </c>
      <c r="AF34" s="180">
        <f t="shared" si="57"/>
        <v>-1336.5349999999999</v>
      </c>
      <c r="AG34" s="180">
        <f t="shared" si="57"/>
        <v>-1341.9349999999997</v>
      </c>
      <c r="AH34" s="180">
        <f t="shared" si="57"/>
        <v>-1347.335</v>
      </c>
      <c r="AI34" s="180">
        <f t="shared" si="57"/>
        <v>-1352.7349999999999</v>
      </c>
      <c r="AJ34" s="180">
        <f t="shared" si="57"/>
        <v>-1358.1349999999998</v>
      </c>
      <c r="AK34" s="180">
        <f t="shared" si="57"/>
        <v>-1363.5349999999999</v>
      </c>
      <c r="AL34" s="180">
        <f t="shared" si="57"/>
        <v>-1368.9349999999999</v>
      </c>
      <c r="AM34" s="180">
        <f t="shared" si="57"/>
        <v>-1374.3349999999998</v>
      </c>
      <c r="AN34" s="180">
        <f t="shared" si="57"/>
        <v>-1379.7350000000001</v>
      </c>
      <c r="AO34" s="180">
        <f t="shared" si="57"/>
        <v>-1385.1349999999998</v>
      </c>
      <c r="AP34" s="180">
        <f t="shared" si="57"/>
        <v>-1390.5349999999999</v>
      </c>
      <c r="AQ34" s="180">
        <f t="shared" si="57"/>
        <v>-1495.9564999999998</v>
      </c>
      <c r="AR34" s="180">
        <f t="shared" si="57"/>
        <v>-1501.3564999999999</v>
      </c>
      <c r="AS34" s="180">
        <f t="shared" si="57"/>
        <v>-1506.7565</v>
      </c>
      <c r="AT34" s="180">
        <f t="shared" si="57"/>
        <v>-1512.1564999999998</v>
      </c>
      <c r="AU34" s="180">
        <f t="shared" si="57"/>
        <v>-1517.5565000000001</v>
      </c>
      <c r="AV34" s="180">
        <f t="shared" si="57"/>
        <v>-1522.9564999999998</v>
      </c>
      <c r="AW34" s="180">
        <f t="shared" si="57"/>
        <v>-1528.3564999999999</v>
      </c>
      <c r="AX34" s="180">
        <f t="shared" si="57"/>
        <v>-1533.7564999999997</v>
      </c>
      <c r="AY34" s="180">
        <f t="shared" si="57"/>
        <v>-1539.1564999999996</v>
      </c>
      <c r="AZ34" s="180">
        <f t="shared" si="57"/>
        <v>-1544.5564999999999</v>
      </c>
      <c r="BA34" s="180">
        <f t="shared" si="57"/>
        <v>-1549.9564999999998</v>
      </c>
      <c r="BB34" s="180">
        <f t="shared" si="57"/>
        <v>-1555.3564999999999</v>
      </c>
      <c r="BC34" s="180">
        <f t="shared" si="57"/>
        <v>-1560.7565</v>
      </c>
      <c r="BD34" s="180">
        <f t="shared" si="57"/>
        <v>-1566.1564999999998</v>
      </c>
      <c r="BE34" s="180">
        <f t="shared" si="57"/>
        <v>-1571.5564999999997</v>
      </c>
      <c r="BF34" s="180">
        <f t="shared" si="57"/>
        <v>-1576.9565</v>
      </c>
      <c r="BG34" s="180">
        <f t="shared" si="57"/>
        <v>-1.3017499999995152</v>
      </c>
      <c r="BH34" s="180">
        <f t="shared" si="57"/>
        <v>-1.3017499999995152</v>
      </c>
      <c r="BI34" s="180">
        <f t="shared" si="57"/>
        <v>-1.3017499999995152</v>
      </c>
      <c r="BJ34" s="180">
        <f t="shared" si="57"/>
        <v>-1.3017499999995152</v>
      </c>
      <c r="BK34" s="180">
        <f t="shared" si="57"/>
        <v>-1.3017499999995152</v>
      </c>
      <c r="BL34" s="180">
        <f t="shared" si="57"/>
        <v>-1.3017499999995152</v>
      </c>
      <c r="BM34" s="180">
        <f t="shared" si="57"/>
        <v>-1.3017499999995152</v>
      </c>
      <c r="BN34" s="180">
        <f t="shared" si="57"/>
        <v>-1.3017499999995152</v>
      </c>
      <c r="BO34" s="180">
        <f t="shared" si="57"/>
        <v>-1.3017499999995152</v>
      </c>
      <c r="BP34" s="180">
        <f t="shared" si="57"/>
        <v>-1.3017499999995152</v>
      </c>
      <c r="BQ34" s="180">
        <f t="shared" si="57"/>
        <v>-1.3017499999995152</v>
      </c>
      <c r="BR34" s="180">
        <f t="shared" si="57"/>
        <v>-1.3017499999995152</v>
      </c>
      <c r="BS34" s="180">
        <f t="shared" si="57"/>
        <v>-1.3017499999995152</v>
      </c>
      <c r="BT34" s="180">
        <f t="shared" si="57"/>
        <v>-1.3017499999995152</v>
      </c>
      <c r="BU34" s="180">
        <f t="shared" si="57"/>
        <v>-1.3017499999995152</v>
      </c>
      <c r="BV34" s="180">
        <f t="shared" si="57"/>
        <v>-1.3017499999995152</v>
      </c>
      <c r="BW34" s="180">
        <f t="shared" si="57"/>
        <v>-1.3017499999995152</v>
      </c>
      <c r="BX34" s="180">
        <f t="shared" ref="BX34:CI34" si="58">IF(BX17&gt;BX9,$C$8*(BX17-BX9)*(-1),0)</f>
        <v>-1.3017499999995152</v>
      </c>
      <c r="BY34" s="180">
        <f t="shared" si="58"/>
        <v>-1.3017499999995152</v>
      </c>
      <c r="BZ34" s="180">
        <f t="shared" si="58"/>
        <v>-1.3017499999995152</v>
      </c>
      <c r="CA34" s="180">
        <f t="shared" si="58"/>
        <v>-1.3017499999995152</v>
      </c>
      <c r="CB34" s="180">
        <f t="shared" si="58"/>
        <v>-1.3017499999995152</v>
      </c>
      <c r="CC34" s="180">
        <f t="shared" si="58"/>
        <v>-1.3017499999995152</v>
      </c>
      <c r="CD34" s="180">
        <f t="shared" si="58"/>
        <v>-1.3017499999995152</v>
      </c>
      <c r="CE34" s="180">
        <f t="shared" si="58"/>
        <v>-1.3017499999995152</v>
      </c>
      <c r="CF34" s="180">
        <f t="shared" si="58"/>
        <v>-1.3017499999995152</v>
      </c>
      <c r="CG34" s="180">
        <f t="shared" si="58"/>
        <v>-1.3017499999995152</v>
      </c>
      <c r="CH34" s="180">
        <f t="shared" si="58"/>
        <v>-1.3017499999995152</v>
      </c>
      <c r="CI34" s="180">
        <f t="shared" si="58"/>
        <v>-1.3017499999995152</v>
      </c>
    </row>
    <row r="35" spans="1:87" ht="30" x14ac:dyDescent="0.25">
      <c r="A35" s="186" t="s">
        <v>719</v>
      </c>
      <c r="B35" s="187">
        <v>102</v>
      </c>
      <c r="C35" s="142">
        <f>F5</f>
        <v>6</v>
      </c>
      <c r="D35" s="142">
        <f>C5*B35</f>
        <v>51</v>
      </c>
      <c r="E35" s="142">
        <f>D5</f>
        <v>45</v>
      </c>
      <c r="F35" s="142">
        <f>D35-C35-E35</f>
        <v>0</v>
      </c>
      <c r="G35" s="26"/>
      <c r="H35" s="26"/>
      <c r="I35" s="26"/>
      <c r="J35" s="153" t="s">
        <v>767</v>
      </c>
      <c r="K35" s="188">
        <v>-10000</v>
      </c>
      <c r="L35" s="189">
        <v>0</v>
      </c>
      <c r="M35" s="190">
        <v>0</v>
      </c>
      <c r="N35" s="190">
        <v>0</v>
      </c>
      <c r="O35" s="190">
        <v>0</v>
      </c>
      <c r="P35" s="190">
        <v>0</v>
      </c>
      <c r="Q35" s="190">
        <v>0</v>
      </c>
      <c r="R35" s="190">
        <v>0</v>
      </c>
      <c r="S35" s="190">
        <v>0</v>
      </c>
      <c r="T35" s="190">
        <v>0</v>
      </c>
      <c r="U35" s="190">
        <v>0</v>
      </c>
      <c r="V35" s="190">
        <v>0</v>
      </c>
      <c r="W35" s="190">
        <v>0</v>
      </c>
      <c r="X35" s="190">
        <v>0</v>
      </c>
      <c r="Y35" s="190">
        <v>0</v>
      </c>
      <c r="Z35" s="190">
        <v>0</v>
      </c>
      <c r="AA35" s="190">
        <v>0</v>
      </c>
      <c r="AB35" s="190">
        <v>0</v>
      </c>
      <c r="AC35" s="190">
        <v>0</v>
      </c>
      <c r="AD35" s="190">
        <v>0</v>
      </c>
      <c r="AE35" s="190">
        <v>0</v>
      </c>
      <c r="AF35" s="190">
        <v>0</v>
      </c>
      <c r="AG35" s="190">
        <v>0</v>
      </c>
      <c r="AH35" s="190">
        <v>0</v>
      </c>
      <c r="AI35" s="190">
        <v>0</v>
      </c>
      <c r="AJ35" s="190">
        <v>0</v>
      </c>
      <c r="AK35" s="190">
        <v>0</v>
      </c>
      <c r="AL35" s="190">
        <v>0</v>
      </c>
      <c r="AM35" s="190">
        <v>0</v>
      </c>
      <c r="AN35" s="190">
        <v>0</v>
      </c>
      <c r="AO35" s="190">
        <v>0</v>
      </c>
      <c r="AP35" s="190">
        <v>0</v>
      </c>
      <c r="AQ35" s="190">
        <v>0</v>
      </c>
      <c r="AR35" s="190">
        <v>0</v>
      </c>
      <c r="AS35" s="190">
        <v>0</v>
      </c>
      <c r="AT35" s="190">
        <v>0</v>
      </c>
      <c r="AU35" s="190">
        <v>0</v>
      </c>
      <c r="AV35" s="190">
        <v>0</v>
      </c>
      <c r="AW35" s="190">
        <v>0</v>
      </c>
      <c r="AX35" s="190">
        <v>0</v>
      </c>
      <c r="AY35" s="190">
        <v>0</v>
      </c>
      <c r="AZ35" s="190">
        <v>0</v>
      </c>
      <c r="BA35" s="190">
        <v>0</v>
      </c>
      <c r="BB35" s="190">
        <v>0</v>
      </c>
      <c r="BC35" s="190">
        <v>0</v>
      </c>
      <c r="BD35" s="190">
        <v>0</v>
      </c>
      <c r="BE35" s="190">
        <v>0</v>
      </c>
      <c r="BF35" s="190">
        <v>0</v>
      </c>
      <c r="BG35" s="190">
        <v>0</v>
      </c>
      <c r="BH35" s="190">
        <v>0</v>
      </c>
      <c r="BI35" s="190">
        <v>0</v>
      </c>
      <c r="BJ35" s="190">
        <v>0</v>
      </c>
      <c r="BK35" s="190">
        <v>0</v>
      </c>
      <c r="BL35" s="190">
        <v>0</v>
      </c>
      <c r="BM35" s="190">
        <v>0</v>
      </c>
      <c r="BN35" s="190">
        <v>0</v>
      </c>
      <c r="BO35" s="190">
        <v>0</v>
      </c>
      <c r="BP35" s="190">
        <v>0</v>
      </c>
      <c r="BQ35" s="190">
        <v>0</v>
      </c>
      <c r="BR35" s="190">
        <v>0</v>
      </c>
      <c r="BS35" s="190">
        <v>0</v>
      </c>
      <c r="BT35" s="190">
        <v>0</v>
      </c>
      <c r="BU35" s="190">
        <v>0</v>
      </c>
      <c r="BV35" s="190">
        <v>0</v>
      </c>
      <c r="BW35" s="190">
        <v>0</v>
      </c>
      <c r="BX35" s="190">
        <v>0</v>
      </c>
      <c r="BY35" s="190">
        <v>0</v>
      </c>
      <c r="BZ35" s="190">
        <v>0</v>
      </c>
      <c r="CA35" s="190">
        <v>0</v>
      </c>
      <c r="CB35" s="190">
        <v>0</v>
      </c>
      <c r="CC35" s="190">
        <v>0</v>
      </c>
      <c r="CD35" s="190">
        <v>0</v>
      </c>
      <c r="CE35" s="190">
        <v>0</v>
      </c>
      <c r="CF35" s="190">
        <v>0</v>
      </c>
      <c r="CG35" s="190">
        <v>0</v>
      </c>
      <c r="CH35" s="190">
        <v>0</v>
      </c>
      <c r="CI35" s="190">
        <v>0</v>
      </c>
    </row>
    <row r="36" spans="1:87" ht="30" x14ac:dyDescent="0.25">
      <c r="A36" s="186" t="s">
        <v>721</v>
      </c>
      <c r="B36" s="191">
        <f>(75+6)/C6</f>
        <v>115.71428571428572</v>
      </c>
      <c r="C36" s="142">
        <f t="shared" ref="C36:C38" si="59">F6</f>
        <v>6</v>
      </c>
      <c r="D36" s="142">
        <f t="shared" ref="D36:D38" si="60">C6*B36</f>
        <v>81</v>
      </c>
      <c r="E36" s="142">
        <f t="shared" ref="E36:E38" si="61">D6</f>
        <v>75</v>
      </c>
      <c r="F36" s="142">
        <f t="shared" ref="F36:F38" si="62">D36-C36-E36</f>
        <v>0</v>
      </c>
      <c r="G36" s="26"/>
      <c r="H36" s="26"/>
      <c r="I36" s="26"/>
      <c r="J36" s="153" t="s">
        <v>768</v>
      </c>
      <c r="K36" s="190">
        <f>IF(C25&gt;0,C25*D5*(-1),C25*F5)</f>
        <v>-62798.400000000009</v>
      </c>
      <c r="L36" s="190">
        <v>0</v>
      </c>
      <c r="M36" s="190">
        <v>0</v>
      </c>
      <c r="N36" s="190">
        <v>0</v>
      </c>
      <c r="O36" s="190">
        <v>0</v>
      </c>
      <c r="P36" s="190">
        <v>0</v>
      </c>
      <c r="Q36" s="190">
        <v>0</v>
      </c>
      <c r="R36" s="190">
        <v>0</v>
      </c>
      <c r="S36" s="190">
        <v>0</v>
      </c>
      <c r="T36" s="190">
        <v>0</v>
      </c>
      <c r="U36" s="190">
        <v>0</v>
      </c>
      <c r="V36" s="190">
        <v>0</v>
      </c>
      <c r="W36" s="190">
        <v>0</v>
      </c>
      <c r="X36" s="190">
        <v>0</v>
      </c>
      <c r="Y36" s="190">
        <v>0</v>
      </c>
      <c r="Z36" s="190">
        <v>0</v>
      </c>
      <c r="AA36" s="190">
        <v>0</v>
      </c>
      <c r="AB36" s="190">
        <v>0</v>
      </c>
      <c r="AC36" s="190">
        <v>0</v>
      </c>
      <c r="AD36" s="190">
        <v>0</v>
      </c>
      <c r="AE36" s="190">
        <v>0</v>
      </c>
      <c r="AF36" s="190">
        <v>0</v>
      </c>
      <c r="AG36" s="190">
        <v>0</v>
      </c>
      <c r="AH36" s="190">
        <v>0</v>
      </c>
      <c r="AI36" s="190">
        <v>0</v>
      </c>
      <c r="AJ36" s="190">
        <v>0</v>
      </c>
      <c r="AK36" s="190">
        <v>0</v>
      </c>
      <c r="AL36" s="190">
        <v>0</v>
      </c>
      <c r="AM36" s="190">
        <v>0</v>
      </c>
      <c r="AN36" s="190">
        <v>0</v>
      </c>
      <c r="AO36" s="190">
        <v>0</v>
      </c>
      <c r="AP36" s="190">
        <v>0</v>
      </c>
      <c r="AQ36" s="190">
        <v>0</v>
      </c>
      <c r="AR36" s="190">
        <v>0</v>
      </c>
      <c r="AS36" s="190">
        <v>0</v>
      </c>
      <c r="AT36" s="190">
        <v>0</v>
      </c>
      <c r="AU36" s="190">
        <v>0</v>
      </c>
      <c r="AV36" s="190">
        <v>0</v>
      </c>
      <c r="AW36" s="190">
        <v>0</v>
      </c>
      <c r="AX36" s="190">
        <v>0</v>
      </c>
      <c r="AY36" s="190">
        <v>0</v>
      </c>
      <c r="AZ36" s="190">
        <v>0</v>
      </c>
      <c r="BA36" s="190">
        <v>0</v>
      </c>
      <c r="BB36" s="190">
        <v>0</v>
      </c>
      <c r="BC36" s="190">
        <v>0</v>
      </c>
      <c r="BD36" s="190">
        <v>0</v>
      </c>
      <c r="BE36" s="190">
        <v>0</v>
      </c>
      <c r="BF36" s="190">
        <v>0</v>
      </c>
      <c r="BG36" s="190">
        <v>0</v>
      </c>
      <c r="BH36" s="190">
        <v>0</v>
      </c>
      <c r="BI36" s="190">
        <v>0</v>
      </c>
      <c r="BJ36" s="190">
        <v>0</v>
      </c>
      <c r="BK36" s="190">
        <v>0</v>
      </c>
      <c r="BL36" s="190">
        <v>0</v>
      </c>
      <c r="BM36" s="190">
        <v>0</v>
      </c>
      <c r="BN36" s="190">
        <v>0</v>
      </c>
      <c r="BO36" s="190">
        <v>0</v>
      </c>
      <c r="BP36" s="190">
        <v>0</v>
      </c>
      <c r="BQ36" s="190">
        <v>0</v>
      </c>
      <c r="BR36" s="190">
        <v>0</v>
      </c>
      <c r="BS36" s="190">
        <v>0</v>
      </c>
      <c r="BT36" s="190">
        <v>0</v>
      </c>
      <c r="BU36" s="190">
        <v>0</v>
      </c>
      <c r="BV36" s="190">
        <v>0</v>
      </c>
      <c r="BW36" s="190">
        <v>0</v>
      </c>
      <c r="BX36" s="190">
        <v>0</v>
      </c>
      <c r="BY36" s="190">
        <v>0</v>
      </c>
      <c r="BZ36" s="190">
        <v>0</v>
      </c>
      <c r="CA36" s="190">
        <v>0</v>
      </c>
      <c r="CB36" s="190">
        <v>0</v>
      </c>
      <c r="CC36" s="190">
        <v>0</v>
      </c>
      <c r="CD36" s="190">
        <v>0</v>
      </c>
      <c r="CE36" s="190">
        <v>0</v>
      </c>
      <c r="CF36" s="190">
        <v>0</v>
      </c>
      <c r="CG36" s="190">
        <v>0</v>
      </c>
      <c r="CH36" s="190">
        <v>0</v>
      </c>
      <c r="CI36" s="190">
        <v>0</v>
      </c>
    </row>
    <row r="37" spans="1:87" x14ac:dyDescent="0.25">
      <c r="A37" s="186" t="s">
        <v>723</v>
      </c>
      <c r="B37" s="187">
        <v>96</v>
      </c>
      <c r="C37" s="142">
        <f t="shared" si="59"/>
        <v>6</v>
      </c>
      <c r="D37" s="142">
        <f t="shared" si="60"/>
        <v>96</v>
      </c>
      <c r="E37" s="142">
        <f t="shared" si="61"/>
        <v>90</v>
      </c>
      <c r="F37" s="142">
        <f t="shared" si="62"/>
        <v>0</v>
      </c>
      <c r="G37" s="26"/>
      <c r="H37" s="26"/>
      <c r="I37" s="26"/>
      <c r="J37" s="153" t="s">
        <v>769</v>
      </c>
      <c r="K37" s="190">
        <f>IF(C26&gt;0,C26*D6*(-1),C26*F6)</f>
        <v>-24103.800000000007</v>
      </c>
      <c r="L37" s="190">
        <v>0</v>
      </c>
      <c r="M37" s="190">
        <v>0</v>
      </c>
      <c r="N37" s="190">
        <v>0</v>
      </c>
      <c r="O37" s="190">
        <v>0</v>
      </c>
      <c r="P37" s="190">
        <v>0</v>
      </c>
      <c r="Q37" s="190">
        <v>0</v>
      </c>
      <c r="R37" s="190">
        <v>0</v>
      </c>
      <c r="S37" s="190">
        <v>0</v>
      </c>
      <c r="T37" s="190">
        <v>0</v>
      </c>
      <c r="U37" s="190">
        <v>0</v>
      </c>
      <c r="V37" s="190">
        <v>0</v>
      </c>
      <c r="W37" s="190">
        <v>0</v>
      </c>
      <c r="X37" s="190">
        <v>0</v>
      </c>
      <c r="Y37" s="190">
        <v>0</v>
      </c>
      <c r="Z37" s="190">
        <v>0</v>
      </c>
      <c r="AA37" s="190">
        <v>0</v>
      </c>
      <c r="AB37" s="190">
        <v>0</v>
      </c>
      <c r="AC37" s="190">
        <v>0</v>
      </c>
      <c r="AD37" s="190">
        <v>0</v>
      </c>
      <c r="AE37" s="190">
        <v>0</v>
      </c>
      <c r="AF37" s="190">
        <v>0</v>
      </c>
      <c r="AG37" s="190">
        <v>0</v>
      </c>
      <c r="AH37" s="190">
        <v>0</v>
      </c>
      <c r="AI37" s="190">
        <v>0</v>
      </c>
      <c r="AJ37" s="190">
        <v>0</v>
      </c>
      <c r="AK37" s="190">
        <v>0</v>
      </c>
      <c r="AL37" s="190">
        <v>0</v>
      </c>
      <c r="AM37" s="190">
        <v>0</v>
      </c>
      <c r="AN37" s="190">
        <v>0</v>
      </c>
      <c r="AO37" s="190">
        <v>0</v>
      </c>
      <c r="AP37" s="190">
        <v>0</v>
      </c>
      <c r="AQ37" s="190">
        <v>0</v>
      </c>
      <c r="AR37" s="190">
        <v>0</v>
      </c>
      <c r="AS37" s="190">
        <v>0</v>
      </c>
      <c r="AT37" s="190">
        <v>0</v>
      </c>
      <c r="AU37" s="190">
        <v>0</v>
      </c>
      <c r="AV37" s="190">
        <v>0</v>
      </c>
      <c r="AW37" s="190">
        <v>0</v>
      </c>
      <c r="AX37" s="190">
        <v>0</v>
      </c>
      <c r="AY37" s="190">
        <v>0</v>
      </c>
      <c r="AZ37" s="190">
        <v>0</v>
      </c>
      <c r="BA37" s="190">
        <v>0</v>
      </c>
      <c r="BB37" s="190">
        <v>0</v>
      </c>
      <c r="BC37" s="190">
        <v>0</v>
      </c>
      <c r="BD37" s="190">
        <v>0</v>
      </c>
      <c r="BE37" s="190">
        <v>0</v>
      </c>
      <c r="BF37" s="190">
        <v>0</v>
      </c>
      <c r="BG37" s="190">
        <v>0</v>
      </c>
      <c r="BH37" s="190">
        <v>0</v>
      </c>
      <c r="BI37" s="190">
        <v>0</v>
      </c>
      <c r="BJ37" s="190">
        <v>0</v>
      </c>
      <c r="BK37" s="190">
        <v>0</v>
      </c>
      <c r="BL37" s="190">
        <v>0</v>
      </c>
      <c r="BM37" s="190">
        <v>0</v>
      </c>
      <c r="BN37" s="190">
        <v>0</v>
      </c>
      <c r="BO37" s="190">
        <v>0</v>
      </c>
      <c r="BP37" s="190">
        <v>0</v>
      </c>
      <c r="BQ37" s="190">
        <v>0</v>
      </c>
      <c r="BR37" s="190">
        <v>0</v>
      </c>
      <c r="BS37" s="190">
        <v>0</v>
      </c>
      <c r="BT37" s="190">
        <v>0</v>
      </c>
      <c r="BU37" s="190">
        <v>0</v>
      </c>
      <c r="BV37" s="190">
        <v>0</v>
      </c>
      <c r="BW37" s="190">
        <v>0</v>
      </c>
      <c r="BX37" s="190">
        <v>0</v>
      </c>
      <c r="BY37" s="190">
        <v>0</v>
      </c>
      <c r="BZ37" s="190">
        <v>0</v>
      </c>
      <c r="CA37" s="190">
        <v>0</v>
      </c>
      <c r="CB37" s="190">
        <v>0</v>
      </c>
      <c r="CC37" s="190">
        <v>0</v>
      </c>
      <c r="CD37" s="190">
        <v>0</v>
      </c>
      <c r="CE37" s="190">
        <v>0</v>
      </c>
      <c r="CF37" s="190">
        <v>0</v>
      </c>
      <c r="CG37" s="190">
        <v>0</v>
      </c>
      <c r="CH37" s="190">
        <v>0</v>
      </c>
      <c r="CI37" s="190">
        <v>0</v>
      </c>
    </row>
    <row r="38" spans="1:87" x14ac:dyDescent="0.25">
      <c r="A38" s="186" t="s">
        <v>725</v>
      </c>
      <c r="B38" s="192">
        <f>(300+6)/C8</f>
        <v>122.4</v>
      </c>
      <c r="C38" s="142">
        <f t="shared" si="59"/>
        <v>6</v>
      </c>
      <c r="D38" s="142">
        <f t="shared" si="60"/>
        <v>306</v>
      </c>
      <c r="E38" s="142">
        <f t="shared" si="61"/>
        <v>300</v>
      </c>
      <c r="F38" s="142">
        <f t="shared" si="62"/>
        <v>0</v>
      </c>
      <c r="G38" s="26"/>
      <c r="H38" s="26"/>
      <c r="I38" s="26"/>
      <c r="J38" s="153" t="s">
        <v>770</v>
      </c>
      <c r="K38" s="190">
        <f>IF(C27&gt;0,C27*D7*(-1),C27*F7)</f>
        <v>-20320.200000000004</v>
      </c>
      <c r="L38" s="190">
        <v>0</v>
      </c>
      <c r="M38" s="190">
        <v>0</v>
      </c>
      <c r="N38" s="190">
        <v>0</v>
      </c>
      <c r="O38" s="190">
        <v>0</v>
      </c>
      <c r="P38" s="190">
        <v>0</v>
      </c>
      <c r="Q38" s="190">
        <v>0</v>
      </c>
      <c r="R38" s="190">
        <v>0</v>
      </c>
      <c r="S38" s="190">
        <v>0</v>
      </c>
      <c r="T38" s="190">
        <v>0</v>
      </c>
      <c r="U38" s="190">
        <v>0</v>
      </c>
      <c r="V38" s="190">
        <v>0</v>
      </c>
      <c r="W38" s="190">
        <v>0</v>
      </c>
      <c r="X38" s="190">
        <v>0</v>
      </c>
      <c r="Y38" s="190">
        <v>0</v>
      </c>
      <c r="Z38" s="190">
        <v>0</v>
      </c>
      <c r="AA38" s="190">
        <v>0</v>
      </c>
      <c r="AB38" s="190">
        <v>0</v>
      </c>
      <c r="AC38" s="190">
        <v>0</v>
      </c>
      <c r="AD38" s="190">
        <v>0</v>
      </c>
      <c r="AE38" s="190">
        <v>0</v>
      </c>
      <c r="AF38" s="190">
        <v>0</v>
      </c>
      <c r="AG38" s="190">
        <v>0</v>
      </c>
      <c r="AH38" s="190">
        <v>0</v>
      </c>
      <c r="AI38" s="190">
        <v>0</v>
      </c>
      <c r="AJ38" s="190">
        <v>0</v>
      </c>
      <c r="AK38" s="190">
        <v>0</v>
      </c>
      <c r="AL38" s="190">
        <v>0</v>
      </c>
      <c r="AM38" s="190">
        <v>0</v>
      </c>
      <c r="AN38" s="190">
        <v>0</v>
      </c>
      <c r="AO38" s="190">
        <v>0</v>
      </c>
      <c r="AP38" s="190">
        <v>0</v>
      </c>
      <c r="AQ38" s="190">
        <v>0</v>
      </c>
      <c r="AR38" s="190">
        <v>0</v>
      </c>
      <c r="AS38" s="190">
        <v>0</v>
      </c>
      <c r="AT38" s="190">
        <v>0</v>
      </c>
      <c r="AU38" s="190">
        <v>0</v>
      </c>
      <c r="AV38" s="190">
        <v>0</v>
      </c>
      <c r="AW38" s="190">
        <v>0</v>
      </c>
      <c r="AX38" s="190">
        <v>0</v>
      </c>
      <c r="AY38" s="190">
        <v>0</v>
      </c>
      <c r="AZ38" s="190">
        <v>0</v>
      </c>
      <c r="BA38" s="190">
        <v>0</v>
      </c>
      <c r="BB38" s="190">
        <v>0</v>
      </c>
      <c r="BC38" s="190">
        <v>0</v>
      </c>
      <c r="BD38" s="190">
        <v>0</v>
      </c>
      <c r="BE38" s="190">
        <v>0</v>
      </c>
      <c r="BF38" s="190">
        <v>0</v>
      </c>
      <c r="BG38" s="190">
        <v>0</v>
      </c>
      <c r="BH38" s="190">
        <v>0</v>
      </c>
      <c r="BI38" s="190">
        <v>0</v>
      </c>
      <c r="BJ38" s="190">
        <v>0</v>
      </c>
      <c r="BK38" s="190">
        <v>0</v>
      </c>
      <c r="BL38" s="190">
        <v>0</v>
      </c>
      <c r="BM38" s="190">
        <v>0</v>
      </c>
      <c r="BN38" s="190">
        <v>0</v>
      </c>
      <c r="BO38" s="190">
        <v>0</v>
      </c>
      <c r="BP38" s="190">
        <v>0</v>
      </c>
      <c r="BQ38" s="190">
        <v>0</v>
      </c>
      <c r="BR38" s="190">
        <v>0</v>
      </c>
      <c r="BS38" s="190">
        <v>0</v>
      </c>
      <c r="BT38" s="190">
        <v>0</v>
      </c>
      <c r="BU38" s="190">
        <v>0</v>
      </c>
      <c r="BV38" s="190">
        <v>0</v>
      </c>
      <c r="BW38" s="190">
        <v>0</v>
      </c>
      <c r="BX38" s="190">
        <v>0</v>
      </c>
      <c r="BY38" s="190">
        <v>0</v>
      </c>
      <c r="BZ38" s="190">
        <v>0</v>
      </c>
      <c r="CA38" s="190">
        <v>0</v>
      </c>
      <c r="CB38" s="190">
        <v>0</v>
      </c>
      <c r="CC38" s="190">
        <v>0</v>
      </c>
      <c r="CD38" s="190">
        <v>0</v>
      </c>
      <c r="CE38" s="190">
        <v>0</v>
      </c>
      <c r="CF38" s="190">
        <v>0</v>
      </c>
      <c r="CG38" s="190">
        <v>0</v>
      </c>
      <c r="CH38" s="190">
        <v>0</v>
      </c>
      <c r="CI38" s="190">
        <v>0</v>
      </c>
    </row>
    <row r="39" spans="1:87" x14ac:dyDescent="0.25">
      <c r="A39" s="26"/>
      <c r="B39" s="26"/>
      <c r="C39" s="142"/>
      <c r="D39" s="142"/>
      <c r="E39" s="142"/>
      <c r="F39" s="26"/>
      <c r="G39" s="26"/>
      <c r="H39" s="26"/>
      <c r="I39" s="26"/>
      <c r="J39" s="153" t="s">
        <v>771</v>
      </c>
      <c r="K39" s="190">
        <f>IF(C28&gt;0,C28*D8*(-1),C28*F8)</f>
        <v>-2514.6000000000004</v>
      </c>
      <c r="L39" s="190">
        <v>0</v>
      </c>
      <c r="M39" s="190">
        <v>0</v>
      </c>
      <c r="N39" s="190">
        <v>0</v>
      </c>
      <c r="O39" s="190">
        <v>0</v>
      </c>
      <c r="P39" s="190">
        <v>0</v>
      </c>
      <c r="Q39" s="190">
        <v>0</v>
      </c>
      <c r="R39" s="190">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0">
        <v>0</v>
      </c>
      <c r="AI39" s="190">
        <v>0</v>
      </c>
      <c r="AJ39" s="190">
        <v>0</v>
      </c>
      <c r="AK39" s="190">
        <v>0</v>
      </c>
      <c r="AL39" s="190">
        <v>0</v>
      </c>
      <c r="AM39" s="190">
        <v>0</v>
      </c>
      <c r="AN39" s="190">
        <v>0</v>
      </c>
      <c r="AO39" s="190">
        <v>0</v>
      </c>
      <c r="AP39" s="190">
        <v>0</v>
      </c>
      <c r="AQ39" s="190">
        <v>0</v>
      </c>
      <c r="AR39" s="190">
        <v>0</v>
      </c>
      <c r="AS39" s="190">
        <v>0</v>
      </c>
      <c r="AT39" s="190">
        <v>0</v>
      </c>
      <c r="AU39" s="190">
        <v>0</v>
      </c>
      <c r="AV39" s="190">
        <v>0</v>
      </c>
      <c r="AW39" s="190">
        <v>0</v>
      </c>
      <c r="AX39" s="190">
        <v>0</v>
      </c>
      <c r="AY39" s="190">
        <v>0</v>
      </c>
      <c r="AZ39" s="190">
        <v>0</v>
      </c>
      <c r="BA39" s="190">
        <v>0</v>
      </c>
      <c r="BB39" s="190">
        <v>0</v>
      </c>
      <c r="BC39" s="190">
        <v>0</v>
      </c>
      <c r="BD39" s="190">
        <v>0</v>
      </c>
      <c r="BE39" s="190">
        <v>0</v>
      </c>
      <c r="BF39" s="190">
        <v>0</v>
      </c>
      <c r="BG39" s="190">
        <v>0</v>
      </c>
      <c r="BH39" s="190">
        <v>0</v>
      </c>
      <c r="BI39" s="190">
        <v>0</v>
      </c>
      <c r="BJ39" s="190">
        <v>0</v>
      </c>
      <c r="BK39" s="190">
        <v>0</v>
      </c>
      <c r="BL39" s="190">
        <v>0</v>
      </c>
      <c r="BM39" s="190">
        <v>0</v>
      </c>
      <c r="BN39" s="190">
        <v>0</v>
      </c>
      <c r="BO39" s="190">
        <v>0</v>
      </c>
      <c r="BP39" s="190">
        <v>0</v>
      </c>
      <c r="BQ39" s="190">
        <v>0</v>
      </c>
      <c r="BR39" s="190">
        <v>0</v>
      </c>
      <c r="BS39" s="190">
        <v>0</v>
      </c>
      <c r="BT39" s="190">
        <v>0</v>
      </c>
      <c r="BU39" s="190">
        <v>0</v>
      </c>
      <c r="BV39" s="190">
        <v>0</v>
      </c>
      <c r="BW39" s="190">
        <v>0</v>
      </c>
      <c r="BX39" s="190">
        <v>0</v>
      </c>
      <c r="BY39" s="190">
        <v>0</v>
      </c>
      <c r="BZ39" s="190">
        <v>0</v>
      </c>
      <c r="CA39" s="190">
        <v>0</v>
      </c>
      <c r="CB39" s="190">
        <v>0</v>
      </c>
      <c r="CC39" s="190">
        <v>0</v>
      </c>
      <c r="CD39" s="190">
        <v>0</v>
      </c>
      <c r="CE39" s="190">
        <v>0</v>
      </c>
      <c r="CF39" s="190">
        <v>0</v>
      </c>
      <c r="CG39" s="190">
        <v>0</v>
      </c>
      <c r="CH39" s="190">
        <v>0</v>
      </c>
      <c r="CI39" s="190">
        <v>0</v>
      </c>
    </row>
    <row r="40" spans="1:87" x14ac:dyDescent="0.25">
      <c r="A40" s="26"/>
      <c r="B40" s="26"/>
      <c r="C40" s="142"/>
      <c r="D40" s="142"/>
      <c r="E40" s="142"/>
      <c r="F40" s="26"/>
      <c r="G40" s="26"/>
      <c r="H40" s="26"/>
      <c r="I40" s="26"/>
      <c r="J40" s="153" t="s">
        <v>772</v>
      </c>
      <c r="K40" s="193">
        <f>K39+K38+K37+K36+K35</f>
        <v>-119737.00000000001</v>
      </c>
      <c r="L40" s="190">
        <v>0</v>
      </c>
      <c r="M40" s="190">
        <v>0</v>
      </c>
      <c r="N40" s="190">
        <v>0</v>
      </c>
      <c r="O40" s="190">
        <v>0</v>
      </c>
      <c r="P40" s="190">
        <v>0</v>
      </c>
      <c r="Q40" s="190">
        <v>0</v>
      </c>
      <c r="R40" s="190">
        <v>0</v>
      </c>
      <c r="S40" s="190">
        <v>0</v>
      </c>
      <c r="T40" s="190">
        <v>0</v>
      </c>
      <c r="U40" s="190">
        <v>0</v>
      </c>
      <c r="V40" s="190">
        <v>0</v>
      </c>
      <c r="W40" s="190">
        <v>0</v>
      </c>
      <c r="X40" s="190">
        <v>0</v>
      </c>
      <c r="Y40" s="190">
        <v>0</v>
      </c>
      <c r="Z40" s="190">
        <v>0</v>
      </c>
      <c r="AA40" s="190">
        <v>0</v>
      </c>
      <c r="AB40" s="190">
        <v>0</v>
      </c>
      <c r="AC40" s="190">
        <v>0</v>
      </c>
      <c r="AD40" s="190">
        <v>0</v>
      </c>
      <c r="AE40" s="190">
        <v>0</v>
      </c>
      <c r="AF40" s="190">
        <v>0</v>
      </c>
      <c r="AG40" s="190">
        <v>0</v>
      </c>
      <c r="AH40" s="190">
        <v>0</v>
      </c>
      <c r="AI40" s="190">
        <v>0</v>
      </c>
      <c r="AJ40" s="190">
        <v>0</v>
      </c>
      <c r="AK40" s="190">
        <v>0</v>
      </c>
      <c r="AL40" s="190">
        <v>0</v>
      </c>
      <c r="AM40" s="190">
        <v>0</v>
      </c>
      <c r="AN40" s="190">
        <v>0</v>
      </c>
      <c r="AO40" s="190">
        <v>0</v>
      </c>
      <c r="AP40" s="190">
        <v>0</v>
      </c>
      <c r="AQ40" s="190">
        <v>0</v>
      </c>
      <c r="AR40" s="190">
        <v>0</v>
      </c>
      <c r="AS40" s="190">
        <v>0</v>
      </c>
      <c r="AT40" s="190">
        <v>0</v>
      </c>
      <c r="AU40" s="190">
        <v>0</v>
      </c>
      <c r="AV40" s="190">
        <v>0</v>
      </c>
      <c r="AW40" s="190">
        <v>0</v>
      </c>
      <c r="AX40" s="190">
        <v>0</v>
      </c>
      <c r="AY40" s="190">
        <v>0</v>
      </c>
      <c r="AZ40" s="190">
        <v>0</v>
      </c>
      <c r="BA40" s="190">
        <v>0</v>
      </c>
      <c r="BB40" s="190">
        <v>0</v>
      </c>
      <c r="BC40" s="190">
        <v>0</v>
      </c>
      <c r="BD40" s="190">
        <v>0</v>
      </c>
      <c r="BE40" s="190">
        <v>0</v>
      </c>
      <c r="BF40" s="190">
        <v>0</v>
      </c>
      <c r="BG40" s="190">
        <v>0</v>
      </c>
      <c r="BH40" s="190">
        <v>0</v>
      </c>
      <c r="BI40" s="190">
        <v>0</v>
      </c>
      <c r="BJ40" s="190">
        <v>0</v>
      </c>
      <c r="BK40" s="190">
        <v>0</v>
      </c>
      <c r="BL40" s="190">
        <v>0</v>
      </c>
      <c r="BM40" s="190">
        <v>0</v>
      </c>
      <c r="BN40" s="190">
        <v>0</v>
      </c>
      <c r="BO40" s="190">
        <v>0</v>
      </c>
      <c r="BP40" s="190">
        <v>0</v>
      </c>
      <c r="BQ40" s="190">
        <v>0</v>
      </c>
      <c r="BR40" s="190">
        <v>0</v>
      </c>
      <c r="BS40" s="190">
        <v>0</v>
      </c>
      <c r="BT40" s="190">
        <v>0</v>
      </c>
      <c r="BU40" s="190">
        <v>0</v>
      </c>
      <c r="BV40" s="190">
        <v>0</v>
      </c>
      <c r="BW40" s="190">
        <v>0</v>
      </c>
      <c r="BX40" s="190">
        <v>0</v>
      </c>
      <c r="BY40" s="190">
        <v>0</v>
      </c>
      <c r="BZ40" s="190">
        <v>0</v>
      </c>
      <c r="CA40" s="190">
        <v>0</v>
      </c>
      <c r="CB40" s="190">
        <v>0</v>
      </c>
      <c r="CC40" s="190">
        <v>0</v>
      </c>
      <c r="CD40" s="190">
        <v>0</v>
      </c>
      <c r="CE40" s="190">
        <v>0</v>
      </c>
      <c r="CF40" s="190">
        <v>0</v>
      </c>
      <c r="CG40" s="190">
        <v>0</v>
      </c>
      <c r="CH40" s="190">
        <v>0</v>
      </c>
      <c r="CI40" s="190">
        <v>0</v>
      </c>
    </row>
    <row r="41" spans="1:87" x14ac:dyDescent="0.25">
      <c r="A41" s="26"/>
      <c r="B41" s="26"/>
      <c r="C41" s="142"/>
      <c r="D41" s="142"/>
      <c r="E41" s="142"/>
      <c r="F41" s="26"/>
      <c r="G41" s="26"/>
      <c r="H41" s="26"/>
      <c r="I41" s="26"/>
      <c r="J41" s="194" t="s">
        <v>773</v>
      </c>
      <c r="K41" s="195">
        <f>K26+K18+K19+K20+K21</f>
        <v>331756.36129999999</v>
      </c>
      <c r="L41" s="195">
        <f t="shared" ref="L41:BW41" si="63">L26+L18+L19+L20+L21</f>
        <v>-41599.199999999997</v>
      </c>
      <c r="M41" s="195">
        <f t="shared" si="63"/>
        <v>328752.49490000005</v>
      </c>
      <c r="N41" s="195">
        <f t="shared" si="63"/>
        <v>-41599.199999999997</v>
      </c>
      <c r="O41" s="195">
        <f t="shared" si="63"/>
        <v>325748.62849999999</v>
      </c>
      <c r="P41" s="195">
        <f t="shared" si="63"/>
        <v>-41599.199999999997</v>
      </c>
      <c r="Q41" s="195">
        <f t="shared" si="63"/>
        <v>322744.76209999999</v>
      </c>
      <c r="R41" s="195">
        <f t="shared" si="63"/>
        <v>-41599.199999999997</v>
      </c>
      <c r="S41" s="195">
        <f t="shared" si="63"/>
        <v>319740.89569999994</v>
      </c>
      <c r="T41" s="195">
        <f t="shared" si="63"/>
        <v>-41599.199999999997</v>
      </c>
      <c r="U41" s="195">
        <f t="shared" si="63"/>
        <v>316737.02929999999</v>
      </c>
      <c r="V41" s="195">
        <f t="shared" si="63"/>
        <v>-41599.199999999997</v>
      </c>
      <c r="W41" s="195">
        <f t="shared" si="63"/>
        <v>-41599.199999999997</v>
      </c>
      <c r="X41" s="195">
        <f t="shared" si="63"/>
        <v>-41599.199999999997</v>
      </c>
      <c r="Y41" s="195">
        <f t="shared" si="63"/>
        <v>310729.2965</v>
      </c>
      <c r="Z41" s="195">
        <f t="shared" si="63"/>
        <v>-41599.199999999997</v>
      </c>
      <c r="AA41" s="195">
        <f t="shared" si="63"/>
        <v>274144.70697000006</v>
      </c>
      <c r="AB41" s="195">
        <f t="shared" si="63"/>
        <v>-41599.199999999997</v>
      </c>
      <c r="AC41" s="195">
        <f t="shared" si="63"/>
        <v>271140.84057000006</v>
      </c>
      <c r="AD41" s="195">
        <f t="shared" si="63"/>
        <v>-41599.199999999997</v>
      </c>
      <c r="AE41" s="195">
        <f t="shared" si="63"/>
        <v>268136.97417</v>
      </c>
      <c r="AF41" s="195">
        <f t="shared" si="63"/>
        <v>-41599.199999999997</v>
      </c>
      <c r="AG41" s="195">
        <f t="shared" si="63"/>
        <v>265133.10777000006</v>
      </c>
      <c r="AH41" s="195">
        <f t="shared" si="63"/>
        <v>-41599.199999999997</v>
      </c>
      <c r="AI41" s="195">
        <f t="shared" si="63"/>
        <v>262129.24136999997</v>
      </c>
      <c r="AJ41" s="195">
        <f t="shared" si="63"/>
        <v>-41599.199999999997</v>
      </c>
      <c r="AK41" s="195">
        <f t="shared" si="63"/>
        <v>259125.37497000003</v>
      </c>
      <c r="AL41" s="195">
        <f t="shared" si="63"/>
        <v>-41599.199999999997</v>
      </c>
      <c r="AM41" s="195">
        <f t="shared" si="63"/>
        <v>-41599.199999999997</v>
      </c>
      <c r="AN41" s="195">
        <f t="shared" si="63"/>
        <v>254619.57537000004</v>
      </c>
      <c r="AO41" s="195">
        <f t="shared" si="63"/>
        <v>-41599.199999999997</v>
      </c>
      <c r="AP41" s="195">
        <f t="shared" si="63"/>
        <v>251615.70897000004</v>
      </c>
      <c r="AQ41" s="195">
        <f t="shared" si="63"/>
        <v>-41599.199999999997</v>
      </c>
      <c r="AR41" s="195">
        <f t="shared" si="63"/>
        <v>220792.28487300003</v>
      </c>
      <c r="AS41" s="195">
        <f t="shared" si="63"/>
        <v>-41599.199999999997</v>
      </c>
      <c r="AT41" s="195">
        <f t="shared" si="63"/>
        <v>217788.41847300006</v>
      </c>
      <c r="AU41" s="195">
        <f t="shared" si="63"/>
        <v>-41599.199999999997</v>
      </c>
      <c r="AV41" s="195">
        <f t="shared" si="63"/>
        <v>214784.55207300003</v>
      </c>
      <c r="AW41" s="195">
        <f t="shared" si="63"/>
        <v>-41599.199999999997</v>
      </c>
      <c r="AX41" s="195">
        <f t="shared" si="63"/>
        <v>211780.68567300009</v>
      </c>
      <c r="AY41" s="195">
        <f t="shared" si="63"/>
        <v>-41599.199999999997</v>
      </c>
      <c r="AZ41" s="195">
        <f t="shared" si="63"/>
        <v>208776.81927300006</v>
      </c>
      <c r="BA41" s="195">
        <f t="shared" si="63"/>
        <v>-41599.199999999997</v>
      </c>
      <c r="BB41" s="195">
        <f t="shared" si="63"/>
        <v>-41599.199999999997</v>
      </c>
      <c r="BC41" s="195">
        <f t="shared" si="63"/>
        <v>-41599.199999999997</v>
      </c>
      <c r="BD41" s="195">
        <f t="shared" si="63"/>
        <v>202769.08647300003</v>
      </c>
      <c r="BE41" s="195">
        <f t="shared" si="63"/>
        <v>-41599.199999999997</v>
      </c>
      <c r="BF41" s="195">
        <f t="shared" si="63"/>
        <v>199765.22007300003</v>
      </c>
      <c r="BG41" s="195">
        <f t="shared" si="63"/>
        <v>-41599.199999999997</v>
      </c>
      <c r="BH41" s="195">
        <f t="shared" si="63"/>
        <v>407338.90072500007</v>
      </c>
      <c r="BI41" s="195">
        <f t="shared" si="63"/>
        <v>-41599.199999999997</v>
      </c>
      <c r="BJ41" s="195">
        <f t="shared" si="63"/>
        <v>407338.90072500007</v>
      </c>
      <c r="BK41" s="195">
        <f t="shared" si="63"/>
        <v>-41599.199999999997</v>
      </c>
      <c r="BL41" s="195">
        <f t="shared" si="63"/>
        <v>407338.90072500007</v>
      </c>
      <c r="BM41" s="195">
        <f t="shared" si="63"/>
        <v>-41599.199999999997</v>
      </c>
      <c r="BN41" s="195">
        <f t="shared" si="63"/>
        <v>407338.90072500007</v>
      </c>
      <c r="BO41" s="195">
        <f t="shared" si="63"/>
        <v>-41599.199999999997</v>
      </c>
      <c r="BP41" s="195">
        <f t="shared" si="63"/>
        <v>407338.90072500007</v>
      </c>
      <c r="BQ41" s="195">
        <f t="shared" si="63"/>
        <v>-41599.199999999997</v>
      </c>
      <c r="BR41" s="195">
        <f t="shared" si="63"/>
        <v>-41599.199999999997</v>
      </c>
      <c r="BS41" s="195">
        <f t="shared" si="63"/>
        <v>-41599.199999999997</v>
      </c>
      <c r="BT41" s="195">
        <f t="shared" si="63"/>
        <v>407338.90072500007</v>
      </c>
      <c r="BU41" s="195">
        <f t="shared" si="63"/>
        <v>-41599.199999999997</v>
      </c>
      <c r="BV41" s="195">
        <f t="shared" si="63"/>
        <v>407338.90072500007</v>
      </c>
      <c r="BW41" s="195">
        <f t="shared" si="63"/>
        <v>-41599.199999999997</v>
      </c>
      <c r="BX41" s="195">
        <f t="shared" ref="BX41:CI41" si="64">BX26+BX18+BX19+BX20+BX21</f>
        <v>407338.90072500007</v>
      </c>
      <c r="BY41" s="195">
        <f t="shared" si="64"/>
        <v>-41599.199999999997</v>
      </c>
      <c r="BZ41" s="195">
        <f t="shared" si="64"/>
        <v>407338.90072500007</v>
      </c>
      <c r="CA41" s="195">
        <f t="shared" si="64"/>
        <v>-41599.199999999997</v>
      </c>
      <c r="CB41" s="195">
        <f t="shared" si="64"/>
        <v>407338.90072500007</v>
      </c>
      <c r="CC41" s="195">
        <f t="shared" si="64"/>
        <v>-41599.199999999997</v>
      </c>
      <c r="CD41" s="195">
        <f t="shared" si="64"/>
        <v>407338.90072500007</v>
      </c>
      <c r="CE41" s="195">
        <f t="shared" si="64"/>
        <v>-41599.199999999997</v>
      </c>
      <c r="CF41" s="195">
        <f t="shared" si="64"/>
        <v>407338.90072500007</v>
      </c>
      <c r="CG41" s="195">
        <f t="shared" si="64"/>
        <v>-41599.199999999997</v>
      </c>
      <c r="CH41" s="195">
        <f t="shared" si="64"/>
        <v>-41599.199999999997</v>
      </c>
      <c r="CI41" s="195">
        <f t="shared" si="64"/>
        <v>-41599.199999999997</v>
      </c>
    </row>
    <row r="42" spans="1:87" x14ac:dyDescent="0.25">
      <c r="A42" s="26"/>
      <c r="B42" s="26"/>
      <c r="C42" s="142"/>
      <c r="D42" s="142"/>
      <c r="E42" s="142"/>
      <c r="F42" s="26"/>
      <c r="G42" s="26"/>
      <c r="H42" s="26"/>
      <c r="I42" s="26"/>
      <c r="J42" s="194" t="s">
        <v>774</v>
      </c>
      <c r="K42" s="195">
        <f>K27+K28+K29+K30+K31+K32+K33+K34+K35+K36+K37+K38+K39+K22+K23+K24+K25</f>
        <v>212019.36129999996</v>
      </c>
      <c r="L42" s="195">
        <f t="shared" ref="L42:BW42" si="65">L27+L28+L29+L30+L31+L32+L33+L34+L35+L36+L37+L38+L39+L22+L23+L24+L25</f>
        <v>-29119.439999999995</v>
      </c>
      <c r="M42" s="195">
        <f t="shared" si="65"/>
        <v>337779.99489999999</v>
      </c>
      <c r="N42" s="195">
        <f t="shared" si="65"/>
        <v>-29119.439999999995</v>
      </c>
      <c r="O42" s="195">
        <f t="shared" si="65"/>
        <v>336190.68849999999</v>
      </c>
      <c r="P42" s="195">
        <f t="shared" si="65"/>
        <v>-29119.439999999995</v>
      </c>
      <c r="Q42" s="195">
        <f t="shared" si="65"/>
        <v>334601.38209999999</v>
      </c>
      <c r="R42" s="195">
        <f t="shared" si="65"/>
        <v>-29119.439999999995</v>
      </c>
      <c r="S42" s="195">
        <f t="shared" si="65"/>
        <v>332220.65569999994</v>
      </c>
      <c r="T42" s="195">
        <f t="shared" si="65"/>
        <v>-29119.440000000002</v>
      </c>
      <c r="U42" s="195">
        <f t="shared" si="65"/>
        <v>329216.7893</v>
      </c>
      <c r="V42" s="195">
        <f t="shared" si="65"/>
        <v>-29119.439999999995</v>
      </c>
      <c r="W42" s="195">
        <f t="shared" si="65"/>
        <v>-29119.439999999995</v>
      </c>
      <c r="X42" s="195">
        <f t="shared" si="65"/>
        <v>-29119.439999999999</v>
      </c>
      <c r="Y42" s="195">
        <f t="shared" si="65"/>
        <v>323209.05650000001</v>
      </c>
      <c r="Z42" s="195">
        <f t="shared" si="65"/>
        <v>-29119.439999999995</v>
      </c>
      <c r="AA42" s="195">
        <f t="shared" si="65"/>
        <v>286624.46697000007</v>
      </c>
      <c r="AB42" s="195">
        <f t="shared" si="65"/>
        <v>-29119.440000000002</v>
      </c>
      <c r="AC42" s="195">
        <f t="shared" si="65"/>
        <v>283620.60057000007</v>
      </c>
      <c r="AD42" s="195">
        <f t="shared" si="65"/>
        <v>-29119.439999999995</v>
      </c>
      <c r="AE42" s="195">
        <f t="shared" si="65"/>
        <v>280616.73417000001</v>
      </c>
      <c r="AF42" s="195">
        <f t="shared" si="65"/>
        <v>-29119.439999999995</v>
      </c>
      <c r="AG42" s="195">
        <f t="shared" si="65"/>
        <v>277612.86777000001</v>
      </c>
      <c r="AH42" s="195">
        <f t="shared" si="65"/>
        <v>-29119.439999999999</v>
      </c>
      <c r="AI42" s="195">
        <f t="shared" si="65"/>
        <v>274609.00137000001</v>
      </c>
      <c r="AJ42" s="195">
        <f t="shared" si="65"/>
        <v>-29119.439999999999</v>
      </c>
      <c r="AK42" s="195">
        <f t="shared" si="65"/>
        <v>271605.13497000001</v>
      </c>
      <c r="AL42" s="195">
        <f t="shared" si="65"/>
        <v>-29119.439999999999</v>
      </c>
      <c r="AM42" s="195">
        <f t="shared" si="65"/>
        <v>-29119.439999999999</v>
      </c>
      <c r="AN42" s="195">
        <f t="shared" si="65"/>
        <v>267099.33537000004</v>
      </c>
      <c r="AO42" s="195">
        <f t="shared" si="65"/>
        <v>-29119.439999999999</v>
      </c>
      <c r="AP42" s="195">
        <f t="shared" si="65"/>
        <v>264095.46897000005</v>
      </c>
      <c r="AQ42" s="195">
        <f t="shared" si="65"/>
        <v>-29119.439999999995</v>
      </c>
      <c r="AR42" s="195">
        <f t="shared" si="65"/>
        <v>233272.04487300004</v>
      </c>
      <c r="AS42" s="195">
        <f t="shared" si="65"/>
        <v>-29119.439999999999</v>
      </c>
      <c r="AT42" s="195">
        <f t="shared" si="65"/>
        <v>230268.17847300007</v>
      </c>
      <c r="AU42" s="195">
        <f t="shared" si="65"/>
        <v>-29119.439999999999</v>
      </c>
      <c r="AV42" s="195">
        <f t="shared" si="65"/>
        <v>227264.31207300001</v>
      </c>
      <c r="AW42" s="195">
        <f t="shared" si="65"/>
        <v>-29119.439999999995</v>
      </c>
      <c r="AX42" s="195">
        <f t="shared" si="65"/>
        <v>224260.44567300004</v>
      </c>
      <c r="AY42" s="195">
        <f t="shared" si="65"/>
        <v>-29119.439999999999</v>
      </c>
      <c r="AZ42" s="195">
        <f t="shared" si="65"/>
        <v>221256.57927300004</v>
      </c>
      <c r="BA42" s="195">
        <f t="shared" si="65"/>
        <v>-29119.439999999995</v>
      </c>
      <c r="BB42" s="195">
        <f t="shared" si="65"/>
        <v>-29119.439999999995</v>
      </c>
      <c r="BC42" s="195">
        <f t="shared" si="65"/>
        <v>-29119.439999999999</v>
      </c>
      <c r="BD42" s="195">
        <f t="shared" si="65"/>
        <v>215248.84647300004</v>
      </c>
      <c r="BE42" s="195">
        <f t="shared" si="65"/>
        <v>-29119.439999999999</v>
      </c>
      <c r="BF42" s="195">
        <f t="shared" si="65"/>
        <v>212244.98007300001</v>
      </c>
      <c r="BG42" s="195">
        <f t="shared" si="65"/>
        <v>-29119.439999999995</v>
      </c>
      <c r="BH42" s="195">
        <f t="shared" si="65"/>
        <v>419818.66072500008</v>
      </c>
      <c r="BI42" s="195">
        <f t="shared" si="65"/>
        <v>-29119.439999999995</v>
      </c>
      <c r="BJ42" s="195">
        <f t="shared" si="65"/>
        <v>419818.66072500008</v>
      </c>
      <c r="BK42" s="195">
        <f t="shared" si="65"/>
        <v>-29119.439999999995</v>
      </c>
      <c r="BL42" s="195">
        <f t="shared" si="65"/>
        <v>419818.66072500008</v>
      </c>
      <c r="BM42" s="195">
        <f t="shared" si="65"/>
        <v>-29119.439999999995</v>
      </c>
      <c r="BN42" s="195">
        <f t="shared" si="65"/>
        <v>419818.66072500008</v>
      </c>
      <c r="BO42" s="195">
        <f t="shared" si="65"/>
        <v>-29119.439999999995</v>
      </c>
      <c r="BP42" s="195">
        <f t="shared" si="65"/>
        <v>419818.66072500008</v>
      </c>
      <c r="BQ42" s="195">
        <f t="shared" si="65"/>
        <v>-29119.439999999995</v>
      </c>
      <c r="BR42" s="195">
        <f t="shared" si="65"/>
        <v>-29119.439999999995</v>
      </c>
      <c r="BS42" s="195">
        <f t="shared" si="65"/>
        <v>-29119.439999999995</v>
      </c>
      <c r="BT42" s="195">
        <f t="shared" si="65"/>
        <v>419818.66072500008</v>
      </c>
      <c r="BU42" s="195">
        <f t="shared" si="65"/>
        <v>-29119.439999999995</v>
      </c>
      <c r="BV42" s="195">
        <f t="shared" si="65"/>
        <v>419818.66072500008</v>
      </c>
      <c r="BW42" s="195">
        <f t="shared" si="65"/>
        <v>-29119.439999999995</v>
      </c>
      <c r="BX42" s="195">
        <f t="shared" ref="BX42:CI42" si="66">BX27+BX28+BX29+BX30+BX31+BX32+BX33+BX34+BX35+BX36+BX37+BX38+BX39+BX22+BX23+BX24+BX25</f>
        <v>419818.66072500008</v>
      </c>
      <c r="BY42" s="195">
        <f t="shared" si="66"/>
        <v>-29119.439999999995</v>
      </c>
      <c r="BZ42" s="195">
        <f t="shared" si="66"/>
        <v>419818.66072500008</v>
      </c>
      <c r="CA42" s="195">
        <f t="shared" si="66"/>
        <v>-29119.439999999995</v>
      </c>
      <c r="CB42" s="195">
        <f t="shared" si="66"/>
        <v>419818.66072500008</v>
      </c>
      <c r="CC42" s="195">
        <f t="shared" si="66"/>
        <v>-29119.439999999995</v>
      </c>
      <c r="CD42" s="195">
        <f t="shared" si="66"/>
        <v>419818.66072500008</v>
      </c>
      <c r="CE42" s="195">
        <f t="shared" si="66"/>
        <v>-29119.439999999995</v>
      </c>
      <c r="CF42" s="195">
        <f t="shared" si="66"/>
        <v>419818.66072500008</v>
      </c>
      <c r="CG42" s="195">
        <f t="shared" si="66"/>
        <v>-29119.439999999995</v>
      </c>
      <c r="CH42" s="195">
        <f t="shared" si="66"/>
        <v>-29119.439999999995</v>
      </c>
      <c r="CI42" s="195">
        <f t="shared" si="66"/>
        <v>-29119.439999999995</v>
      </c>
    </row>
    <row r="43" spans="1:87" ht="18.75" x14ac:dyDescent="0.3">
      <c r="A43" s="196"/>
      <c r="B43" s="26"/>
      <c r="C43" s="197"/>
      <c r="D43" s="197"/>
      <c r="E43" s="197"/>
      <c r="F43" s="196"/>
      <c r="G43" s="196"/>
      <c r="H43" s="196"/>
      <c r="I43" s="196"/>
      <c r="J43" s="198" t="s">
        <v>749</v>
      </c>
      <c r="K43" s="199">
        <f>K42-K41</f>
        <v>-119737.00000000003</v>
      </c>
      <c r="L43" s="199">
        <f t="shared" ref="L43:BW43" si="67">L42-L41</f>
        <v>12479.760000000002</v>
      </c>
      <c r="M43" s="199">
        <f t="shared" si="67"/>
        <v>9027.4999999999418</v>
      </c>
      <c r="N43" s="199">
        <f t="shared" si="67"/>
        <v>12479.760000000002</v>
      </c>
      <c r="O43" s="199">
        <f t="shared" si="67"/>
        <v>10442.059999999998</v>
      </c>
      <c r="P43" s="199">
        <f t="shared" si="67"/>
        <v>12479.760000000002</v>
      </c>
      <c r="Q43" s="199">
        <f t="shared" si="67"/>
        <v>11856.619999999995</v>
      </c>
      <c r="R43" s="199">
        <f t="shared" si="67"/>
        <v>12479.760000000002</v>
      </c>
      <c r="S43" s="199">
        <f t="shared" si="67"/>
        <v>12479.760000000009</v>
      </c>
      <c r="T43" s="199">
        <f t="shared" si="67"/>
        <v>12479.759999999995</v>
      </c>
      <c r="U43" s="199">
        <f t="shared" si="67"/>
        <v>12479.760000000009</v>
      </c>
      <c r="V43" s="199">
        <f t="shared" si="67"/>
        <v>12479.760000000002</v>
      </c>
      <c r="W43" s="199">
        <f t="shared" si="67"/>
        <v>12479.760000000002</v>
      </c>
      <c r="X43" s="199">
        <f t="shared" si="67"/>
        <v>12479.759999999998</v>
      </c>
      <c r="Y43" s="199">
        <f t="shared" si="67"/>
        <v>12479.760000000009</v>
      </c>
      <c r="Z43" s="199">
        <f t="shared" si="67"/>
        <v>12479.760000000002</v>
      </c>
      <c r="AA43" s="199">
        <f t="shared" si="67"/>
        <v>12479.760000000009</v>
      </c>
      <c r="AB43" s="199">
        <f t="shared" si="67"/>
        <v>12479.759999999995</v>
      </c>
      <c r="AC43" s="199">
        <f t="shared" si="67"/>
        <v>12479.760000000009</v>
      </c>
      <c r="AD43" s="199">
        <f t="shared" si="67"/>
        <v>12479.760000000002</v>
      </c>
      <c r="AE43" s="199">
        <f t="shared" si="67"/>
        <v>12479.760000000009</v>
      </c>
      <c r="AF43" s="199">
        <f t="shared" si="67"/>
        <v>12479.760000000002</v>
      </c>
      <c r="AG43" s="199">
        <f t="shared" si="67"/>
        <v>12479.759999999951</v>
      </c>
      <c r="AH43" s="199">
        <f t="shared" si="67"/>
        <v>12479.759999999998</v>
      </c>
      <c r="AI43" s="199">
        <f t="shared" si="67"/>
        <v>12479.760000000038</v>
      </c>
      <c r="AJ43" s="199">
        <f t="shared" si="67"/>
        <v>12479.759999999998</v>
      </c>
      <c r="AK43" s="199">
        <f t="shared" si="67"/>
        <v>12479.75999999998</v>
      </c>
      <c r="AL43" s="199">
        <f t="shared" si="67"/>
        <v>12479.759999999998</v>
      </c>
      <c r="AM43" s="199">
        <f t="shared" si="67"/>
        <v>12479.759999999998</v>
      </c>
      <c r="AN43" s="199">
        <f t="shared" si="67"/>
        <v>12479.760000000009</v>
      </c>
      <c r="AO43" s="199">
        <f t="shared" si="67"/>
        <v>12479.759999999998</v>
      </c>
      <c r="AP43" s="199">
        <f t="shared" si="67"/>
        <v>12479.760000000009</v>
      </c>
      <c r="AQ43" s="199">
        <f t="shared" si="67"/>
        <v>12479.760000000002</v>
      </c>
      <c r="AR43" s="199">
        <f t="shared" si="67"/>
        <v>12479.760000000009</v>
      </c>
      <c r="AS43" s="199">
        <f t="shared" si="67"/>
        <v>12479.759999999998</v>
      </c>
      <c r="AT43" s="199">
        <f t="shared" si="67"/>
        <v>12479.760000000009</v>
      </c>
      <c r="AU43" s="199">
        <f t="shared" si="67"/>
        <v>12479.759999999998</v>
      </c>
      <c r="AV43" s="199">
        <f t="shared" si="67"/>
        <v>12479.75999999998</v>
      </c>
      <c r="AW43" s="199">
        <f t="shared" si="67"/>
        <v>12479.760000000002</v>
      </c>
      <c r="AX43" s="199">
        <f t="shared" si="67"/>
        <v>12479.759999999951</v>
      </c>
      <c r="AY43" s="199">
        <f t="shared" si="67"/>
        <v>12479.759999999998</v>
      </c>
      <c r="AZ43" s="199">
        <f t="shared" si="67"/>
        <v>12479.75999999998</v>
      </c>
      <c r="BA43" s="199">
        <f t="shared" si="67"/>
        <v>12479.760000000002</v>
      </c>
      <c r="BB43" s="199">
        <f t="shared" si="67"/>
        <v>12479.760000000002</v>
      </c>
      <c r="BC43" s="199">
        <f t="shared" si="67"/>
        <v>12479.759999999998</v>
      </c>
      <c r="BD43" s="199">
        <f t="shared" si="67"/>
        <v>12479.760000000009</v>
      </c>
      <c r="BE43" s="199">
        <f t="shared" si="67"/>
        <v>12479.759999999998</v>
      </c>
      <c r="BF43" s="199">
        <f t="shared" si="67"/>
        <v>12479.75999999998</v>
      </c>
      <c r="BG43" s="199">
        <f t="shared" si="67"/>
        <v>12479.760000000002</v>
      </c>
      <c r="BH43" s="199">
        <f t="shared" si="67"/>
        <v>12479.760000000009</v>
      </c>
      <c r="BI43" s="199">
        <f t="shared" si="67"/>
        <v>12479.760000000002</v>
      </c>
      <c r="BJ43" s="199">
        <f t="shared" si="67"/>
        <v>12479.760000000009</v>
      </c>
      <c r="BK43" s="199">
        <f t="shared" si="67"/>
        <v>12479.760000000002</v>
      </c>
      <c r="BL43" s="199">
        <f t="shared" si="67"/>
        <v>12479.760000000009</v>
      </c>
      <c r="BM43" s="199">
        <f t="shared" si="67"/>
        <v>12479.760000000002</v>
      </c>
      <c r="BN43" s="199">
        <f t="shared" si="67"/>
        <v>12479.760000000009</v>
      </c>
      <c r="BO43" s="199">
        <f t="shared" si="67"/>
        <v>12479.760000000002</v>
      </c>
      <c r="BP43" s="199">
        <f t="shared" si="67"/>
        <v>12479.760000000009</v>
      </c>
      <c r="BQ43" s="199">
        <f t="shared" si="67"/>
        <v>12479.760000000002</v>
      </c>
      <c r="BR43" s="199">
        <f t="shared" si="67"/>
        <v>12479.760000000002</v>
      </c>
      <c r="BS43" s="199">
        <f t="shared" si="67"/>
        <v>12479.760000000002</v>
      </c>
      <c r="BT43" s="199">
        <f t="shared" si="67"/>
        <v>12479.760000000009</v>
      </c>
      <c r="BU43" s="199">
        <f t="shared" si="67"/>
        <v>12479.760000000002</v>
      </c>
      <c r="BV43" s="199">
        <f t="shared" si="67"/>
        <v>12479.760000000009</v>
      </c>
      <c r="BW43" s="199">
        <f t="shared" si="67"/>
        <v>12479.760000000002</v>
      </c>
      <c r="BX43" s="199">
        <f t="shared" ref="BX43:CI43" si="68">BX42-BX41</f>
        <v>12479.760000000009</v>
      </c>
      <c r="BY43" s="199">
        <f t="shared" si="68"/>
        <v>12479.760000000002</v>
      </c>
      <c r="BZ43" s="199">
        <f t="shared" si="68"/>
        <v>12479.760000000009</v>
      </c>
      <c r="CA43" s="199">
        <f t="shared" si="68"/>
        <v>12479.760000000002</v>
      </c>
      <c r="CB43" s="199">
        <f t="shared" si="68"/>
        <v>12479.760000000009</v>
      </c>
      <c r="CC43" s="199">
        <f t="shared" si="68"/>
        <v>12479.760000000002</v>
      </c>
      <c r="CD43" s="199">
        <f t="shared" si="68"/>
        <v>12479.760000000009</v>
      </c>
      <c r="CE43" s="199">
        <f t="shared" si="68"/>
        <v>12479.760000000002</v>
      </c>
      <c r="CF43" s="199">
        <f t="shared" si="68"/>
        <v>12479.760000000009</v>
      </c>
      <c r="CG43" s="199">
        <f t="shared" si="68"/>
        <v>12479.760000000002</v>
      </c>
      <c r="CH43" s="199">
        <f t="shared" si="68"/>
        <v>12479.760000000002</v>
      </c>
      <c r="CI43" s="199">
        <f t="shared" si="68"/>
        <v>12479.760000000002</v>
      </c>
    </row>
    <row r="44" spans="1:87" ht="18.75" x14ac:dyDescent="0.3">
      <c r="A44" s="196"/>
      <c r="B44" s="26"/>
      <c r="C44" s="197"/>
      <c r="D44" s="197"/>
      <c r="E44" s="197"/>
      <c r="F44" s="196"/>
      <c r="G44" s="196"/>
      <c r="H44" s="196"/>
      <c r="I44" s="196"/>
      <c r="J44" s="200" t="s">
        <v>775</v>
      </c>
      <c r="K44" s="201">
        <f>K43</f>
        <v>-119737.00000000003</v>
      </c>
      <c r="L44" s="201">
        <f>K44+L43</f>
        <v>-107257.24000000002</v>
      </c>
      <c r="M44" s="201">
        <f t="shared" ref="M44:BX44" si="69">L44+M43</f>
        <v>-98229.740000000078</v>
      </c>
      <c r="N44" s="201">
        <f t="shared" si="69"/>
        <v>-85749.980000000069</v>
      </c>
      <c r="O44" s="201">
        <f t="shared" si="69"/>
        <v>-75307.920000000071</v>
      </c>
      <c r="P44" s="201">
        <f t="shared" si="69"/>
        <v>-62828.160000000069</v>
      </c>
      <c r="Q44" s="201">
        <f t="shared" si="69"/>
        <v>-50971.540000000074</v>
      </c>
      <c r="R44" s="201">
        <f t="shared" si="69"/>
        <v>-38491.780000000072</v>
      </c>
      <c r="S44" s="201">
        <f t="shared" si="69"/>
        <v>-26012.020000000062</v>
      </c>
      <c r="T44" s="201">
        <f t="shared" si="69"/>
        <v>-13532.260000000068</v>
      </c>
      <c r="U44" s="201">
        <f t="shared" si="69"/>
        <v>-1052.5000000000582</v>
      </c>
      <c r="V44" s="201">
        <f t="shared" si="69"/>
        <v>11427.259999999944</v>
      </c>
      <c r="W44" s="201">
        <f t="shared" si="69"/>
        <v>23907.019999999946</v>
      </c>
      <c r="X44" s="201">
        <f t="shared" si="69"/>
        <v>36386.779999999941</v>
      </c>
      <c r="Y44" s="201">
        <f t="shared" si="69"/>
        <v>48866.53999999995</v>
      </c>
      <c r="Z44" s="201">
        <f t="shared" si="69"/>
        <v>61346.299999999952</v>
      </c>
      <c r="AA44" s="201">
        <f t="shared" si="69"/>
        <v>73826.059999999969</v>
      </c>
      <c r="AB44" s="201">
        <f t="shared" si="69"/>
        <v>86305.819999999963</v>
      </c>
      <c r="AC44" s="201">
        <f t="shared" si="69"/>
        <v>98785.579999999973</v>
      </c>
      <c r="AD44" s="201">
        <f t="shared" si="69"/>
        <v>111265.33999999997</v>
      </c>
      <c r="AE44" s="201">
        <f t="shared" si="69"/>
        <v>123745.09999999998</v>
      </c>
      <c r="AF44" s="201">
        <f t="shared" si="69"/>
        <v>136224.85999999999</v>
      </c>
      <c r="AG44" s="201">
        <f t="shared" si="69"/>
        <v>148704.61999999994</v>
      </c>
      <c r="AH44" s="201">
        <f t="shared" si="69"/>
        <v>161184.37999999995</v>
      </c>
      <c r="AI44" s="201">
        <f t="shared" si="69"/>
        <v>173664.13999999998</v>
      </c>
      <c r="AJ44" s="201">
        <f t="shared" si="69"/>
        <v>186143.9</v>
      </c>
      <c r="AK44" s="201">
        <f t="shared" si="69"/>
        <v>198623.65999999997</v>
      </c>
      <c r="AL44" s="201">
        <f t="shared" si="69"/>
        <v>211103.41999999998</v>
      </c>
      <c r="AM44" s="201">
        <f t="shared" si="69"/>
        <v>223583.18</v>
      </c>
      <c r="AN44" s="201">
        <f t="shared" si="69"/>
        <v>236062.94</v>
      </c>
      <c r="AO44" s="201">
        <f t="shared" si="69"/>
        <v>248542.7</v>
      </c>
      <c r="AP44" s="201">
        <f t="shared" si="69"/>
        <v>261022.46000000002</v>
      </c>
      <c r="AQ44" s="201">
        <f t="shared" si="69"/>
        <v>273502.22000000003</v>
      </c>
      <c r="AR44" s="201">
        <f t="shared" si="69"/>
        <v>285981.98000000004</v>
      </c>
      <c r="AS44" s="201">
        <f t="shared" si="69"/>
        <v>298461.74000000005</v>
      </c>
      <c r="AT44" s="201">
        <f t="shared" si="69"/>
        <v>310941.50000000006</v>
      </c>
      <c r="AU44" s="201">
        <f t="shared" si="69"/>
        <v>323421.26000000007</v>
      </c>
      <c r="AV44" s="201">
        <f t="shared" si="69"/>
        <v>335901.02</v>
      </c>
      <c r="AW44" s="201">
        <f t="shared" si="69"/>
        <v>348380.78</v>
      </c>
      <c r="AX44" s="201">
        <f t="shared" si="69"/>
        <v>360860.54</v>
      </c>
      <c r="AY44" s="201">
        <f t="shared" si="69"/>
        <v>373340.3</v>
      </c>
      <c r="AZ44" s="201">
        <f t="shared" si="69"/>
        <v>385820.05999999994</v>
      </c>
      <c r="BA44" s="201">
        <f t="shared" si="69"/>
        <v>398299.81999999995</v>
      </c>
      <c r="BB44" s="201">
        <f t="shared" si="69"/>
        <v>410779.57999999996</v>
      </c>
      <c r="BC44" s="201">
        <f t="shared" si="69"/>
        <v>423259.33999999997</v>
      </c>
      <c r="BD44" s="201">
        <f t="shared" si="69"/>
        <v>435739.1</v>
      </c>
      <c r="BE44" s="201">
        <f t="shared" si="69"/>
        <v>448218.86</v>
      </c>
      <c r="BF44" s="201">
        <f t="shared" si="69"/>
        <v>460698.62</v>
      </c>
      <c r="BG44" s="201">
        <f t="shared" si="69"/>
        <v>473178.38</v>
      </c>
      <c r="BH44" s="201">
        <f t="shared" si="69"/>
        <v>485658.14</v>
      </c>
      <c r="BI44" s="201">
        <f t="shared" si="69"/>
        <v>498137.9</v>
      </c>
      <c r="BJ44" s="201">
        <f t="shared" si="69"/>
        <v>510617.66000000003</v>
      </c>
      <c r="BK44" s="201">
        <f t="shared" si="69"/>
        <v>523097.42000000004</v>
      </c>
      <c r="BL44" s="201">
        <f t="shared" si="69"/>
        <v>535577.18000000005</v>
      </c>
      <c r="BM44" s="201">
        <f t="shared" si="69"/>
        <v>548056.94000000006</v>
      </c>
      <c r="BN44" s="201">
        <f t="shared" si="69"/>
        <v>560536.70000000007</v>
      </c>
      <c r="BO44" s="201">
        <f t="shared" si="69"/>
        <v>573016.46000000008</v>
      </c>
      <c r="BP44" s="201">
        <f t="shared" si="69"/>
        <v>585496.22000000009</v>
      </c>
      <c r="BQ44" s="201">
        <f t="shared" si="69"/>
        <v>597975.9800000001</v>
      </c>
      <c r="BR44" s="201">
        <f t="shared" si="69"/>
        <v>610455.74000000011</v>
      </c>
      <c r="BS44" s="201">
        <f t="shared" si="69"/>
        <v>622935.50000000012</v>
      </c>
      <c r="BT44" s="201">
        <f t="shared" si="69"/>
        <v>635415.26000000013</v>
      </c>
      <c r="BU44" s="201">
        <f t="shared" si="69"/>
        <v>647895.02000000014</v>
      </c>
      <c r="BV44" s="201">
        <f t="shared" si="69"/>
        <v>660374.78000000014</v>
      </c>
      <c r="BW44" s="201">
        <f t="shared" si="69"/>
        <v>672854.54000000015</v>
      </c>
      <c r="BX44" s="201">
        <f t="shared" si="69"/>
        <v>685334.30000000016</v>
      </c>
      <c r="BY44" s="201">
        <f t="shared" ref="BY44:CI44" si="70">BX44+BY43</f>
        <v>697814.06000000017</v>
      </c>
      <c r="BZ44" s="201">
        <f t="shared" si="70"/>
        <v>710293.82000000018</v>
      </c>
      <c r="CA44" s="201">
        <f t="shared" si="70"/>
        <v>722773.58000000019</v>
      </c>
      <c r="CB44" s="201">
        <f t="shared" si="70"/>
        <v>735253.3400000002</v>
      </c>
      <c r="CC44" s="201">
        <f t="shared" si="70"/>
        <v>747733.10000000021</v>
      </c>
      <c r="CD44" s="201">
        <f t="shared" si="70"/>
        <v>760212.86000000022</v>
      </c>
      <c r="CE44" s="201">
        <f t="shared" si="70"/>
        <v>772692.62000000023</v>
      </c>
      <c r="CF44" s="201">
        <f t="shared" si="70"/>
        <v>785172.38000000024</v>
      </c>
      <c r="CG44" s="201">
        <f t="shared" si="70"/>
        <v>797652.14000000025</v>
      </c>
      <c r="CH44" s="201">
        <f t="shared" si="70"/>
        <v>810131.90000000026</v>
      </c>
      <c r="CI44" s="201">
        <f t="shared" si="70"/>
        <v>822611.66000000027</v>
      </c>
    </row>
    <row r="45" spans="1:87" x14ac:dyDescent="0.25">
      <c r="A45" s="26"/>
      <c r="B45" s="26"/>
      <c r="C45" s="142"/>
      <c r="D45" s="142"/>
      <c r="E45" s="142"/>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row>
    <row r="46" spans="1:87" x14ac:dyDescent="0.25">
      <c r="A46" s="26"/>
      <c r="B46" s="26"/>
      <c r="C46" s="142"/>
      <c r="D46" s="142"/>
      <c r="E46" s="142"/>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row>
    <row r="47" spans="1:87" x14ac:dyDescent="0.25">
      <c r="A47" s="26"/>
      <c r="B47" s="26"/>
      <c r="C47" s="142"/>
      <c r="D47" s="142"/>
      <c r="E47" s="142"/>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row>
    <row r="48" spans="1:87" x14ac:dyDescent="0.25">
      <c r="A48" s="26"/>
      <c r="B48" s="26"/>
      <c r="C48" s="142"/>
      <c r="D48" s="142"/>
      <c r="E48" s="142"/>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row>
    <row r="49" spans="1:87" x14ac:dyDescent="0.25">
      <c r="A49" s="26"/>
      <c r="B49" s="26"/>
      <c r="C49" s="142"/>
      <c r="D49" s="142"/>
      <c r="E49" s="142"/>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row>
    <row r="50" spans="1:87" x14ac:dyDescent="0.25">
      <c r="A50" s="26"/>
      <c r="B50" s="26"/>
      <c r="C50" s="142"/>
      <c r="D50" s="142"/>
      <c r="E50" s="142"/>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row>
    <row r="51" spans="1:87" x14ac:dyDescent="0.25">
      <c r="A51" s="26"/>
      <c r="B51" s="26"/>
      <c r="C51" s="142"/>
      <c r="D51" s="142"/>
      <c r="E51" s="142"/>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row>
    <row r="52" spans="1:87" x14ac:dyDescent="0.25">
      <c r="A52" s="26"/>
      <c r="B52" s="26"/>
      <c r="C52" s="142"/>
      <c r="D52" s="142"/>
      <c r="E52" s="142"/>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row>
    <row r="53" spans="1:87" x14ac:dyDescent="0.25">
      <c r="A53" s="26"/>
      <c r="B53" s="26"/>
      <c r="C53" s="142"/>
      <c r="D53" s="142"/>
      <c r="E53" s="142"/>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row>
    <row r="54" spans="1:87" x14ac:dyDescent="0.25">
      <c r="A54" s="26"/>
      <c r="B54" s="26"/>
      <c r="C54" s="142"/>
      <c r="D54" s="142"/>
      <c r="E54" s="142"/>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row>
    <row r="55" spans="1:87" x14ac:dyDescent="0.25">
      <c r="A55" s="26"/>
      <c r="B55" s="26"/>
      <c r="C55" s="142"/>
      <c r="D55" s="142"/>
      <c r="E55" s="142"/>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row>
    <row r="56" spans="1:87" x14ac:dyDescent="0.25">
      <c r="A56" s="26"/>
      <c r="B56" s="26"/>
      <c r="C56" s="142"/>
      <c r="D56" s="142"/>
      <c r="E56" s="142"/>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row>
    <row r="57" spans="1:87" x14ac:dyDescent="0.25">
      <c r="A57" s="26"/>
      <c r="B57" s="26"/>
      <c r="C57" s="142"/>
      <c r="D57" s="142"/>
      <c r="E57" s="142"/>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row>
    <row r="58" spans="1:87" x14ac:dyDescent="0.25">
      <c r="A58" s="26"/>
      <c r="B58" s="26"/>
      <c r="C58" s="142"/>
      <c r="D58" s="142"/>
      <c r="E58" s="142"/>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row>
    <row r="59" spans="1:87" x14ac:dyDescent="0.25">
      <c r="A59" s="26"/>
      <c r="B59" s="26"/>
      <c r="C59" s="142"/>
      <c r="D59" s="142"/>
      <c r="E59" s="142"/>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row>
    <row r="60" spans="1:87" x14ac:dyDescent="0.25">
      <c r="A60" s="26"/>
      <c r="B60" s="26"/>
      <c r="C60" s="142"/>
      <c r="D60" s="142"/>
      <c r="E60" s="142"/>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row>
    <row r="61" spans="1:87" x14ac:dyDescent="0.25">
      <c r="A61" s="26"/>
      <c r="B61" s="26"/>
      <c r="C61" s="142"/>
      <c r="D61" s="142"/>
      <c r="E61" s="142"/>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row>
    <row r="62" spans="1:87" x14ac:dyDescent="0.25">
      <c r="A62" s="26"/>
      <c r="B62" s="26"/>
      <c r="C62" s="142"/>
      <c r="D62" s="142"/>
      <c r="E62" s="142"/>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row>
    <row r="63" spans="1:87" x14ac:dyDescent="0.25">
      <c r="A63" s="26"/>
      <c r="B63" s="26"/>
      <c r="C63" s="142"/>
      <c r="D63" s="142"/>
      <c r="E63" s="142"/>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row>
    <row r="64" spans="1:87" x14ac:dyDescent="0.25">
      <c r="A64" s="26"/>
      <c r="B64" s="26"/>
      <c r="C64" s="142"/>
      <c r="D64" s="142"/>
      <c r="E64" s="142"/>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row>
    <row r="65" spans="1:87" x14ac:dyDescent="0.25">
      <c r="A65" s="26"/>
      <c r="B65" s="26"/>
      <c r="C65" s="142"/>
      <c r="D65" s="142"/>
      <c r="E65" s="142"/>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row>
    <row r="66" spans="1:87" x14ac:dyDescent="0.25">
      <c r="A66" s="26"/>
      <c r="B66" s="26"/>
      <c r="C66" s="142"/>
      <c r="D66" s="142"/>
      <c r="E66" s="142"/>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row>
    <row r="67" spans="1:87" x14ac:dyDescent="0.25">
      <c r="A67" s="26"/>
      <c r="B67" s="26"/>
      <c r="C67" s="142"/>
      <c r="D67" s="142"/>
      <c r="E67" s="142"/>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row>
    <row r="68" spans="1:87" x14ac:dyDescent="0.25">
      <c r="A68" s="26"/>
      <c r="B68" s="26"/>
      <c r="C68" s="142"/>
      <c r="D68" s="142"/>
      <c r="E68" s="142"/>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row>
    <row r="69" spans="1:87" x14ac:dyDescent="0.25">
      <c r="A69" s="26"/>
      <c r="B69" s="26"/>
      <c r="C69" s="142"/>
      <c r="D69" s="142"/>
      <c r="E69" s="142"/>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row>
    <row r="70" spans="1:87" x14ac:dyDescent="0.25">
      <c r="A70" s="26"/>
      <c r="B70" s="26"/>
      <c r="C70" s="142"/>
      <c r="D70" s="142"/>
      <c r="E70" s="142"/>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row>
    <row r="71" spans="1:87" x14ac:dyDescent="0.25">
      <c r="A71" s="26"/>
      <c r="B71" s="26"/>
      <c r="C71" s="142"/>
      <c r="D71" s="142"/>
      <c r="E71" s="142"/>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row>
    <row r="72" spans="1:87" x14ac:dyDescent="0.25">
      <c r="A72" s="26"/>
      <c r="B72" s="26"/>
      <c r="C72" s="142"/>
      <c r="D72" s="142"/>
      <c r="E72" s="142"/>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row>
    <row r="73" spans="1:87" x14ac:dyDescent="0.25">
      <c r="A73" s="26"/>
      <c r="B73" s="26"/>
      <c r="C73" s="142"/>
      <c r="D73" s="142"/>
      <c r="E73" s="142"/>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row>
    <row r="74" spans="1:87" x14ac:dyDescent="0.25">
      <c r="A74" s="26"/>
      <c r="B74" s="26"/>
      <c r="C74" s="142"/>
      <c r="D74" s="142"/>
      <c r="E74" s="142"/>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row>
    <row r="75" spans="1:87" x14ac:dyDescent="0.25">
      <c r="A75" s="26"/>
      <c r="B75" s="26"/>
      <c r="C75" s="142"/>
      <c r="D75" s="142"/>
      <c r="E75" s="142"/>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row>
    <row r="76" spans="1:87" x14ac:dyDescent="0.25">
      <c r="A76" s="26"/>
      <c r="B76" s="26"/>
      <c r="C76" s="142"/>
      <c r="D76" s="142"/>
      <c r="E76" s="142"/>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row>
    <row r="77" spans="1:87" x14ac:dyDescent="0.25">
      <c r="A77" s="26"/>
      <c r="B77" s="26"/>
      <c r="C77" s="142"/>
      <c r="D77" s="142"/>
      <c r="E77" s="142"/>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row>
    <row r="78" spans="1:87" x14ac:dyDescent="0.25">
      <c r="A78" s="26"/>
      <c r="B78" s="26"/>
      <c r="C78" s="142"/>
      <c r="D78" s="142"/>
      <c r="E78" s="142"/>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row>
    <row r="79" spans="1:87" x14ac:dyDescent="0.25">
      <c r="A79" s="26"/>
      <c r="B79" s="26"/>
      <c r="C79" s="142"/>
      <c r="D79" s="142"/>
      <c r="E79" s="142"/>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row>
    <row r="80" spans="1:87" x14ac:dyDescent="0.25">
      <c r="A80" s="26"/>
      <c r="B80" s="26"/>
      <c r="C80" s="142"/>
      <c r="D80" s="142"/>
      <c r="E80" s="142"/>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row>
    <row r="81" spans="1:87" x14ac:dyDescent="0.25">
      <c r="A81" s="26"/>
      <c r="B81" s="26"/>
      <c r="C81" s="142"/>
      <c r="D81" s="142"/>
      <c r="E81" s="142"/>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row>
    <row r="82" spans="1:87" x14ac:dyDescent="0.25">
      <c r="A82" s="26"/>
      <c r="B82" s="26"/>
      <c r="C82" s="142"/>
      <c r="D82" s="142"/>
      <c r="E82" s="142"/>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row>
    <row r="83" spans="1:87" x14ac:dyDescent="0.25">
      <c r="A83" s="26"/>
      <c r="B83" s="26"/>
      <c r="C83" s="142"/>
      <c r="D83" s="142"/>
      <c r="E83" s="142"/>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row>
    <row r="84" spans="1:87" x14ac:dyDescent="0.25">
      <c r="A84" s="26"/>
      <c r="B84" s="26"/>
      <c r="C84" s="142"/>
      <c r="D84" s="142"/>
      <c r="E84" s="142"/>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row>
    <row r="85" spans="1:87" x14ac:dyDescent="0.25">
      <c r="A85" s="26"/>
      <c r="B85" s="26"/>
      <c r="C85" s="142"/>
      <c r="D85" s="142"/>
      <c r="E85" s="142"/>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row>
    <row r="86" spans="1:87" x14ac:dyDescent="0.25">
      <c r="A86" s="26"/>
      <c r="B86" s="26"/>
      <c r="C86" s="142"/>
      <c r="D86" s="142"/>
      <c r="E86" s="142"/>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row>
    <row r="87" spans="1:87" x14ac:dyDescent="0.25">
      <c r="A87" s="26"/>
      <c r="B87" s="26"/>
      <c r="C87" s="142"/>
      <c r="D87" s="142"/>
      <c r="E87" s="142"/>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row>
    <row r="88" spans="1:87" x14ac:dyDescent="0.25">
      <c r="A88" s="26"/>
      <c r="B88" s="26"/>
      <c r="C88" s="142"/>
      <c r="D88" s="142"/>
      <c r="E88" s="142"/>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row>
    <row r="89" spans="1:87" x14ac:dyDescent="0.25">
      <c r="A89" s="26"/>
      <c r="B89" s="26"/>
      <c r="C89" s="142"/>
      <c r="D89" s="142"/>
      <c r="E89" s="142"/>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row>
    <row r="90" spans="1:87" x14ac:dyDescent="0.25">
      <c r="A90" s="26"/>
      <c r="B90" s="26"/>
      <c r="C90" s="142"/>
      <c r="D90" s="142"/>
      <c r="E90" s="142"/>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row>
    <row r="91" spans="1:87" x14ac:dyDescent="0.25">
      <c r="A91" s="26"/>
      <c r="B91" s="26"/>
      <c r="C91" s="142"/>
      <c r="D91" s="142"/>
      <c r="E91" s="142"/>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row>
    <row r="92" spans="1:87" x14ac:dyDescent="0.25">
      <c r="A92" s="26"/>
      <c r="B92" s="26"/>
      <c r="C92" s="142"/>
      <c r="D92" s="142"/>
      <c r="E92" s="142"/>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row>
    <row r="93" spans="1:87" x14ac:dyDescent="0.25">
      <c r="A93" s="26"/>
      <c r="B93" s="26"/>
      <c r="C93" s="142"/>
      <c r="D93" s="142"/>
      <c r="E93" s="142"/>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row>
    <row r="94" spans="1:87" x14ac:dyDescent="0.25">
      <c r="A94" s="26"/>
      <c r="B94" s="26"/>
      <c r="C94" s="142"/>
      <c r="D94" s="142"/>
      <c r="E94" s="142"/>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row>
    <row r="95" spans="1:87" x14ac:dyDescent="0.25">
      <c r="A95" s="26"/>
      <c r="B95" s="26"/>
      <c r="C95" s="142"/>
      <c r="D95" s="142"/>
      <c r="E95" s="142"/>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row>
    <row r="96" spans="1:87" x14ac:dyDescent="0.25">
      <c r="A96" s="26"/>
      <c r="B96" s="26"/>
      <c r="C96" s="142"/>
      <c r="D96" s="142"/>
      <c r="E96" s="142"/>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row>
    <row r="97" spans="1:87" x14ac:dyDescent="0.25">
      <c r="A97" s="26"/>
      <c r="B97" s="26"/>
      <c r="C97" s="142"/>
      <c r="D97" s="142"/>
      <c r="E97" s="142"/>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row>
    <row r="98" spans="1:87" x14ac:dyDescent="0.25">
      <c r="A98" s="26"/>
      <c r="B98" s="26"/>
      <c r="C98" s="142"/>
      <c r="D98" s="142"/>
      <c r="E98" s="142"/>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row>
    <row r="99" spans="1:87" x14ac:dyDescent="0.25">
      <c r="A99" s="26"/>
      <c r="B99" s="26"/>
      <c r="C99" s="142"/>
      <c r="D99" s="142"/>
      <c r="E99" s="142"/>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row>
    <row r="100" spans="1:87" x14ac:dyDescent="0.25">
      <c r="A100" s="26"/>
      <c r="B100" s="26"/>
      <c r="C100" s="142"/>
      <c r="D100" s="142"/>
      <c r="E100" s="142"/>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row>
    <row r="101" spans="1:87" x14ac:dyDescent="0.25">
      <c r="A101" s="26"/>
      <c r="B101" s="26"/>
      <c r="C101" s="142"/>
      <c r="D101" s="142"/>
      <c r="E101" s="142"/>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row>
    <row r="102" spans="1:87" x14ac:dyDescent="0.25">
      <c r="A102" s="26"/>
      <c r="B102" s="26"/>
      <c r="C102" s="142"/>
      <c r="D102" s="142"/>
      <c r="E102" s="142"/>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row>
    <row r="103" spans="1:87" x14ac:dyDescent="0.25">
      <c r="A103" s="26"/>
      <c r="B103" s="26"/>
      <c r="C103" s="142"/>
      <c r="D103" s="142"/>
      <c r="E103" s="142"/>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row>
    <row r="104" spans="1:87" x14ac:dyDescent="0.25">
      <c r="A104" s="26"/>
      <c r="B104" s="26"/>
      <c r="C104" s="142"/>
      <c r="D104" s="142"/>
      <c r="E104" s="142"/>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row>
    <row r="105" spans="1:87" x14ac:dyDescent="0.25">
      <c r="A105" s="26"/>
      <c r="B105" s="26"/>
      <c r="C105" s="142"/>
      <c r="D105" s="142"/>
      <c r="E105" s="142"/>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row>
    <row r="106" spans="1:87" x14ac:dyDescent="0.25">
      <c r="A106" s="26"/>
      <c r="B106" s="26"/>
      <c r="C106" s="142"/>
      <c r="D106" s="142"/>
      <c r="E106" s="142"/>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row>
    <row r="107" spans="1:87" x14ac:dyDescent="0.25">
      <c r="A107" s="26"/>
      <c r="B107" s="26"/>
      <c r="C107" s="142"/>
      <c r="D107" s="142"/>
      <c r="E107" s="142"/>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row>
    <row r="108" spans="1:87" x14ac:dyDescent="0.25">
      <c r="A108" s="26"/>
      <c r="B108" s="26"/>
      <c r="C108" s="142"/>
      <c r="D108" s="142"/>
      <c r="E108" s="142"/>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row>
    <row r="109" spans="1:87" x14ac:dyDescent="0.25">
      <c r="A109" s="26"/>
      <c r="B109" s="26"/>
      <c r="C109" s="142"/>
      <c r="D109" s="142"/>
      <c r="E109" s="142"/>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row>
    <row r="110" spans="1:87" x14ac:dyDescent="0.25">
      <c r="A110" s="26"/>
      <c r="B110" s="26"/>
      <c r="C110" s="142"/>
      <c r="D110" s="142"/>
      <c r="E110" s="142"/>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row>
    <row r="111" spans="1:87" x14ac:dyDescent="0.25">
      <c r="A111" s="26"/>
      <c r="B111" s="26"/>
      <c r="C111" s="142"/>
      <c r="D111" s="142"/>
      <c r="E111" s="142"/>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row>
    <row r="112" spans="1:87" x14ac:dyDescent="0.25">
      <c r="A112" s="26"/>
      <c r="B112" s="26"/>
      <c r="C112" s="142"/>
      <c r="D112" s="142"/>
      <c r="E112" s="142"/>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row>
    <row r="113" spans="1:87" x14ac:dyDescent="0.25">
      <c r="A113" s="26"/>
      <c r="B113" s="26"/>
      <c r="C113" s="142"/>
      <c r="D113" s="142"/>
      <c r="E113" s="142"/>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row>
    <row r="114" spans="1:87" x14ac:dyDescent="0.25">
      <c r="A114" s="26"/>
      <c r="B114" s="26"/>
      <c r="C114" s="142"/>
      <c r="D114" s="142"/>
      <c r="E114" s="142"/>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row>
    <row r="115" spans="1:87" x14ac:dyDescent="0.25">
      <c r="A115" s="26"/>
      <c r="B115" s="26"/>
      <c r="C115" s="142"/>
      <c r="D115" s="142"/>
      <c r="E115" s="142"/>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row>
    <row r="116" spans="1:87" x14ac:dyDescent="0.25">
      <c r="A116" s="26"/>
      <c r="B116" s="26"/>
      <c r="C116" s="142"/>
      <c r="D116" s="142"/>
      <c r="E116" s="142"/>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row>
    <row r="117" spans="1:87" x14ac:dyDescent="0.25">
      <c r="A117" s="26"/>
      <c r="B117" s="26"/>
      <c r="C117" s="142"/>
      <c r="D117" s="142"/>
      <c r="E117" s="142"/>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row>
    <row r="118" spans="1:87" x14ac:dyDescent="0.25">
      <c r="A118" s="26"/>
      <c r="B118" s="26"/>
      <c r="C118" s="142"/>
      <c r="D118" s="142"/>
      <c r="E118" s="142"/>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row>
    <row r="119" spans="1:87" x14ac:dyDescent="0.25">
      <c r="A119" s="26"/>
      <c r="B119" s="26"/>
      <c r="C119" s="142"/>
      <c r="D119" s="142"/>
      <c r="E119" s="142"/>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row>
    <row r="120" spans="1:87" x14ac:dyDescent="0.25">
      <c r="A120" s="26"/>
      <c r="B120" s="26"/>
      <c r="C120" s="142"/>
      <c r="D120" s="142"/>
      <c r="E120" s="142"/>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row>
    <row r="121" spans="1:87" x14ac:dyDescent="0.25">
      <c r="A121" s="26"/>
      <c r="B121" s="26"/>
      <c r="C121" s="142"/>
      <c r="D121" s="142"/>
      <c r="E121" s="142"/>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row>
    <row r="122" spans="1:87" x14ac:dyDescent="0.25">
      <c r="A122" s="26"/>
      <c r="B122" s="26"/>
      <c r="C122" s="142"/>
      <c r="D122" s="142"/>
      <c r="E122" s="142"/>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row>
    <row r="123" spans="1:87" x14ac:dyDescent="0.25">
      <c r="A123" s="26"/>
      <c r="B123" s="26"/>
      <c r="C123" s="142"/>
      <c r="D123" s="142"/>
      <c r="E123" s="142"/>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row>
    <row r="124" spans="1:87" x14ac:dyDescent="0.25">
      <c r="A124" s="26"/>
      <c r="B124" s="26"/>
      <c r="C124" s="142"/>
      <c r="D124" s="142"/>
      <c r="E124" s="142"/>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row>
    <row r="125" spans="1:87" x14ac:dyDescent="0.25">
      <c r="A125" s="26"/>
      <c r="B125" s="26"/>
      <c r="C125" s="142"/>
      <c r="D125" s="142"/>
      <c r="E125" s="142"/>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row>
    <row r="126" spans="1:87" x14ac:dyDescent="0.25">
      <c r="A126" s="26"/>
      <c r="B126" s="26"/>
      <c r="C126" s="142"/>
      <c r="D126" s="142"/>
      <c r="E126" s="142"/>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row>
    <row r="127" spans="1:87" x14ac:dyDescent="0.25">
      <c r="A127" s="26"/>
      <c r="B127" s="26"/>
      <c r="C127" s="142"/>
      <c r="D127" s="142"/>
      <c r="E127" s="142"/>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row>
    <row r="128" spans="1:87" x14ac:dyDescent="0.25">
      <c r="A128" s="26"/>
      <c r="B128" s="26"/>
      <c r="C128" s="142"/>
      <c r="D128" s="142"/>
      <c r="E128" s="142"/>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row>
    <row r="129" spans="1:87" x14ac:dyDescent="0.25">
      <c r="A129" s="26"/>
      <c r="B129" s="26"/>
      <c r="C129" s="142"/>
      <c r="D129" s="142"/>
      <c r="E129" s="142"/>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row>
    <row r="130" spans="1:87" x14ac:dyDescent="0.25">
      <c r="A130" s="26"/>
      <c r="B130" s="26"/>
      <c r="C130" s="142"/>
      <c r="D130" s="142"/>
      <c r="E130" s="142"/>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row>
    <row r="131" spans="1:87" x14ac:dyDescent="0.25">
      <c r="A131" s="26"/>
      <c r="B131" s="26"/>
      <c r="C131" s="142"/>
      <c r="D131" s="142"/>
      <c r="E131" s="142"/>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row>
    <row r="132" spans="1:87" x14ac:dyDescent="0.25">
      <c r="A132" s="26"/>
      <c r="B132" s="26"/>
      <c r="C132" s="142"/>
      <c r="D132" s="142"/>
      <c r="E132" s="142"/>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row>
    <row r="133" spans="1:87" x14ac:dyDescent="0.25">
      <c r="A133" s="26"/>
      <c r="B133" s="26"/>
      <c r="C133" s="142"/>
      <c r="D133" s="142"/>
      <c r="E133" s="142"/>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row>
    <row r="134" spans="1:87" x14ac:dyDescent="0.25">
      <c r="A134" s="26"/>
      <c r="B134" s="26"/>
      <c r="C134" s="142"/>
      <c r="D134" s="142"/>
      <c r="E134" s="142"/>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row>
    <row r="135" spans="1:87" x14ac:dyDescent="0.25">
      <c r="A135" s="26"/>
      <c r="B135" s="26"/>
      <c r="C135" s="142"/>
      <c r="D135" s="142"/>
      <c r="E135" s="142"/>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row>
    <row r="136" spans="1:87" x14ac:dyDescent="0.25">
      <c r="A136" s="26"/>
      <c r="B136" s="26"/>
      <c r="C136" s="142"/>
      <c r="D136" s="142"/>
      <c r="E136" s="142"/>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row>
    <row r="137" spans="1:87" x14ac:dyDescent="0.25">
      <c r="A137" s="26"/>
      <c r="B137" s="26"/>
      <c r="C137" s="142"/>
      <c r="D137" s="142"/>
      <c r="E137" s="142"/>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row>
    <row r="138" spans="1:87" x14ac:dyDescent="0.25">
      <c r="A138" s="26"/>
      <c r="B138" s="26"/>
      <c r="C138" s="142"/>
      <c r="D138" s="142"/>
      <c r="E138" s="142"/>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row>
    <row r="139" spans="1:87" x14ac:dyDescent="0.25">
      <c r="A139" s="26"/>
      <c r="B139" s="26"/>
      <c r="C139" s="142"/>
      <c r="D139" s="142"/>
      <c r="E139" s="142"/>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row>
    <row r="140" spans="1:87" x14ac:dyDescent="0.25">
      <c r="A140" s="26"/>
      <c r="B140" s="26"/>
      <c r="C140" s="142"/>
      <c r="D140" s="142"/>
      <c r="E140" s="142"/>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row>
    <row r="141" spans="1:87" x14ac:dyDescent="0.25">
      <c r="A141" s="26"/>
      <c r="B141" s="26"/>
      <c r="C141" s="142"/>
      <c r="D141" s="142"/>
      <c r="E141" s="142"/>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row>
    <row r="142" spans="1:87" x14ac:dyDescent="0.25">
      <c r="A142" s="26"/>
      <c r="B142" s="26"/>
      <c r="C142" s="142"/>
      <c r="D142" s="142"/>
      <c r="E142" s="142"/>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row>
    <row r="143" spans="1:87" x14ac:dyDescent="0.25">
      <c r="A143" s="26"/>
      <c r="B143" s="26"/>
      <c r="C143" s="142"/>
      <c r="D143" s="142"/>
      <c r="E143" s="142"/>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row>
    <row r="144" spans="1:87" x14ac:dyDescent="0.25">
      <c r="A144" s="26"/>
      <c r="B144" s="26"/>
      <c r="C144" s="142"/>
      <c r="D144" s="142"/>
      <c r="E144" s="142"/>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row>
    <row r="145" spans="1:87" x14ac:dyDescent="0.25">
      <c r="A145" s="26"/>
      <c r="B145" s="26"/>
      <c r="C145" s="142"/>
      <c r="D145" s="142"/>
      <c r="E145" s="142"/>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row>
    <row r="146" spans="1:87" x14ac:dyDescent="0.25">
      <c r="A146" s="26"/>
      <c r="B146" s="26"/>
      <c r="C146" s="142"/>
      <c r="D146" s="142"/>
      <c r="E146" s="142"/>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row>
    <row r="147" spans="1:87" x14ac:dyDescent="0.25">
      <c r="A147" s="26"/>
      <c r="B147" s="26"/>
      <c r="C147" s="142"/>
      <c r="D147" s="142"/>
      <c r="E147" s="142"/>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row>
    <row r="148" spans="1:87" x14ac:dyDescent="0.25">
      <c r="A148" s="26"/>
      <c r="B148" s="26"/>
      <c r="C148" s="142"/>
      <c r="D148" s="142"/>
      <c r="E148" s="142"/>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row>
    <row r="149" spans="1:87" x14ac:dyDescent="0.25">
      <c r="A149" s="26"/>
      <c r="B149" s="26"/>
      <c r="C149" s="142"/>
      <c r="D149" s="142"/>
      <c r="E149" s="142"/>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row>
    <row r="150" spans="1:87" x14ac:dyDescent="0.25">
      <c r="A150" s="26"/>
      <c r="B150" s="26"/>
      <c r="C150" s="142"/>
      <c r="D150" s="142"/>
      <c r="E150" s="142"/>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row>
    <row r="151" spans="1:87" x14ac:dyDescent="0.25">
      <c r="A151" s="26"/>
      <c r="B151" s="26"/>
      <c r="C151" s="142"/>
      <c r="D151" s="142"/>
      <c r="E151" s="142"/>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row>
    <row r="152" spans="1:87" x14ac:dyDescent="0.25">
      <c r="A152" s="26"/>
      <c r="B152" s="26"/>
      <c r="C152" s="142"/>
      <c r="D152" s="142"/>
      <c r="E152" s="142"/>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row>
    <row r="153" spans="1:87" x14ac:dyDescent="0.25">
      <c r="A153" s="26"/>
      <c r="B153" s="26"/>
      <c r="C153" s="142"/>
      <c r="D153" s="142"/>
      <c r="E153" s="142"/>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row>
    <row r="154" spans="1:87" x14ac:dyDescent="0.25">
      <c r="A154" s="26"/>
      <c r="B154" s="26"/>
      <c r="C154" s="142"/>
      <c r="D154" s="142"/>
      <c r="E154" s="142"/>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row>
    <row r="155" spans="1:87" x14ac:dyDescent="0.25">
      <c r="A155" s="26"/>
      <c r="B155" s="26"/>
      <c r="C155" s="142"/>
      <c r="D155" s="142"/>
      <c r="E155" s="142"/>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row>
    <row r="156" spans="1:87" x14ac:dyDescent="0.25">
      <c r="A156" s="26"/>
      <c r="B156" s="26"/>
      <c r="C156" s="142"/>
      <c r="D156" s="142"/>
      <c r="E156" s="142"/>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row>
    <row r="157" spans="1:87" x14ac:dyDescent="0.25">
      <c r="A157" s="26"/>
      <c r="B157" s="26"/>
      <c r="C157" s="142"/>
      <c r="D157" s="142"/>
      <c r="E157" s="142"/>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row>
    <row r="158" spans="1:87" x14ac:dyDescent="0.25">
      <c r="A158" s="26"/>
      <c r="B158" s="26"/>
      <c r="C158" s="142"/>
      <c r="D158" s="142"/>
      <c r="E158" s="142"/>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row>
    <row r="159" spans="1:87" x14ac:dyDescent="0.25">
      <c r="A159" s="26"/>
      <c r="B159" s="26"/>
      <c r="C159" s="142"/>
      <c r="D159" s="142"/>
      <c r="E159" s="142"/>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row>
    <row r="160" spans="1:87" x14ac:dyDescent="0.25">
      <c r="A160" s="26"/>
      <c r="B160" s="26"/>
      <c r="C160" s="142"/>
      <c r="D160" s="142"/>
      <c r="E160" s="142"/>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row>
    <row r="161" spans="1:87" x14ac:dyDescent="0.25">
      <c r="A161" s="26"/>
      <c r="B161" s="26"/>
      <c r="C161" s="142"/>
      <c r="D161" s="142"/>
      <c r="E161" s="142"/>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row>
    <row r="162" spans="1:87" x14ac:dyDescent="0.25">
      <c r="A162" s="26"/>
      <c r="B162" s="26"/>
      <c r="C162" s="142"/>
      <c r="D162" s="142"/>
      <c r="E162" s="142"/>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row>
    <row r="163" spans="1:87" x14ac:dyDescent="0.25">
      <c r="A163" s="26"/>
      <c r="B163" s="26"/>
      <c r="C163" s="142"/>
      <c r="D163" s="142"/>
      <c r="E163" s="142"/>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row>
    <row r="164" spans="1:87" x14ac:dyDescent="0.25">
      <c r="A164" s="26"/>
      <c r="B164" s="26"/>
      <c r="C164" s="142"/>
      <c r="D164" s="142"/>
      <c r="E164" s="142"/>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row>
    <row r="165" spans="1:87" x14ac:dyDescent="0.25">
      <c r="A165" s="26"/>
      <c r="B165" s="26"/>
      <c r="C165" s="142"/>
      <c r="D165" s="142"/>
      <c r="E165" s="142"/>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row>
    <row r="166" spans="1:87" x14ac:dyDescent="0.25">
      <c r="A166" s="26"/>
      <c r="B166" s="26"/>
      <c r="C166" s="142"/>
      <c r="D166" s="142"/>
      <c r="E166" s="142"/>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row>
    <row r="167" spans="1:87" x14ac:dyDescent="0.25">
      <c r="A167" s="26"/>
      <c r="B167" s="26"/>
      <c r="C167" s="142"/>
      <c r="D167" s="142"/>
      <c r="E167" s="142"/>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row>
    <row r="168" spans="1:87" x14ac:dyDescent="0.25">
      <c r="A168" s="26"/>
      <c r="B168" s="26"/>
      <c r="C168" s="142"/>
      <c r="D168" s="142"/>
      <c r="E168" s="142"/>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row>
    <row r="169" spans="1:87" x14ac:dyDescent="0.25">
      <c r="A169" s="26"/>
      <c r="B169" s="26"/>
      <c r="C169" s="142"/>
      <c r="D169" s="142"/>
      <c r="E169" s="142"/>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row>
    <row r="170" spans="1:87" x14ac:dyDescent="0.25">
      <c r="A170" s="26"/>
      <c r="B170" s="26"/>
      <c r="C170" s="142"/>
      <c r="D170" s="142"/>
      <c r="E170" s="142"/>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row>
    <row r="171" spans="1:87" x14ac:dyDescent="0.25">
      <c r="A171" s="26"/>
      <c r="B171" s="26"/>
      <c r="C171" s="142"/>
      <c r="D171" s="142"/>
      <c r="E171" s="142"/>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row>
    <row r="172" spans="1:87" x14ac:dyDescent="0.25">
      <c r="A172" s="26"/>
      <c r="B172" s="26"/>
      <c r="C172" s="142"/>
      <c r="D172" s="142"/>
      <c r="E172" s="142"/>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row>
    <row r="173" spans="1:87" x14ac:dyDescent="0.25">
      <c r="A173" s="26"/>
      <c r="B173" s="26"/>
      <c r="C173" s="142"/>
      <c r="D173" s="142"/>
      <c r="E173" s="142"/>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row>
    <row r="174" spans="1:87" x14ac:dyDescent="0.25">
      <c r="A174" s="26"/>
      <c r="B174" s="26"/>
      <c r="C174" s="142"/>
      <c r="D174" s="142"/>
      <c r="E174" s="142"/>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row>
    <row r="175" spans="1:87" x14ac:dyDescent="0.25">
      <c r="A175" s="26"/>
      <c r="B175" s="26"/>
      <c r="C175" s="142"/>
      <c r="D175" s="142"/>
      <c r="E175" s="142"/>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row>
    <row r="176" spans="1:87" x14ac:dyDescent="0.25">
      <c r="A176" s="26"/>
      <c r="B176" s="26"/>
      <c r="C176" s="142"/>
      <c r="D176" s="142"/>
      <c r="E176" s="142"/>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row>
    <row r="177" spans="1:87" x14ac:dyDescent="0.25">
      <c r="A177" s="26"/>
      <c r="B177" s="26"/>
      <c r="C177" s="142"/>
      <c r="D177" s="142"/>
      <c r="E177" s="142"/>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row>
    <row r="178" spans="1:87" x14ac:dyDescent="0.25">
      <c r="A178" s="26"/>
      <c r="B178" s="26"/>
      <c r="C178" s="142"/>
      <c r="D178" s="142"/>
      <c r="E178" s="142"/>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row>
    <row r="179" spans="1:87" x14ac:dyDescent="0.25">
      <c r="A179" s="26"/>
      <c r="B179" s="26"/>
      <c r="C179" s="142"/>
      <c r="D179" s="142"/>
      <c r="E179" s="142"/>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row>
    <row r="180" spans="1:87" x14ac:dyDescent="0.25">
      <c r="A180" s="26"/>
      <c r="B180" s="26"/>
      <c r="C180" s="142"/>
      <c r="D180" s="142"/>
      <c r="E180" s="142"/>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row>
    <row r="181" spans="1:87" x14ac:dyDescent="0.25">
      <c r="A181" s="26"/>
      <c r="B181" s="26"/>
      <c r="C181" s="142"/>
      <c r="D181" s="142"/>
      <c r="E181" s="142"/>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row>
    <row r="182" spans="1:87" x14ac:dyDescent="0.25">
      <c r="A182" s="26"/>
      <c r="B182" s="26"/>
      <c r="C182" s="142"/>
      <c r="D182" s="142"/>
      <c r="E182" s="142"/>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row>
    <row r="183" spans="1:87" x14ac:dyDescent="0.25">
      <c r="A183" s="26"/>
      <c r="B183" s="26"/>
      <c r="C183" s="142"/>
      <c r="D183" s="142"/>
      <c r="E183" s="142"/>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row>
    <row r="184" spans="1:87" x14ac:dyDescent="0.25">
      <c r="A184" s="26"/>
      <c r="B184" s="26"/>
      <c r="C184" s="142"/>
      <c r="D184" s="142"/>
      <c r="E184" s="142"/>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row>
    <row r="185" spans="1:87" x14ac:dyDescent="0.25">
      <c r="A185" s="26"/>
      <c r="B185" s="26"/>
      <c r="C185" s="142"/>
      <c r="D185" s="142"/>
      <c r="E185" s="142"/>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row>
    <row r="186" spans="1:87" x14ac:dyDescent="0.25">
      <c r="A186" s="26"/>
      <c r="B186" s="26"/>
      <c r="C186" s="142"/>
      <c r="D186" s="142"/>
      <c r="E186" s="142"/>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row>
    <row r="187" spans="1:87" x14ac:dyDescent="0.25">
      <c r="A187" s="26"/>
      <c r="B187" s="26"/>
      <c r="C187" s="142"/>
      <c r="D187" s="142"/>
      <c r="E187" s="142"/>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row>
    <row r="188" spans="1:87" x14ac:dyDescent="0.25">
      <c r="A188" s="26"/>
      <c r="B188" s="26"/>
      <c r="C188" s="142"/>
      <c r="D188" s="142"/>
      <c r="E188" s="142"/>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row>
    <row r="189" spans="1:87" x14ac:dyDescent="0.25">
      <c r="A189" s="26"/>
      <c r="B189" s="26"/>
      <c r="C189" s="142"/>
      <c r="D189" s="142"/>
      <c r="E189" s="142"/>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row>
    <row r="190" spans="1:87" x14ac:dyDescent="0.25">
      <c r="A190" s="26"/>
      <c r="B190" s="26"/>
      <c r="C190" s="142"/>
      <c r="D190" s="142"/>
      <c r="E190" s="142"/>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row>
    <row r="191" spans="1:87" x14ac:dyDescent="0.25">
      <c r="A191" s="26"/>
      <c r="B191" s="26"/>
      <c r="C191" s="142"/>
      <c r="D191" s="142"/>
      <c r="E191" s="142"/>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row>
    <row r="192" spans="1:87" x14ac:dyDescent="0.25">
      <c r="A192" s="26"/>
      <c r="B192" s="26"/>
      <c r="C192" s="142"/>
      <c r="D192" s="142"/>
      <c r="E192" s="142"/>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row>
    <row r="193" spans="1:87" x14ac:dyDescent="0.25">
      <c r="A193" s="26"/>
      <c r="B193" s="26"/>
      <c r="C193" s="142"/>
      <c r="D193" s="142"/>
      <c r="E193" s="142"/>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row>
    <row r="194" spans="1:87" x14ac:dyDescent="0.25">
      <c r="A194" s="26"/>
      <c r="B194" s="26"/>
      <c r="C194" s="142"/>
      <c r="D194" s="142"/>
      <c r="E194" s="142"/>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row>
    <row r="195" spans="1:87" x14ac:dyDescent="0.25">
      <c r="A195" s="26"/>
      <c r="B195" s="26"/>
      <c r="C195" s="142"/>
      <c r="D195" s="142"/>
      <c r="E195" s="142"/>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row>
    <row r="196" spans="1:87" x14ac:dyDescent="0.25">
      <c r="A196" s="26"/>
      <c r="B196" s="26"/>
      <c r="C196" s="142"/>
      <c r="D196" s="142"/>
      <c r="E196" s="142"/>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row>
    <row r="197" spans="1:87" x14ac:dyDescent="0.25">
      <c r="A197" s="26"/>
      <c r="B197" s="26"/>
      <c r="C197" s="142"/>
      <c r="D197" s="142"/>
      <c r="E197" s="142"/>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row>
    <row r="198" spans="1:87" x14ac:dyDescent="0.25">
      <c r="A198" s="26"/>
      <c r="B198" s="26"/>
      <c r="C198" s="142"/>
      <c r="D198" s="142"/>
      <c r="E198" s="142"/>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row>
    <row r="199" spans="1:87" x14ac:dyDescent="0.25">
      <c r="A199" s="26"/>
      <c r="B199" s="26"/>
      <c r="C199" s="142"/>
      <c r="D199" s="142"/>
      <c r="E199" s="142"/>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row>
    <row r="200" spans="1:87" x14ac:dyDescent="0.25">
      <c r="A200" s="26"/>
      <c r="B200" s="26"/>
      <c r="C200" s="142"/>
      <c r="D200" s="142"/>
      <c r="E200" s="142"/>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row>
    <row r="201" spans="1:87" x14ac:dyDescent="0.25">
      <c r="A201" s="26"/>
      <c r="B201" s="26"/>
      <c r="C201" s="142"/>
      <c r="D201" s="142"/>
      <c r="E201" s="142"/>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row>
    <row r="202" spans="1:87" x14ac:dyDescent="0.25">
      <c r="A202" s="26"/>
      <c r="B202" s="26"/>
      <c r="C202" s="142"/>
      <c r="D202" s="142"/>
      <c r="E202" s="142"/>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row>
    <row r="203" spans="1:87" x14ac:dyDescent="0.25">
      <c r="A203" s="26"/>
      <c r="B203" s="26"/>
      <c r="C203" s="142"/>
      <c r="D203" s="142"/>
      <c r="E203" s="142"/>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row>
    <row r="204" spans="1:87" x14ac:dyDescent="0.25">
      <c r="A204" s="26"/>
      <c r="B204" s="26"/>
      <c r="C204" s="142"/>
      <c r="D204" s="142"/>
      <c r="E204" s="142"/>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row>
    <row r="205" spans="1:87" x14ac:dyDescent="0.25">
      <c r="A205" s="26"/>
      <c r="B205" s="26"/>
      <c r="C205" s="142"/>
      <c r="D205" s="142"/>
      <c r="E205" s="142"/>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row>
    <row r="206" spans="1:87" x14ac:dyDescent="0.25">
      <c r="A206" s="26"/>
      <c r="B206" s="26"/>
      <c r="C206" s="142"/>
      <c r="D206" s="142"/>
      <c r="E206" s="142"/>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row>
    <row r="207" spans="1:87" x14ac:dyDescent="0.25">
      <c r="A207" s="26"/>
      <c r="B207" s="26"/>
      <c r="C207" s="142"/>
      <c r="D207" s="142"/>
      <c r="E207" s="142"/>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row>
    <row r="208" spans="1:87" x14ac:dyDescent="0.25">
      <c r="A208" s="26"/>
      <c r="B208" s="26"/>
      <c r="C208" s="142"/>
      <c r="D208" s="142"/>
      <c r="E208" s="142"/>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row>
    <row r="209" spans="1:87" x14ac:dyDescent="0.25">
      <c r="A209" s="26"/>
      <c r="B209" s="26"/>
      <c r="C209" s="142"/>
      <c r="D209" s="142"/>
      <c r="E209" s="142"/>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row>
    <row r="210" spans="1:87" x14ac:dyDescent="0.25">
      <c r="A210" s="26"/>
      <c r="B210" s="26"/>
      <c r="C210" s="142"/>
      <c r="D210" s="142"/>
      <c r="E210" s="142"/>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row>
    <row r="211" spans="1:87" x14ac:dyDescent="0.25">
      <c r="A211" s="26"/>
      <c r="B211" s="26"/>
      <c r="C211" s="142"/>
      <c r="D211" s="142"/>
      <c r="E211" s="142"/>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row>
    <row r="212" spans="1:87" x14ac:dyDescent="0.25">
      <c r="A212" s="26"/>
      <c r="B212" s="26"/>
      <c r="C212" s="142"/>
      <c r="D212" s="142"/>
      <c r="E212" s="142"/>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row>
    <row r="213" spans="1:87" x14ac:dyDescent="0.25">
      <c r="A213" s="26"/>
      <c r="B213" s="26"/>
      <c r="C213" s="142"/>
      <c r="D213" s="142"/>
      <c r="E213" s="142"/>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row>
    <row r="214" spans="1:87" x14ac:dyDescent="0.25">
      <c r="A214" s="26"/>
      <c r="B214" s="26"/>
      <c r="C214" s="142"/>
      <c r="D214" s="142"/>
      <c r="E214" s="142"/>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row>
    <row r="215" spans="1:87" x14ac:dyDescent="0.25">
      <c r="A215" s="26"/>
      <c r="B215" s="26"/>
      <c r="C215" s="142"/>
      <c r="D215" s="142"/>
      <c r="E215" s="142"/>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row>
    <row r="216" spans="1:87" x14ac:dyDescent="0.25">
      <c r="A216" s="26"/>
      <c r="B216" s="26"/>
      <c r="C216" s="142"/>
      <c r="D216" s="142"/>
      <c r="E216" s="142"/>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row>
    <row r="217" spans="1:87" x14ac:dyDescent="0.25">
      <c r="A217" s="26"/>
      <c r="B217" s="26"/>
      <c r="C217" s="142"/>
      <c r="D217" s="142"/>
      <c r="E217" s="142"/>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row>
    <row r="218" spans="1:87" x14ac:dyDescent="0.25">
      <c r="A218" s="26"/>
      <c r="B218" s="26"/>
      <c r="C218" s="142"/>
      <c r="D218" s="142"/>
      <c r="E218" s="142"/>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row>
    <row r="219" spans="1:87" x14ac:dyDescent="0.25">
      <c r="A219" s="26"/>
      <c r="B219" s="26"/>
      <c r="C219" s="142"/>
      <c r="D219" s="142"/>
      <c r="E219" s="142"/>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row>
    <row r="220" spans="1:87" x14ac:dyDescent="0.25">
      <c r="A220" s="26"/>
      <c r="B220" s="26"/>
      <c r="C220" s="142"/>
      <c r="D220" s="142"/>
      <c r="E220" s="142"/>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row>
    <row r="221" spans="1:87" x14ac:dyDescent="0.25">
      <c r="A221" s="26"/>
      <c r="B221" s="26"/>
      <c r="C221" s="142"/>
      <c r="D221" s="142"/>
      <c r="E221" s="142"/>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row>
    <row r="222" spans="1:87" x14ac:dyDescent="0.25">
      <c r="A222" s="26"/>
      <c r="B222" s="26"/>
      <c r="C222" s="142"/>
      <c r="D222" s="142"/>
      <c r="E222" s="142"/>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row>
    <row r="223" spans="1:87" x14ac:dyDescent="0.25">
      <c r="A223" s="26"/>
      <c r="B223" s="26"/>
      <c r="C223" s="142"/>
      <c r="D223" s="142"/>
      <c r="E223" s="142"/>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row>
    <row r="224" spans="1:87" x14ac:dyDescent="0.25">
      <c r="A224" s="26"/>
      <c r="B224" s="26"/>
      <c r="C224" s="142"/>
      <c r="D224" s="142"/>
      <c r="E224" s="142"/>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row>
    <row r="225" spans="1:87" x14ac:dyDescent="0.25">
      <c r="A225" s="26"/>
      <c r="B225" s="26"/>
      <c r="C225" s="142"/>
      <c r="D225" s="142"/>
      <c r="E225" s="142"/>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row>
    <row r="226" spans="1:87" x14ac:dyDescent="0.25">
      <c r="A226" s="26"/>
      <c r="B226" s="26"/>
      <c r="C226" s="142"/>
      <c r="D226" s="142"/>
      <c r="E226" s="142"/>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row>
    <row r="227" spans="1:87" x14ac:dyDescent="0.25">
      <c r="A227" s="26"/>
      <c r="B227" s="26"/>
      <c r="C227" s="142"/>
      <c r="D227" s="142"/>
      <c r="E227" s="142"/>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row>
    <row r="228" spans="1:87" x14ac:dyDescent="0.25">
      <c r="A228" s="26"/>
      <c r="B228" s="26"/>
      <c r="C228" s="142"/>
      <c r="D228" s="142"/>
      <c r="E228" s="142"/>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row>
    <row r="229" spans="1:87" x14ac:dyDescent="0.25">
      <c r="A229" s="26"/>
      <c r="B229" s="26"/>
      <c r="C229" s="142"/>
      <c r="D229" s="142"/>
      <c r="E229" s="142"/>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row>
    <row r="230" spans="1:87" x14ac:dyDescent="0.25">
      <c r="A230" s="26"/>
      <c r="B230" s="26"/>
      <c r="C230" s="142"/>
      <c r="D230" s="142"/>
      <c r="E230" s="142"/>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row>
    <row r="231" spans="1:87" x14ac:dyDescent="0.25">
      <c r="A231" s="26"/>
      <c r="B231" s="26"/>
      <c r="C231" s="142"/>
      <c r="D231" s="142"/>
      <c r="E231" s="142"/>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row>
    <row r="232" spans="1:87" x14ac:dyDescent="0.25">
      <c r="A232" s="26"/>
      <c r="B232" s="26"/>
      <c r="C232" s="142"/>
      <c r="D232" s="142"/>
      <c r="E232" s="142"/>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row>
    <row r="233" spans="1:87" x14ac:dyDescent="0.25">
      <c r="A233" s="26"/>
      <c r="B233" s="26"/>
      <c r="C233" s="142"/>
      <c r="D233" s="142"/>
      <c r="E233" s="142"/>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row>
    <row r="234" spans="1:87" x14ac:dyDescent="0.25">
      <c r="A234" s="26"/>
      <c r="B234" s="26"/>
      <c r="C234" s="142"/>
      <c r="D234" s="142"/>
      <c r="E234" s="142"/>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row>
    <row r="235" spans="1:87" x14ac:dyDescent="0.25">
      <c r="A235" s="26"/>
      <c r="B235" s="26"/>
      <c r="C235" s="142"/>
      <c r="D235" s="142"/>
      <c r="E235" s="142"/>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row>
    <row r="236" spans="1:87" x14ac:dyDescent="0.25">
      <c r="A236" s="26"/>
      <c r="B236" s="26"/>
      <c r="C236" s="142"/>
      <c r="D236" s="142"/>
      <c r="E236" s="142"/>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row>
    <row r="237" spans="1:87" x14ac:dyDescent="0.25">
      <c r="A237" s="26"/>
      <c r="B237" s="26"/>
      <c r="C237" s="142"/>
      <c r="D237" s="142"/>
      <c r="E237" s="142"/>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row>
    <row r="238" spans="1:87" x14ac:dyDescent="0.25">
      <c r="A238" s="26"/>
      <c r="B238" s="26"/>
      <c r="C238" s="142"/>
      <c r="D238" s="142"/>
      <c r="E238" s="142"/>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row>
    <row r="239" spans="1:87" x14ac:dyDescent="0.25">
      <c r="A239" s="26"/>
      <c r="B239" s="26"/>
      <c r="C239" s="142"/>
      <c r="D239" s="142"/>
      <c r="E239" s="142"/>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row>
    <row r="240" spans="1:87" x14ac:dyDescent="0.25">
      <c r="A240" s="26"/>
      <c r="B240" s="26"/>
      <c r="C240" s="142"/>
      <c r="D240" s="142"/>
      <c r="E240" s="142"/>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row>
  </sheetData>
  <conditionalFormatting sqref="K43:BC44">
    <cfRule type="cellIs" dxfId="5" priority="5" operator="lessThan">
      <formula>0</formula>
    </cfRule>
    <cfRule type="cellIs" dxfId="4" priority="6" operator="greaterThan">
      <formula>0</formula>
    </cfRule>
  </conditionalFormatting>
  <conditionalFormatting sqref="BD43:BS44">
    <cfRule type="cellIs" dxfId="3" priority="3" operator="lessThan">
      <formula>0</formula>
    </cfRule>
    <cfRule type="cellIs" dxfId="2" priority="4" operator="greaterThan">
      <formula>0</formula>
    </cfRule>
  </conditionalFormatting>
  <conditionalFormatting sqref="BT43:CI44">
    <cfRule type="cellIs" dxfId="1" priority="1" operator="lessThan">
      <formula>0</formula>
    </cfRule>
    <cfRule type="cellIs" dxfId="0" priority="2" operator="greaterThan">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8503-6209-4639-84BC-F7E549E86B6A}">
  <sheetPr>
    <tabColor theme="3" tint="0.79998168889431442"/>
  </sheetPr>
  <dimension ref="A1:AD35"/>
  <sheetViews>
    <sheetView workbookViewId="0">
      <selection activeCell="C9" sqref="C9"/>
    </sheetView>
  </sheetViews>
  <sheetFormatPr baseColWidth="10" defaultRowHeight="15" x14ac:dyDescent="0.25"/>
  <cols>
    <col min="1" max="1" width="26.85546875" customWidth="1"/>
    <col min="4" max="4" width="78.140625" bestFit="1" customWidth="1"/>
  </cols>
  <sheetData>
    <row r="1" spans="1:30" ht="18" x14ac:dyDescent="0.3">
      <c r="A1" s="202" t="s">
        <v>776</v>
      </c>
      <c r="R1" s="40"/>
    </row>
    <row r="2" spans="1:30" x14ac:dyDescent="0.25">
      <c r="A2" t="s">
        <v>777</v>
      </c>
      <c r="R2" s="40"/>
    </row>
    <row r="3" spans="1:30" x14ac:dyDescent="0.25">
      <c r="A3" t="s">
        <v>778</v>
      </c>
      <c r="R3" s="40"/>
    </row>
    <row r="4" spans="1:30" ht="18" x14ac:dyDescent="0.3">
      <c r="A4" s="202" t="s">
        <v>779</v>
      </c>
      <c r="R4" s="40"/>
      <c r="AC4" t="s">
        <v>379</v>
      </c>
      <c r="AD4">
        <v>8</v>
      </c>
    </row>
    <row r="5" spans="1:30" x14ac:dyDescent="0.25">
      <c r="A5" t="s">
        <v>780</v>
      </c>
      <c r="R5" s="40"/>
      <c r="AC5" t="s">
        <v>781</v>
      </c>
      <c r="AD5">
        <v>6</v>
      </c>
    </row>
    <row r="6" spans="1:30" x14ac:dyDescent="0.25">
      <c r="A6" t="s">
        <v>782</v>
      </c>
      <c r="R6" s="40"/>
    </row>
    <row r="7" spans="1:30" x14ac:dyDescent="0.25">
      <c r="A7" t="s">
        <v>783</v>
      </c>
      <c r="R7" s="40"/>
    </row>
    <row r="8" spans="1:30" x14ac:dyDescent="0.25">
      <c r="R8" s="40"/>
    </row>
    <row r="10" spans="1:30" x14ac:dyDescent="0.25">
      <c r="D10" t="s">
        <v>784</v>
      </c>
    </row>
    <row r="12" spans="1:30" x14ac:dyDescent="0.25">
      <c r="D12" t="s">
        <v>785</v>
      </c>
    </row>
    <row r="13" spans="1:30" x14ac:dyDescent="0.25">
      <c r="D13" t="s">
        <v>786</v>
      </c>
    </row>
    <row r="14" spans="1:30" x14ac:dyDescent="0.25">
      <c r="D14" t="s">
        <v>787</v>
      </c>
    </row>
    <row r="16" spans="1:30" x14ac:dyDescent="0.25">
      <c r="D16" t="s">
        <v>788</v>
      </c>
    </row>
    <row r="17" spans="1:18" x14ac:dyDescent="0.25">
      <c r="D17" t="s">
        <v>789</v>
      </c>
    </row>
    <row r="21" spans="1:18" x14ac:dyDescent="0.25">
      <c r="D21" t="s">
        <v>790</v>
      </c>
    </row>
    <row r="22" spans="1:18" x14ac:dyDescent="0.25">
      <c r="D22" t="s">
        <v>791</v>
      </c>
    </row>
    <row r="23" spans="1:18" x14ac:dyDescent="0.25">
      <c r="D23" t="s">
        <v>792</v>
      </c>
    </row>
    <row r="25" spans="1:18" x14ac:dyDescent="0.25">
      <c r="R25" s="40"/>
    </row>
    <row r="26" spans="1:18" x14ac:dyDescent="0.25">
      <c r="A26" t="s">
        <v>793</v>
      </c>
      <c r="R26" s="40"/>
    </row>
    <row r="27" spans="1:18" x14ac:dyDescent="0.25">
      <c r="R27" s="40"/>
    </row>
    <row r="28" spans="1:18" ht="15.75" x14ac:dyDescent="0.25">
      <c r="A28" s="203" t="s">
        <v>794</v>
      </c>
      <c r="R28" s="40"/>
    </row>
    <row r="29" spans="1:18" ht="15.75" x14ac:dyDescent="0.25">
      <c r="A29" s="203" t="s">
        <v>795</v>
      </c>
      <c r="R29" s="40"/>
    </row>
    <row r="30" spans="1:18" ht="15.75" x14ac:dyDescent="0.25">
      <c r="A30" s="203" t="s">
        <v>796</v>
      </c>
      <c r="R30" s="40"/>
    </row>
    <row r="31" spans="1:18" ht="15.75" x14ac:dyDescent="0.25">
      <c r="A31" s="204" t="s">
        <v>797</v>
      </c>
      <c r="R31" s="40"/>
    </row>
    <row r="32" spans="1:18" ht="15.75" x14ac:dyDescent="0.25">
      <c r="A32" s="205" t="s">
        <v>798</v>
      </c>
      <c r="R32" s="40"/>
    </row>
    <row r="33" spans="18:18" x14ac:dyDescent="0.25">
      <c r="R33" s="40"/>
    </row>
    <row r="34" spans="18:18" x14ac:dyDescent="0.25">
      <c r="R34" s="40"/>
    </row>
    <row r="35" spans="18:18" x14ac:dyDescent="0.25">
      <c r="R35"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43EC-DDEC-48C2-9A00-F2EA53D16A84}">
  <sheetPr>
    <tabColor theme="7" tint="0.79998168889431442"/>
  </sheetPr>
  <dimension ref="A1:G270"/>
  <sheetViews>
    <sheetView workbookViewId="0">
      <selection activeCell="E4" sqref="E4"/>
    </sheetView>
  </sheetViews>
  <sheetFormatPr baseColWidth="10" defaultRowHeight="15" x14ac:dyDescent="0.25"/>
  <cols>
    <col min="1" max="1" width="55" bestFit="1" customWidth="1"/>
    <col min="5" max="5" width="25.85546875" bestFit="1" customWidth="1"/>
    <col min="6" max="6" width="10.42578125" bestFit="1" customWidth="1"/>
    <col min="7" max="7" width="68.28515625" customWidth="1"/>
  </cols>
  <sheetData>
    <row r="1" spans="1:7" x14ac:dyDescent="0.25">
      <c r="A1" t="s">
        <v>799</v>
      </c>
      <c r="F1" s="128" t="s">
        <v>800</v>
      </c>
      <c r="G1" s="128"/>
    </row>
    <row r="2" spans="1:7" ht="15.75" thickBot="1" x14ac:dyDescent="0.3">
      <c r="A2" t="s">
        <v>801</v>
      </c>
      <c r="G2" s="206" t="s">
        <v>802</v>
      </c>
    </row>
    <row r="3" spans="1:7" ht="15.75" thickBot="1" x14ac:dyDescent="0.3">
      <c r="G3" s="207"/>
    </row>
    <row r="4" spans="1:7" ht="54" x14ac:dyDescent="0.25">
      <c r="A4" s="91" t="s">
        <v>803</v>
      </c>
      <c r="G4" s="208" t="s">
        <v>804</v>
      </c>
    </row>
    <row r="5" spans="1:7" x14ac:dyDescent="0.25">
      <c r="A5" s="91" t="s">
        <v>262</v>
      </c>
      <c r="G5" s="209"/>
    </row>
    <row r="6" spans="1:7" ht="22.5" x14ac:dyDescent="0.25">
      <c r="A6" s="91" t="s">
        <v>264</v>
      </c>
      <c r="G6" s="208" t="s">
        <v>805</v>
      </c>
    </row>
    <row r="7" spans="1:7" x14ac:dyDescent="0.25">
      <c r="A7" s="91" t="s">
        <v>266</v>
      </c>
      <c r="G7" s="208" t="s">
        <v>806</v>
      </c>
    </row>
    <row r="8" spans="1:7" ht="22.5" x14ac:dyDescent="0.25">
      <c r="A8" s="91" t="s">
        <v>268</v>
      </c>
      <c r="G8" s="208" t="s">
        <v>807</v>
      </c>
    </row>
    <row r="9" spans="1:7" x14ac:dyDescent="0.25">
      <c r="A9" s="91" t="s">
        <v>270</v>
      </c>
      <c r="E9" s="38" t="s">
        <v>808</v>
      </c>
      <c r="F9" s="38"/>
      <c r="G9" s="208" t="s">
        <v>809</v>
      </c>
    </row>
    <row r="10" spans="1:7" x14ac:dyDescent="0.25">
      <c r="A10" s="91" t="s">
        <v>272</v>
      </c>
      <c r="E10" s="38" t="s">
        <v>810</v>
      </c>
      <c r="F10" s="38"/>
    </row>
    <row r="11" spans="1:7" x14ac:dyDescent="0.25">
      <c r="A11" s="91" t="s">
        <v>274</v>
      </c>
      <c r="E11" s="127" t="s">
        <v>811</v>
      </c>
      <c r="F11" s="127" t="s">
        <v>516</v>
      </c>
    </row>
    <row r="12" spans="1:7" x14ac:dyDescent="0.25">
      <c r="A12" s="91" t="s">
        <v>276</v>
      </c>
      <c r="E12" s="125">
        <v>0</v>
      </c>
      <c r="F12" s="210">
        <f>(E12/7)^0.5</f>
        <v>0</v>
      </c>
    </row>
    <row r="13" spans="1:7" x14ac:dyDescent="0.25">
      <c r="A13" s="91" t="s">
        <v>278</v>
      </c>
      <c r="E13" s="125">
        <v>0.5</v>
      </c>
      <c r="F13" s="210">
        <f>(E13/7)^0.5</f>
        <v>0.2672612419124244</v>
      </c>
    </row>
    <row r="14" spans="1:7" x14ac:dyDescent="0.25">
      <c r="A14" s="91" t="s">
        <v>280</v>
      </c>
      <c r="E14" s="125">
        <v>1</v>
      </c>
      <c r="F14" s="210">
        <f>(E14/7)^0.5</f>
        <v>0.3779644730092272</v>
      </c>
    </row>
    <row r="15" spans="1:7" x14ac:dyDescent="0.25">
      <c r="A15" s="91" t="s">
        <v>283</v>
      </c>
      <c r="E15" s="125">
        <v>1.5</v>
      </c>
      <c r="F15" s="210">
        <f t="shared" ref="F15:F26" si="0">(E15/7)^0.5</f>
        <v>0.46291004988627571</v>
      </c>
    </row>
    <row r="16" spans="1:7" x14ac:dyDescent="0.25">
      <c r="A16" s="91" t="s">
        <v>286</v>
      </c>
      <c r="E16" s="125">
        <v>2</v>
      </c>
      <c r="F16" s="210">
        <f t="shared" si="0"/>
        <v>0.53452248382484879</v>
      </c>
    </row>
    <row r="17" spans="1:6" x14ac:dyDescent="0.25">
      <c r="A17" s="91" t="s">
        <v>289</v>
      </c>
      <c r="E17" s="125">
        <v>2.5</v>
      </c>
      <c r="F17" s="210">
        <f t="shared" si="0"/>
        <v>0.59761430466719678</v>
      </c>
    </row>
    <row r="18" spans="1:6" x14ac:dyDescent="0.25">
      <c r="A18" s="91" t="s">
        <v>291</v>
      </c>
      <c r="E18" s="125">
        <v>3</v>
      </c>
      <c r="F18" s="210">
        <f t="shared" si="0"/>
        <v>0.65465367070797709</v>
      </c>
    </row>
    <row r="19" spans="1:6" x14ac:dyDescent="0.25">
      <c r="A19" s="91" t="s">
        <v>294</v>
      </c>
      <c r="E19" s="125">
        <v>3.5</v>
      </c>
      <c r="F19" s="210">
        <f t="shared" si="0"/>
        <v>0.70710678118654757</v>
      </c>
    </row>
    <row r="20" spans="1:6" x14ac:dyDescent="0.25">
      <c r="A20" s="91" t="s">
        <v>297</v>
      </c>
      <c r="E20" s="125">
        <v>4</v>
      </c>
      <c r="F20" s="210">
        <f t="shared" si="0"/>
        <v>0.7559289460184544</v>
      </c>
    </row>
    <row r="21" spans="1:6" x14ac:dyDescent="0.25">
      <c r="A21" s="91" t="s">
        <v>299</v>
      </c>
      <c r="E21" s="125">
        <v>4.5</v>
      </c>
      <c r="F21" s="210">
        <f t="shared" si="0"/>
        <v>0.80178372573727319</v>
      </c>
    </row>
    <row r="22" spans="1:6" x14ac:dyDescent="0.25">
      <c r="A22" s="91" t="s">
        <v>302</v>
      </c>
      <c r="E22" s="125">
        <v>5</v>
      </c>
      <c r="F22" s="210">
        <f t="shared" si="0"/>
        <v>0.84515425472851657</v>
      </c>
    </row>
    <row r="23" spans="1:6" x14ac:dyDescent="0.25">
      <c r="A23" s="91" t="s">
        <v>304</v>
      </c>
      <c r="E23" s="125">
        <v>5.5</v>
      </c>
      <c r="F23" s="210">
        <f t="shared" si="0"/>
        <v>0.88640526042791834</v>
      </c>
    </row>
    <row r="24" spans="1:6" x14ac:dyDescent="0.25">
      <c r="A24" s="91" t="s">
        <v>306</v>
      </c>
      <c r="E24" s="125">
        <v>6</v>
      </c>
      <c r="F24" s="210">
        <f t="shared" si="0"/>
        <v>0.92582009977255142</v>
      </c>
    </row>
    <row r="25" spans="1:6" x14ac:dyDescent="0.25">
      <c r="A25" s="91" t="s">
        <v>308</v>
      </c>
      <c r="E25" s="125">
        <v>6.5</v>
      </c>
      <c r="F25" s="210">
        <f t="shared" si="0"/>
        <v>0.96362411165943151</v>
      </c>
    </row>
    <row r="26" spans="1:6" x14ac:dyDescent="0.25">
      <c r="E26" s="125">
        <v>7</v>
      </c>
      <c r="F26" s="210">
        <f t="shared" si="0"/>
        <v>1</v>
      </c>
    </row>
    <row r="28" spans="1:6" x14ac:dyDescent="0.25">
      <c r="A28" t="s">
        <v>812</v>
      </c>
    </row>
    <row r="29" spans="1:6" x14ac:dyDescent="0.25">
      <c r="A29" t="s">
        <v>811</v>
      </c>
    </row>
    <row r="30" spans="1:6" x14ac:dyDescent="0.25">
      <c r="A30" t="s">
        <v>117</v>
      </c>
    </row>
    <row r="32" spans="1:6" x14ac:dyDescent="0.25">
      <c r="A32" s="91" t="s">
        <v>813</v>
      </c>
    </row>
    <row r="33" spans="1:5" x14ac:dyDescent="0.25">
      <c r="A33" s="91" t="s">
        <v>814</v>
      </c>
    </row>
    <row r="34" spans="1:5" x14ac:dyDescent="0.25">
      <c r="A34" s="91" t="s">
        <v>815</v>
      </c>
    </row>
    <row r="35" spans="1:5" x14ac:dyDescent="0.25">
      <c r="A35" s="91" t="s">
        <v>816</v>
      </c>
    </row>
    <row r="36" spans="1:5" x14ac:dyDescent="0.25">
      <c r="A36" s="91" t="s">
        <v>817</v>
      </c>
    </row>
    <row r="37" spans="1:5" x14ac:dyDescent="0.25">
      <c r="A37" s="91" t="s">
        <v>818</v>
      </c>
    </row>
    <row r="38" spans="1:5" x14ac:dyDescent="0.25">
      <c r="A38" s="91" t="s">
        <v>819</v>
      </c>
    </row>
    <row r="39" spans="1:5" x14ac:dyDescent="0.25">
      <c r="A39" s="91" t="s">
        <v>820</v>
      </c>
    </row>
    <row r="40" spans="1:5" x14ac:dyDescent="0.25">
      <c r="A40" s="91" t="s">
        <v>821</v>
      </c>
      <c r="E40" s="1"/>
    </row>
    <row r="41" spans="1:5" x14ac:dyDescent="0.25">
      <c r="A41" s="91" t="s">
        <v>822</v>
      </c>
      <c r="E41" s="1"/>
    </row>
    <row r="42" spans="1:5" x14ac:dyDescent="0.25">
      <c r="E42" s="1"/>
    </row>
    <row r="44" spans="1:5" x14ac:dyDescent="0.25">
      <c r="A44" t="s">
        <v>823</v>
      </c>
    </row>
    <row r="45" spans="1:5" x14ac:dyDescent="0.25">
      <c r="A45" t="s">
        <v>824</v>
      </c>
    </row>
    <row r="47" spans="1:5" x14ac:dyDescent="0.25">
      <c r="A47" s="91" t="s">
        <v>813</v>
      </c>
    </row>
    <row r="48" spans="1:5" x14ac:dyDescent="0.25">
      <c r="A48" s="91" t="s">
        <v>814</v>
      </c>
    </row>
    <row r="49" spans="1:1" x14ac:dyDescent="0.25">
      <c r="A49" s="91" t="s">
        <v>815</v>
      </c>
    </row>
    <row r="50" spans="1:1" x14ac:dyDescent="0.25">
      <c r="A50" s="91" t="s">
        <v>816</v>
      </c>
    </row>
    <row r="51" spans="1:1" x14ac:dyDescent="0.25">
      <c r="A51" s="91" t="s">
        <v>817</v>
      </c>
    </row>
    <row r="52" spans="1:1" x14ac:dyDescent="0.25">
      <c r="A52" s="91" t="s">
        <v>818</v>
      </c>
    </row>
    <row r="53" spans="1:1" x14ac:dyDescent="0.25">
      <c r="A53" s="91" t="s">
        <v>819</v>
      </c>
    </row>
    <row r="54" spans="1:1" x14ac:dyDescent="0.25">
      <c r="A54" s="91" t="s">
        <v>820</v>
      </c>
    </row>
    <row r="55" spans="1:1" x14ac:dyDescent="0.25">
      <c r="A55" s="91" t="s">
        <v>821</v>
      </c>
    </row>
    <row r="56" spans="1:1" x14ac:dyDescent="0.25">
      <c r="A56" s="91" t="s">
        <v>822</v>
      </c>
    </row>
    <row r="59" spans="1:1" x14ac:dyDescent="0.25">
      <c r="A59" t="s">
        <v>825</v>
      </c>
    </row>
    <row r="61" spans="1:1" x14ac:dyDescent="0.25">
      <c r="A61" s="91" t="s">
        <v>826</v>
      </c>
    </row>
    <row r="62" spans="1:1" x14ac:dyDescent="0.25">
      <c r="A62" s="91" t="s">
        <v>827</v>
      </c>
    </row>
    <row r="63" spans="1:1" x14ac:dyDescent="0.25">
      <c r="A63" s="91" t="s">
        <v>828</v>
      </c>
    </row>
    <row r="64" spans="1:1" x14ac:dyDescent="0.25">
      <c r="A64" s="91" t="s">
        <v>829</v>
      </c>
    </row>
    <row r="65" spans="1:1" x14ac:dyDescent="0.25">
      <c r="A65" s="91" t="s">
        <v>830</v>
      </c>
    </row>
    <row r="66" spans="1:1" x14ac:dyDescent="0.25">
      <c r="A66" s="91" t="s">
        <v>831</v>
      </c>
    </row>
    <row r="67" spans="1:1" x14ac:dyDescent="0.25">
      <c r="A67" s="91" t="s">
        <v>832</v>
      </c>
    </row>
    <row r="68" spans="1:1" x14ac:dyDescent="0.25">
      <c r="A68" s="91" t="s">
        <v>833</v>
      </c>
    </row>
    <row r="69" spans="1:1" x14ac:dyDescent="0.25">
      <c r="A69" s="91" t="s">
        <v>834</v>
      </c>
    </row>
    <row r="70" spans="1:1" x14ac:dyDescent="0.25">
      <c r="A70" s="91" t="s">
        <v>835</v>
      </c>
    </row>
    <row r="71" spans="1:1" x14ac:dyDescent="0.25">
      <c r="A71" s="91" t="s">
        <v>836</v>
      </c>
    </row>
    <row r="74" spans="1:1" x14ac:dyDescent="0.25">
      <c r="A74" t="s">
        <v>837</v>
      </c>
    </row>
    <row r="76" spans="1:1" x14ac:dyDescent="0.25">
      <c r="A76" s="91" t="s">
        <v>826</v>
      </c>
    </row>
    <row r="77" spans="1:1" x14ac:dyDescent="0.25">
      <c r="A77" s="91" t="s">
        <v>838</v>
      </c>
    </row>
    <row r="78" spans="1:1" x14ac:dyDescent="0.25">
      <c r="A78" s="91" t="s">
        <v>839</v>
      </c>
    </row>
    <row r="79" spans="1:1" x14ac:dyDescent="0.25">
      <c r="A79" s="91" t="s">
        <v>840</v>
      </c>
    </row>
    <row r="80" spans="1:1" x14ac:dyDescent="0.25">
      <c r="A80" s="91" t="s">
        <v>841</v>
      </c>
    </row>
    <row r="81" spans="1:1" x14ac:dyDescent="0.25">
      <c r="A81" s="91" t="s">
        <v>842</v>
      </c>
    </row>
    <row r="82" spans="1:1" x14ac:dyDescent="0.25">
      <c r="A82" s="91" t="s">
        <v>843</v>
      </c>
    </row>
    <row r="83" spans="1:1" x14ac:dyDescent="0.25">
      <c r="A83" s="91" t="s">
        <v>844</v>
      </c>
    </row>
    <row r="84" spans="1:1" x14ac:dyDescent="0.25">
      <c r="A84" s="91" t="s">
        <v>845</v>
      </c>
    </row>
    <row r="85" spans="1:1" x14ac:dyDescent="0.25">
      <c r="A85" s="91" t="s">
        <v>846</v>
      </c>
    </row>
    <row r="86" spans="1:1" x14ac:dyDescent="0.25">
      <c r="A86" s="91" t="s">
        <v>847</v>
      </c>
    </row>
    <row r="87" spans="1:1" x14ac:dyDescent="0.25">
      <c r="A87" s="91" t="s">
        <v>835</v>
      </c>
    </row>
    <row r="88" spans="1:1" x14ac:dyDescent="0.25">
      <c r="A88" s="91" t="s">
        <v>836</v>
      </c>
    </row>
    <row r="91" spans="1:1" x14ac:dyDescent="0.25">
      <c r="A91" t="s">
        <v>848</v>
      </c>
    </row>
    <row r="93" spans="1:1" x14ac:dyDescent="0.25">
      <c r="A93" s="91" t="s">
        <v>826</v>
      </c>
    </row>
    <row r="94" spans="1:1" x14ac:dyDescent="0.25">
      <c r="A94" s="91" t="s">
        <v>849</v>
      </c>
    </row>
    <row r="95" spans="1:1" x14ac:dyDescent="0.25">
      <c r="A95" s="91" t="s">
        <v>850</v>
      </c>
    </row>
    <row r="96" spans="1:1" x14ac:dyDescent="0.25">
      <c r="A96" s="91" t="s">
        <v>851</v>
      </c>
    </row>
    <row r="97" spans="1:1" x14ac:dyDescent="0.25">
      <c r="A97" s="91" t="s">
        <v>852</v>
      </c>
    </row>
    <row r="98" spans="1:1" x14ac:dyDescent="0.25">
      <c r="A98" s="91" t="s">
        <v>853</v>
      </c>
    </row>
    <row r="99" spans="1:1" x14ac:dyDescent="0.25">
      <c r="A99" s="91" t="s">
        <v>854</v>
      </c>
    </row>
    <row r="100" spans="1:1" x14ac:dyDescent="0.25">
      <c r="A100" s="91" t="s">
        <v>855</v>
      </c>
    </row>
    <row r="101" spans="1:1" x14ac:dyDescent="0.25">
      <c r="A101" s="91" t="s">
        <v>856</v>
      </c>
    </row>
    <row r="102" spans="1:1" x14ac:dyDescent="0.25">
      <c r="A102" s="91" t="s">
        <v>857</v>
      </c>
    </row>
    <row r="103" spans="1:1" x14ac:dyDescent="0.25">
      <c r="A103" s="91" t="s">
        <v>858</v>
      </c>
    </row>
    <row r="104" spans="1:1" x14ac:dyDescent="0.25">
      <c r="A104" s="91" t="s">
        <v>859</v>
      </c>
    </row>
    <row r="105" spans="1:1" x14ac:dyDescent="0.25">
      <c r="A105" s="91" t="s">
        <v>860</v>
      </c>
    </row>
    <row r="108" spans="1:1" x14ac:dyDescent="0.25">
      <c r="A108" t="s">
        <v>861</v>
      </c>
    </row>
    <row r="110" spans="1:1" x14ac:dyDescent="0.25">
      <c r="A110" s="91" t="s">
        <v>862</v>
      </c>
    </row>
    <row r="111" spans="1:1" x14ac:dyDescent="0.25">
      <c r="A111" s="91" t="s">
        <v>863</v>
      </c>
    </row>
    <row r="112" spans="1:1" x14ac:dyDescent="0.25">
      <c r="A112" s="91" t="s">
        <v>864</v>
      </c>
    </row>
    <row r="113" spans="1:1" x14ac:dyDescent="0.25">
      <c r="A113" s="91" t="s">
        <v>865</v>
      </c>
    </row>
    <row r="114" spans="1:1" x14ac:dyDescent="0.25">
      <c r="A114" s="91" t="s">
        <v>866</v>
      </c>
    </row>
    <row r="115" spans="1:1" x14ac:dyDescent="0.25">
      <c r="A115" s="91" t="s">
        <v>867</v>
      </c>
    </row>
    <row r="116" spans="1:1" x14ac:dyDescent="0.25">
      <c r="A116" s="91" t="s">
        <v>868</v>
      </c>
    </row>
    <row r="117" spans="1:1" x14ac:dyDescent="0.25">
      <c r="A117" s="91" t="s">
        <v>869</v>
      </c>
    </row>
    <row r="120" spans="1:1" x14ac:dyDescent="0.25">
      <c r="A120" t="s">
        <v>870</v>
      </c>
    </row>
    <row r="122" spans="1:1" x14ac:dyDescent="0.25">
      <c r="A122" s="91" t="s">
        <v>871</v>
      </c>
    </row>
    <row r="123" spans="1:1" x14ac:dyDescent="0.25">
      <c r="A123" s="91" t="s">
        <v>872</v>
      </c>
    </row>
    <row r="124" spans="1:1" x14ac:dyDescent="0.25">
      <c r="A124" s="91" t="s">
        <v>873</v>
      </c>
    </row>
    <row r="125" spans="1:1" x14ac:dyDescent="0.25">
      <c r="A125" s="91" t="s">
        <v>874</v>
      </c>
    </row>
    <row r="126" spans="1:1" x14ac:dyDescent="0.25">
      <c r="A126" s="91" t="s">
        <v>875</v>
      </c>
    </row>
    <row r="127" spans="1:1" x14ac:dyDescent="0.25">
      <c r="A127" s="91" t="s">
        <v>876</v>
      </c>
    </row>
    <row r="128" spans="1:1" x14ac:dyDescent="0.25">
      <c r="A128" s="91" t="s">
        <v>877</v>
      </c>
    </row>
    <row r="131" spans="1:1" x14ac:dyDescent="0.25">
      <c r="A131" t="s">
        <v>878</v>
      </c>
    </row>
    <row r="133" spans="1:1" x14ac:dyDescent="0.25">
      <c r="A133" s="91" t="s">
        <v>879</v>
      </c>
    </row>
    <row r="134" spans="1:1" x14ac:dyDescent="0.25">
      <c r="A134" s="91" t="s">
        <v>880</v>
      </c>
    </row>
    <row r="135" spans="1:1" x14ac:dyDescent="0.25">
      <c r="A135" s="91" t="s">
        <v>881</v>
      </c>
    </row>
    <row r="136" spans="1:1" x14ac:dyDescent="0.25">
      <c r="A136" s="91" t="s">
        <v>882</v>
      </c>
    </row>
    <row r="137" spans="1:1" x14ac:dyDescent="0.25">
      <c r="A137" s="91" t="s">
        <v>883</v>
      </c>
    </row>
    <row r="138" spans="1:1" x14ac:dyDescent="0.25">
      <c r="A138" s="91" t="s">
        <v>884</v>
      </c>
    </row>
    <row r="139" spans="1:1" x14ac:dyDescent="0.25">
      <c r="A139" s="91" t="s">
        <v>885</v>
      </c>
    </row>
    <row r="142" spans="1:1" x14ac:dyDescent="0.25">
      <c r="A142" t="s">
        <v>886</v>
      </c>
    </row>
    <row r="144" spans="1:1" x14ac:dyDescent="0.25">
      <c r="A144" s="91" t="s">
        <v>887</v>
      </c>
    </row>
    <row r="145" spans="1:1" x14ac:dyDescent="0.25">
      <c r="A145" s="91" t="s">
        <v>888</v>
      </c>
    </row>
    <row r="146" spans="1:1" x14ac:dyDescent="0.25">
      <c r="A146" s="91" t="s">
        <v>889</v>
      </c>
    </row>
    <row r="147" spans="1:1" x14ac:dyDescent="0.25">
      <c r="A147" s="91" t="s">
        <v>890</v>
      </c>
    </row>
    <row r="148" spans="1:1" x14ac:dyDescent="0.25">
      <c r="A148" s="91" t="s">
        <v>891</v>
      </c>
    </row>
    <row r="149" spans="1:1" x14ac:dyDescent="0.25">
      <c r="A149" s="91" t="s">
        <v>892</v>
      </c>
    </row>
    <row r="150" spans="1:1" x14ac:dyDescent="0.25">
      <c r="A150" s="91" t="s">
        <v>893</v>
      </c>
    </row>
    <row r="153" spans="1:1" x14ac:dyDescent="0.25">
      <c r="A153" t="s">
        <v>894</v>
      </c>
    </row>
    <row r="155" spans="1:1" x14ac:dyDescent="0.25">
      <c r="A155" s="91" t="s">
        <v>895</v>
      </c>
    </row>
    <row r="156" spans="1:1" x14ac:dyDescent="0.25">
      <c r="A156" s="91" t="s">
        <v>896</v>
      </c>
    </row>
    <row r="157" spans="1:1" x14ac:dyDescent="0.25">
      <c r="A157" s="91" t="s">
        <v>897</v>
      </c>
    </row>
    <row r="158" spans="1:1" x14ac:dyDescent="0.25">
      <c r="A158" s="91" t="s">
        <v>898</v>
      </c>
    </row>
    <row r="159" spans="1:1" x14ac:dyDescent="0.25">
      <c r="A159" s="91" t="s">
        <v>899</v>
      </c>
    </row>
    <row r="160" spans="1:1" x14ac:dyDescent="0.25">
      <c r="A160" s="91" t="s">
        <v>900</v>
      </c>
    </row>
    <row r="161" spans="1:1" x14ac:dyDescent="0.25">
      <c r="A161" s="91" t="s">
        <v>901</v>
      </c>
    </row>
    <row r="162" spans="1:1" x14ac:dyDescent="0.25">
      <c r="A162" s="91" t="s">
        <v>902</v>
      </c>
    </row>
    <row r="163" spans="1:1" x14ac:dyDescent="0.25">
      <c r="A163" s="91" t="s">
        <v>903</v>
      </c>
    </row>
    <row r="164" spans="1:1" x14ac:dyDescent="0.25">
      <c r="A164" s="91" t="s">
        <v>904</v>
      </c>
    </row>
    <row r="165" spans="1:1" x14ac:dyDescent="0.25">
      <c r="A165" s="91" t="s">
        <v>905</v>
      </c>
    </row>
    <row r="166" spans="1:1" x14ac:dyDescent="0.25">
      <c r="A166" s="91" t="s">
        <v>906</v>
      </c>
    </row>
    <row r="169" spans="1:1" x14ac:dyDescent="0.25">
      <c r="A169" t="s">
        <v>907</v>
      </c>
    </row>
    <row r="171" spans="1:1" x14ac:dyDescent="0.25">
      <c r="A171" s="91" t="s">
        <v>908</v>
      </c>
    </row>
    <row r="172" spans="1:1" x14ac:dyDescent="0.25">
      <c r="A172" s="91" t="s">
        <v>909</v>
      </c>
    </row>
    <row r="173" spans="1:1" x14ac:dyDescent="0.25">
      <c r="A173" s="91" t="s">
        <v>910</v>
      </c>
    </row>
    <row r="174" spans="1:1" x14ac:dyDescent="0.25">
      <c r="A174" s="91" t="s">
        <v>911</v>
      </c>
    </row>
    <row r="175" spans="1:1" x14ac:dyDescent="0.25">
      <c r="A175" s="91" t="s">
        <v>912</v>
      </c>
    </row>
    <row r="176" spans="1:1" x14ac:dyDescent="0.25">
      <c r="A176" s="91" t="s">
        <v>913</v>
      </c>
    </row>
    <row r="177" spans="1:1" x14ac:dyDescent="0.25">
      <c r="A177" s="91" t="s">
        <v>914</v>
      </c>
    </row>
    <row r="178" spans="1:1" x14ac:dyDescent="0.25">
      <c r="A178" s="91" t="s">
        <v>915</v>
      </c>
    </row>
    <row r="179" spans="1:1" x14ac:dyDescent="0.25">
      <c r="A179" s="91" t="s">
        <v>916</v>
      </c>
    </row>
    <row r="180" spans="1:1" x14ac:dyDescent="0.25">
      <c r="A180" s="91" t="s">
        <v>917</v>
      </c>
    </row>
    <row r="181" spans="1:1" x14ac:dyDescent="0.25">
      <c r="A181" s="91" t="s">
        <v>918</v>
      </c>
    </row>
    <row r="182" spans="1:1" x14ac:dyDescent="0.25">
      <c r="A182" s="206" t="s">
        <v>919</v>
      </c>
    </row>
    <row r="183" spans="1:1" x14ac:dyDescent="0.25">
      <c r="A183" t="s">
        <v>920</v>
      </c>
    </row>
    <row r="184" spans="1:1" x14ac:dyDescent="0.25">
      <c r="A184" s="211" t="s">
        <v>921</v>
      </c>
    </row>
    <row r="185" spans="1:1" x14ac:dyDescent="0.25">
      <c r="A185" s="206" t="s">
        <v>922</v>
      </c>
    </row>
    <row r="188" spans="1:1" x14ac:dyDescent="0.25">
      <c r="A188" t="s">
        <v>923</v>
      </c>
    </row>
    <row r="189" spans="1:1" x14ac:dyDescent="0.25">
      <c r="A189" s="91" t="s">
        <v>924</v>
      </c>
    </row>
    <row r="190" spans="1:1" x14ac:dyDescent="0.25">
      <c r="A190" s="91" t="s">
        <v>925</v>
      </c>
    </row>
    <row r="191" spans="1:1" x14ac:dyDescent="0.25">
      <c r="A191" s="91" t="s">
        <v>926</v>
      </c>
    </row>
    <row r="192" spans="1:1" x14ac:dyDescent="0.25">
      <c r="A192" s="91" t="s">
        <v>927</v>
      </c>
    </row>
    <row r="193" spans="1:1" x14ac:dyDescent="0.25">
      <c r="A193" s="91" t="s">
        <v>928</v>
      </c>
    </row>
    <row r="194" spans="1:1" x14ac:dyDescent="0.25">
      <c r="A194" s="91" t="s">
        <v>929</v>
      </c>
    </row>
    <row r="195" spans="1:1" x14ac:dyDescent="0.25">
      <c r="A195" s="91" t="s">
        <v>930</v>
      </c>
    </row>
    <row r="196" spans="1:1" x14ac:dyDescent="0.25">
      <c r="A196" s="91" t="s">
        <v>931</v>
      </c>
    </row>
    <row r="197" spans="1:1" x14ac:dyDescent="0.25">
      <c r="A197" s="91" t="s">
        <v>932</v>
      </c>
    </row>
    <row r="198" spans="1:1" x14ac:dyDescent="0.25">
      <c r="A198" s="91" t="s">
        <v>933</v>
      </c>
    </row>
    <row r="199" spans="1:1" x14ac:dyDescent="0.25">
      <c r="A199" s="91" t="s">
        <v>934</v>
      </c>
    </row>
    <row r="200" spans="1:1" x14ac:dyDescent="0.25">
      <c r="A200" s="91" t="s">
        <v>935</v>
      </c>
    </row>
    <row r="201" spans="1:1" x14ac:dyDescent="0.25">
      <c r="A201" s="91" t="s">
        <v>936</v>
      </c>
    </row>
    <row r="202" spans="1:1" x14ac:dyDescent="0.25">
      <c r="A202" s="91" t="s">
        <v>937</v>
      </c>
    </row>
    <row r="203" spans="1:1" x14ac:dyDescent="0.25">
      <c r="A203" s="91" t="s">
        <v>938</v>
      </c>
    </row>
    <row r="204" spans="1:1" x14ac:dyDescent="0.25">
      <c r="A204" s="91" t="s">
        <v>939</v>
      </c>
    </row>
    <row r="205" spans="1:1" x14ac:dyDescent="0.25">
      <c r="A205" s="91" t="s">
        <v>940</v>
      </c>
    </row>
    <row r="206" spans="1:1" x14ac:dyDescent="0.25">
      <c r="A206" s="91" t="s">
        <v>941</v>
      </c>
    </row>
    <row r="207" spans="1:1" x14ac:dyDescent="0.25">
      <c r="A207" s="91" t="s">
        <v>942</v>
      </c>
    </row>
    <row r="208" spans="1:1" x14ac:dyDescent="0.25">
      <c r="A208" s="91" t="s">
        <v>943</v>
      </c>
    </row>
    <row r="209" spans="1:1" x14ac:dyDescent="0.25">
      <c r="A209" s="91" t="s">
        <v>944</v>
      </c>
    </row>
    <row r="210" spans="1:1" x14ac:dyDescent="0.25">
      <c r="A210" s="91" t="s">
        <v>945</v>
      </c>
    </row>
    <row r="211" spans="1:1" x14ac:dyDescent="0.25">
      <c r="A211" s="91" t="s">
        <v>946</v>
      </c>
    </row>
    <row r="212" spans="1:1" x14ac:dyDescent="0.25">
      <c r="A212" s="91" t="s">
        <v>947</v>
      </c>
    </row>
    <row r="213" spans="1:1" x14ac:dyDescent="0.25">
      <c r="A213" s="91" t="s">
        <v>948</v>
      </c>
    </row>
    <row r="214" spans="1:1" x14ac:dyDescent="0.25">
      <c r="A214" s="91" t="s">
        <v>949</v>
      </c>
    </row>
    <row r="215" spans="1:1" x14ac:dyDescent="0.25">
      <c r="A215" s="91" t="s">
        <v>950</v>
      </c>
    </row>
    <row r="216" spans="1:1" x14ac:dyDescent="0.25">
      <c r="A216" s="91" t="s">
        <v>951</v>
      </c>
    </row>
    <row r="217" spans="1:1" x14ac:dyDescent="0.25">
      <c r="A217" s="91" t="s">
        <v>952</v>
      </c>
    </row>
    <row r="218" spans="1:1" x14ac:dyDescent="0.25">
      <c r="A218" s="91" t="s">
        <v>953</v>
      </c>
    </row>
    <row r="219" spans="1:1" x14ac:dyDescent="0.25">
      <c r="A219" s="91" t="s">
        <v>954</v>
      </c>
    </row>
    <row r="220" spans="1:1" x14ac:dyDescent="0.25">
      <c r="A220" s="91" t="s">
        <v>955</v>
      </c>
    </row>
    <row r="221" spans="1:1" x14ac:dyDescent="0.25">
      <c r="A221" s="91" t="s">
        <v>956</v>
      </c>
    </row>
    <row r="222" spans="1:1" x14ac:dyDescent="0.25">
      <c r="A222" s="91" t="s">
        <v>957</v>
      </c>
    </row>
    <row r="223" spans="1:1" x14ac:dyDescent="0.25">
      <c r="A223" s="91" t="s">
        <v>958</v>
      </c>
    </row>
    <row r="224" spans="1:1" x14ac:dyDescent="0.25">
      <c r="A224" s="91" t="s">
        <v>959</v>
      </c>
    </row>
    <row r="225" spans="1:1" x14ac:dyDescent="0.25">
      <c r="A225" s="91" t="s">
        <v>960</v>
      </c>
    </row>
    <row r="226" spans="1:1" x14ac:dyDescent="0.25">
      <c r="A226" s="91" t="s">
        <v>961</v>
      </c>
    </row>
    <row r="227" spans="1:1" x14ac:dyDescent="0.25">
      <c r="A227" s="91" t="s">
        <v>962</v>
      </c>
    </row>
    <row r="228" spans="1:1" x14ac:dyDescent="0.25">
      <c r="A228" s="91" t="s">
        <v>963</v>
      </c>
    </row>
    <row r="229" spans="1:1" x14ac:dyDescent="0.25">
      <c r="A229" s="91" t="s">
        <v>964</v>
      </c>
    </row>
    <row r="230" spans="1:1" x14ac:dyDescent="0.25">
      <c r="A230" s="91" t="s">
        <v>965</v>
      </c>
    </row>
    <row r="231" spans="1:1" x14ac:dyDescent="0.25">
      <c r="A231" s="91" t="s">
        <v>966</v>
      </c>
    </row>
    <row r="232" spans="1:1" x14ac:dyDescent="0.25">
      <c r="A232" s="91" t="s">
        <v>967</v>
      </c>
    </row>
    <row r="233" spans="1:1" x14ac:dyDescent="0.25">
      <c r="A233" s="91" t="s">
        <v>968</v>
      </c>
    </row>
    <row r="234" spans="1:1" x14ac:dyDescent="0.25">
      <c r="A234" s="91" t="s">
        <v>969</v>
      </c>
    </row>
    <row r="235" spans="1:1" x14ac:dyDescent="0.25">
      <c r="A235" s="91" t="s">
        <v>970</v>
      </c>
    </row>
    <row r="236" spans="1:1" x14ac:dyDescent="0.25">
      <c r="A236" s="91" t="s">
        <v>971</v>
      </c>
    </row>
    <row r="237" spans="1:1" x14ac:dyDescent="0.25">
      <c r="A237" s="91" t="s">
        <v>972</v>
      </c>
    </row>
    <row r="238" spans="1:1" x14ac:dyDescent="0.25">
      <c r="A238" s="91" t="s">
        <v>973</v>
      </c>
    </row>
    <row r="239" spans="1:1" x14ac:dyDescent="0.25">
      <c r="A239" s="91" t="s">
        <v>974</v>
      </c>
    </row>
    <row r="240" spans="1:1" x14ac:dyDescent="0.25">
      <c r="A240" s="91" t="s">
        <v>975</v>
      </c>
    </row>
    <row r="241" spans="1:1" x14ac:dyDescent="0.25">
      <c r="A241" s="91" t="s">
        <v>976</v>
      </c>
    </row>
    <row r="242" spans="1:1" x14ac:dyDescent="0.25">
      <c r="A242" s="91" t="s">
        <v>977</v>
      </c>
    </row>
    <row r="243" spans="1:1" x14ac:dyDescent="0.25">
      <c r="A243" s="91" t="s">
        <v>978</v>
      </c>
    </row>
    <row r="244" spans="1:1" x14ac:dyDescent="0.25">
      <c r="A244" s="91" t="s">
        <v>979</v>
      </c>
    </row>
    <row r="245" spans="1:1" x14ac:dyDescent="0.25">
      <c r="A245" s="91" t="s">
        <v>980</v>
      </c>
    </row>
    <row r="246" spans="1:1" x14ac:dyDescent="0.25">
      <c r="A246" s="91" t="s">
        <v>981</v>
      </c>
    </row>
    <row r="247" spans="1:1" x14ac:dyDescent="0.25">
      <c r="A247" s="91" t="s">
        <v>982</v>
      </c>
    </row>
    <row r="248" spans="1:1" x14ac:dyDescent="0.25">
      <c r="A248" s="91" t="s">
        <v>983</v>
      </c>
    </row>
    <row r="249" spans="1:1" x14ac:dyDescent="0.25">
      <c r="A249" s="91" t="s">
        <v>984</v>
      </c>
    </row>
    <row r="250" spans="1:1" x14ac:dyDescent="0.25">
      <c r="A250" s="91" t="s">
        <v>520</v>
      </c>
    </row>
    <row r="251" spans="1:1" x14ac:dyDescent="0.25">
      <c r="A251" s="91" t="s">
        <v>521</v>
      </c>
    </row>
    <row r="252" spans="1:1" x14ac:dyDescent="0.25">
      <c r="A252" s="91" t="s">
        <v>522</v>
      </c>
    </row>
    <row r="253" spans="1:1" x14ac:dyDescent="0.25">
      <c r="A253" s="91" t="s">
        <v>523</v>
      </c>
    </row>
    <row r="254" spans="1:1" x14ac:dyDescent="0.25">
      <c r="A254" s="91" t="s">
        <v>524</v>
      </c>
    </row>
    <row r="255" spans="1:1" x14ac:dyDescent="0.25">
      <c r="A255" s="91" t="s">
        <v>525</v>
      </c>
    </row>
    <row r="256" spans="1:1" x14ac:dyDescent="0.25">
      <c r="A256" s="91" t="s">
        <v>526</v>
      </c>
    </row>
    <row r="257" spans="1:1" x14ac:dyDescent="0.25">
      <c r="A257" s="91" t="s">
        <v>527</v>
      </c>
    </row>
    <row r="258" spans="1:1" x14ac:dyDescent="0.25">
      <c r="A258" s="91" t="s">
        <v>528</v>
      </c>
    </row>
    <row r="259" spans="1:1" x14ac:dyDescent="0.25">
      <c r="A259" s="91" t="s">
        <v>529</v>
      </c>
    </row>
    <row r="260" spans="1:1" x14ac:dyDescent="0.25">
      <c r="A260" s="91" t="s">
        <v>530</v>
      </c>
    </row>
    <row r="261" spans="1:1" x14ac:dyDescent="0.25">
      <c r="A261" s="91" t="s">
        <v>531</v>
      </c>
    </row>
    <row r="262" spans="1:1" x14ac:dyDescent="0.25">
      <c r="A262" s="91" t="s">
        <v>532</v>
      </c>
    </row>
    <row r="263" spans="1:1" x14ac:dyDescent="0.25">
      <c r="A263" s="91" t="s">
        <v>533</v>
      </c>
    </row>
    <row r="264" spans="1:1" x14ac:dyDescent="0.25">
      <c r="A264" s="91" t="s">
        <v>534</v>
      </c>
    </row>
    <row r="265" spans="1:1" x14ac:dyDescent="0.25">
      <c r="A265" s="91" t="s">
        <v>535</v>
      </c>
    </row>
    <row r="266" spans="1:1" x14ac:dyDescent="0.25">
      <c r="A266" s="91" t="s">
        <v>536</v>
      </c>
    </row>
    <row r="267" spans="1:1" x14ac:dyDescent="0.25">
      <c r="A267" s="91" t="s">
        <v>537</v>
      </c>
    </row>
    <row r="268" spans="1:1" x14ac:dyDescent="0.25">
      <c r="A268" s="91" t="s">
        <v>538</v>
      </c>
    </row>
    <row r="269" spans="1:1" x14ac:dyDescent="0.25">
      <c r="A269" s="91" t="s">
        <v>539</v>
      </c>
    </row>
    <row r="270" spans="1:1" x14ac:dyDescent="0.25">
      <c r="A270" s="91" t="s">
        <v>540</v>
      </c>
    </row>
  </sheetData>
  <hyperlinks>
    <hyperlink ref="A182" r:id="rId1" display="javascript:ShowSignature('202240386');" xr:uid="{21931CCC-75EC-40D3-B599-D9E1511CCEA9}"/>
    <hyperlink ref="A185" r:id="rId2" tooltip="http://docs.google.com/Doc?docid=0AWl8cQ9-H8RZZDg5Zjg1cV8xMjRka3F2dGQ2&amp;hl=es" display="http://docs.google.com/Doc?docid=0AWl8cQ9-H8RZZDg5Zjg1cV8xMjRka3F2dGQ2&amp;hl=es" xr:uid="{E6C980BB-A501-4AB6-BBBD-2BBF0C18A7A5}"/>
    <hyperlink ref="G2" r:id="rId3" tooltip="/Help/Rules/PlayerAttributes.aspx" display="http://www74.hattrick.org/Help/Rules/PlayerAttributes.aspx" xr:uid="{0A69FBA9-7FF0-4BF3-B79A-9CA26FD3D9A8}"/>
  </hyperlinks>
  <pageMargins left="0.7" right="0.7" top="0.75" bottom="0.75" header="0.3" footer="0.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41D7-743E-4DE3-87DC-571D73BE5EE1}">
  <sheetPr>
    <tabColor theme="9" tint="0.79998168889431442"/>
  </sheetPr>
  <dimension ref="A1:P32"/>
  <sheetViews>
    <sheetView workbookViewId="0">
      <selection activeCell="P32" sqref="P2:P32"/>
    </sheetView>
  </sheetViews>
  <sheetFormatPr baseColWidth="10" defaultRowHeight="15" x14ac:dyDescent="0.25"/>
  <sheetData>
    <row r="1" spans="1:16" x14ac:dyDescent="0.25">
      <c r="A1" s="212" t="s">
        <v>985</v>
      </c>
    </row>
    <row r="2" spans="1:16" x14ac:dyDescent="0.25">
      <c r="P2" t="s">
        <v>1152</v>
      </c>
    </row>
    <row r="4" spans="1:16" x14ac:dyDescent="0.25">
      <c r="P4" t="s">
        <v>1153</v>
      </c>
    </row>
    <row r="5" spans="1:16" x14ac:dyDescent="0.25">
      <c r="A5" t="s">
        <v>986</v>
      </c>
    </row>
    <row r="6" spans="1:16" x14ac:dyDescent="0.25">
      <c r="A6" t="s">
        <v>987</v>
      </c>
    </row>
    <row r="7" spans="1:16" x14ac:dyDescent="0.25">
      <c r="A7" s="91" t="s">
        <v>988</v>
      </c>
      <c r="H7" s="213" t="s">
        <v>989</v>
      </c>
      <c r="P7" t="s">
        <v>1154</v>
      </c>
    </row>
    <row r="8" spans="1:16" x14ac:dyDescent="0.25">
      <c r="A8" s="91" t="s">
        <v>990</v>
      </c>
      <c r="H8" s="1" t="s">
        <v>991</v>
      </c>
    </row>
    <row r="9" spans="1:16" x14ac:dyDescent="0.25">
      <c r="A9" s="91" t="s">
        <v>992</v>
      </c>
      <c r="F9" t="s">
        <v>993</v>
      </c>
      <c r="H9" s="1" t="s">
        <v>994</v>
      </c>
      <c r="P9" t="s">
        <v>1155</v>
      </c>
    </row>
    <row r="10" spans="1:16" x14ac:dyDescent="0.25">
      <c r="A10" s="91" t="s">
        <v>995</v>
      </c>
      <c r="F10" t="s">
        <v>996</v>
      </c>
      <c r="H10" s="1" t="s">
        <v>997</v>
      </c>
      <c r="P10" t="s">
        <v>1156</v>
      </c>
    </row>
    <row r="11" spans="1:16" x14ac:dyDescent="0.25">
      <c r="A11" s="91" t="s">
        <v>998</v>
      </c>
      <c r="F11" t="s">
        <v>999</v>
      </c>
      <c r="H11" s="1" t="s">
        <v>1000</v>
      </c>
      <c r="P11" t="s">
        <v>1157</v>
      </c>
    </row>
    <row r="12" spans="1:16" x14ac:dyDescent="0.25">
      <c r="A12" s="91" t="s">
        <v>1001</v>
      </c>
      <c r="F12" t="s">
        <v>1002</v>
      </c>
      <c r="H12" s="1" t="s">
        <v>1003</v>
      </c>
      <c r="P12" t="s">
        <v>1158</v>
      </c>
    </row>
    <row r="13" spans="1:16" x14ac:dyDescent="0.25">
      <c r="A13" s="91" t="s">
        <v>1004</v>
      </c>
      <c r="F13" t="s">
        <v>1005</v>
      </c>
      <c r="H13" s="1" t="s">
        <v>1006</v>
      </c>
      <c r="P13" t="s">
        <v>1159</v>
      </c>
    </row>
    <row r="14" spans="1:16" x14ac:dyDescent="0.25">
      <c r="A14" s="91" t="s">
        <v>1007</v>
      </c>
      <c r="F14" t="s">
        <v>1008</v>
      </c>
      <c r="H14" s="1" t="s">
        <v>1009</v>
      </c>
      <c r="P14" t="s">
        <v>1160</v>
      </c>
    </row>
    <row r="15" spans="1:16" x14ac:dyDescent="0.25">
      <c r="H15" s="1" t="s">
        <v>1010</v>
      </c>
      <c r="P15" t="s">
        <v>1161</v>
      </c>
    </row>
    <row r="17" spans="1:16" x14ac:dyDescent="0.25">
      <c r="A17" t="s">
        <v>1011</v>
      </c>
      <c r="P17" t="s">
        <v>1162</v>
      </c>
    </row>
    <row r="18" spans="1:16" x14ac:dyDescent="0.25">
      <c r="A18" t="s">
        <v>1012</v>
      </c>
    </row>
    <row r="19" spans="1:16" x14ac:dyDescent="0.25">
      <c r="A19" t="s">
        <v>1013</v>
      </c>
    </row>
    <row r="20" spans="1:16" x14ac:dyDescent="0.25">
      <c r="A20" t="s">
        <v>1014</v>
      </c>
    </row>
    <row r="21" spans="1:16" x14ac:dyDescent="0.25">
      <c r="A21" t="s">
        <v>1015</v>
      </c>
      <c r="P21" t="s">
        <v>1163</v>
      </c>
    </row>
    <row r="22" spans="1:16" x14ac:dyDescent="0.25">
      <c r="A22" t="s">
        <v>1016</v>
      </c>
    </row>
    <row r="23" spans="1:16" x14ac:dyDescent="0.25">
      <c r="A23" t="s">
        <v>1017</v>
      </c>
      <c r="P23" s="38" t="s">
        <v>1164</v>
      </c>
    </row>
    <row r="25" spans="1:16" x14ac:dyDescent="0.25">
      <c r="A25" t="s">
        <v>1018</v>
      </c>
      <c r="P25" t="s">
        <v>1165</v>
      </c>
    </row>
    <row r="26" spans="1:16" x14ac:dyDescent="0.25">
      <c r="A26" t="s">
        <v>1019</v>
      </c>
      <c r="P26" t="s">
        <v>1166</v>
      </c>
    </row>
    <row r="27" spans="1:16" x14ac:dyDescent="0.25">
      <c r="P27" t="s">
        <v>1167</v>
      </c>
    </row>
    <row r="28" spans="1:16" x14ac:dyDescent="0.25">
      <c r="A28" t="s">
        <v>1020</v>
      </c>
      <c r="P28" t="s">
        <v>1168</v>
      </c>
    </row>
    <row r="29" spans="1:16" x14ac:dyDescent="0.25">
      <c r="A29" t="s">
        <v>1021</v>
      </c>
    </row>
    <row r="30" spans="1:16" x14ac:dyDescent="0.25">
      <c r="A30" t="s">
        <v>1022</v>
      </c>
      <c r="P30" t="s">
        <v>1169</v>
      </c>
    </row>
    <row r="32" spans="1:16" x14ac:dyDescent="0.25">
      <c r="P32" t="s">
        <v>1170</v>
      </c>
    </row>
  </sheetData>
  <hyperlinks>
    <hyperlink ref="A1" r:id="rId1" tooltip="‭(11886114.198)‬" display="http://www77.hattrick.org/Forum/Read.aspx?t=11886114&amp;n=198&amp;v=0&amp;mr=0" xr:uid="{CDE24669-D27C-4892-AF56-DD11B2AD083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0393-7FF4-43E7-AB58-5A53CE0FF4EE}">
  <sheetPr>
    <tabColor rgb="FFFFC000"/>
  </sheetPr>
  <dimension ref="A1:A100"/>
  <sheetViews>
    <sheetView workbookViewId="0">
      <selection activeCell="A13" sqref="A13"/>
    </sheetView>
  </sheetViews>
  <sheetFormatPr baseColWidth="10" defaultRowHeight="15" x14ac:dyDescent="0.25"/>
  <cols>
    <col min="1" max="1" width="154.5703125" style="215" customWidth="1"/>
  </cols>
  <sheetData>
    <row r="1" spans="1:1" x14ac:dyDescent="0.25">
      <c r="A1" s="214" t="s">
        <v>1023</v>
      </c>
    </row>
    <row r="2" spans="1:1" ht="45" x14ac:dyDescent="0.25">
      <c r="A2" s="215" t="s">
        <v>1024</v>
      </c>
    </row>
    <row r="3" spans="1:1" x14ac:dyDescent="0.25">
      <c r="A3" s="215" t="s">
        <v>1025</v>
      </c>
    </row>
    <row r="5" spans="1:1" x14ac:dyDescent="0.25">
      <c r="A5" s="214" t="s">
        <v>1026</v>
      </c>
    </row>
    <row r="6" spans="1:1" ht="45" x14ac:dyDescent="0.25">
      <c r="A6" s="215" t="s">
        <v>1027</v>
      </c>
    </row>
    <row r="7" spans="1:1" ht="30" x14ac:dyDescent="0.25">
      <c r="A7" s="215" t="s">
        <v>1028</v>
      </c>
    </row>
    <row r="9" spans="1:1" x14ac:dyDescent="0.25">
      <c r="A9" s="214" t="s">
        <v>1029</v>
      </c>
    </row>
    <row r="10" spans="1:1" ht="45" x14ac:dyDescent="0.25">
      <c r="A10" s="215" t="s">
        <v>1030</v>
      </c>
    </row>
    <row r="12" spans="1:1" x14ac:dyDescent="0.25">
      <c r="A12" s="215" t="s">
        <v>1031</v>
      </c>
    </row>
    <row r="13" spans="1:1" ht="30" x14ac:dyDescent="0.25">
      <c r="A13" s="215" t="s">
        <v>1032</v>
      </c>
    </row>
    <row r="15" spans="1:1" x14ac:dyDescent="0.25">
      <c r="A15" s="215" t="s">
        <v>1033</v>
      </c>
    </row>
    <row r="16" spans="1:1" ht="45" x14ac:dyDescent="0.25">
      <c r="A16" s="215" t="s">
        <v>1034</v>
      </c>
    </row>
    <row r="19" spans="1:1" x14ac:dyDescent="0.25">
      <c r="A19" s="214" t="s">
        <v>1035</v>
      </c>
    </row>
    <row r="20" spans="1:1" ht="60" x14ac:dyDescent="0.25">
      <c r="A20" s="215" t="s">
        <v>1036</v>
      </c>
    </row>
    <row r="22" spans="1:1" x14ac:dyDescent="0.25">
      <c r="A22" s="216" t="s">
        <v>1037</v>
      </c>
    </row>
    <row r="24" spans="1:1" x14ac:dyDescent="0.25">
      <c r="A24" s="214" t="s">
        <v>1038</v>
      </c>
    </row>
    <row r="25" spans="1:1" x14ac:dyDescent="0.25">
      <c r="A25" s="215" t="s">
        <v>1039</v>
      </c>
    </row>
    <row r="27" spans="1:1" x14ac:dyDescent="0.25">
      <c r="A27" s="215" t="s">
        <v>1040</v>
      </c>
    </row>
    <row r="28" spans="1:1" x14ac:dyDescent="0.25">
      <c r="A28" s="215" t="s">
        <v>1041</v>
      </c>
    </row>
    <row r="30" spans="1:1" ht="45" x14ac:dyDescent="0.25">
      <c r="A30" s="215" t="s">
        <v>1042</v>
      </c>
    </row>
    <row r="32" spans="1:1" ht="45" x14ac:dyDescent="0.25">
      <c r="A32" s="215" t="s">
        <v>1043</v>
      </c>
    </row>
    <row r="34" spans="1:1" ht="45" x14ac:dyDescent="0.25">
      <c r="A34" s="215" t="s">
        <v>1044</v>
      </c>
    </row>
    <row r="36" spans="1:1" x14ac:dyDescent="0.25">
      <c r="A36" s="215" t="s">
        <v>1045</v>
      </c>
    </row>
    <row r="37" spans="1:1" ht="90" x14ac:dyDescent="0.25">
      <c r="A37" s="215" t="s">
        <v>1046</v>
      </c>
    </row>
    <row r="38" spans="1:1" ht="30" x14ac:dyDescent="0.25">
      <c r="A38" s="215" t="s">
        <v>1047</v>
      </c>
    </row>
    <row r="40" spans="1:1" ht="45" x14ac:dyDescent="0.25">
      <c r="A40" s="215" t="s">
        <v>1048</v>
      </c>
    </row>
    <row r="42" spans="1:1" x14ac:dyDescent="0.25">
      <c r="A42" s="215" t="s">
        <v>1049</v>
      </c>
    </row>
    <row r="43" spans="1:1" ht="30" x14ac:dyDescent="0.25">
      <c r="A43" s="215" t="s">
        <v>1050</v>
      </c>
    </row>
    <row r="44" spans="1:1" ht="75" x14ac:dyDescent="0.25">
      <c r="A44" s="215" t="s">
        <v>1051</v>
      </c>
    </row>
    <row r="46" spans="1:1" ht="45" x14ac:dyDescent="0.25">
      <c r="A46" s="215" t="s">
        <v>1052</v>
      </c>
    </row>
    <row r="48" spans="1:1" ht="30" x14ac:dyDescent="0.25">
      <c r="A48" s="215" t="s">
        <v>1053</v>
      </c>
    </row>
    <row r="49" spans="1:1" ht="60" x14ac:dyDescent="0.25">
      <c r="A49" s="215" t="s">
        <v>1054</v>
      </c>
    </row>
    <row r="50" spans="1:1" ht="60" x14ac:dyDescent="0.25">
      <c r="A50" s="215" t="s">
        <v>1055</v>
      </c>
    </row>
    <row r="52" spans="1:1" x14ac:dyDescent="0.25">
      <c r="A52" s="215" t="s">
        <v>1056</v>
      </c>
    </row>
    <row r="53" spans="1:1" ht="30" x14ac:dyDescent="0.25">
      <c r="A53" s="215" t="s">
        <v>1057</v>
      </c>
    </row>
    <row r="54" spans="1:1" ht="60" x14ac:dyDescent="0.25">
      <c r="A54" s="215" t="s">
        <v>1058</v>
      </c>
    </row>
    <row r="56" spans="1:1" x14ac:dyDescent="0.25">
      <c r="A56" s="216" t="s">
        <v>1059</v>
      </c>
    </row>
    <row r="58" spans="1:1" x14ac:dyDescent="0.25">
      <c r="A58" s="214" t="s">
        <v>1060</v>
      </c>
    </row>
    <row r="59" spans="1:1" ht="30" x14ac:dyDescent="0.25">
      <c r="A59" s="215" t="s">
        <v>1061</v>
      </c>
    </row>
    <row r="61" spans="1:1" x14ac:dyDescent="0.25">
      <c r="A61" s="215" t="s">
        <v>1062</v>
      </c>
    </row>
    <row r="62" spans="1:1" ht="75" x14ac:dyDescent="0.25">
      <c r="A62" s="215" t="s">
        <v>1063</v>
      </c>
    </row>
    <row r="63" spans="1:1" x14ac:dyDescent="0.25">
      <c r="A63" s="215" t="s">
        <v>1064</v>
      </c>
    </row>
    <row r="65" spans="1:1" x14ac:dyDescent="0.25">
      <c r="A65" s="215" t="s">
        <v>1065</v>
      </c>
    </row>
    <row r="66" spans="1:1" ht="75" x14ac:dyDescent="0.25">
      <c r="A66" s="215" t="s">
        <v>1066</v>
      </c>
    </row>
    <row r="67" spans="1:1" ht="30" x14ac:dyDescent="0.25">
      <c r="A67" s="215" t="s">
        <v>1067</v>
      </c>
    </row>
    <row r="69" spans="1:1" x14ac:dyDescent="0.25">
      <c r="A69" s="216" t="s">
        <v>1068</v>
      </c>
    </row>
    <row r="72" spans="1:1" ht="45" x14ac:dyDescent="0.25">
      <c r="A72" s="215" t="s">
        <v>1069</v>
      </c>
    </row>
    <row r="74" spans="1:1" x14ac:dyDescent="0.25">
      <c r="A74" s="214" t="s">
        <v>1070</v>
      </c>
    </row>
    <row r="75" spans="1:1" x14ac:dyDescent="0.25">
      <c r="A75" s="216" t="s">
        <v>1071</v>
      </c>
    </row>
    <row r="76" spans="1:1" x14ac:dyDescent="0.25">
      <c r="A76" s="216" t="s">
        <v>1072</v>
      </c>
    </row>
    <row r="77" spans="1:1" x14ac:dyDescent="0.25">
      <c r="A77" s="216" t="s">
        <v>1073</v>
      </c>
    </row>
    <row r="78" spans="1:1" x14ac:dyDescent="0.25">
      <c r="A78" s="216" t="s">
        <v>1074</v>
      </c>
    </row>
    <row r="79" spans="1:1" x14ac:dyDescent="0.25">
      <c r="A79" s="216" t="s">
        <v>1075</v>
      </c>
    </row>
    <row r="80" spans="1:1" x14ac:dyDescent="0.25">
      <c r="A80" s="216" t="s">
        <v>1076</v>
      </c>
    </row>
    <row r="85" spans="1:1" x14ac:dyDescent="0.25">
      <c r="A85" s="217" t="s">
        <v>1077</v>
      </c>
    </row>
    <row r="86" spans="1:1" x14ac:dyDescent="0.25">
      <c r="A86" s="217"/>
    </row>
    <row r="87" spans="1:1" x14ac:dyDescent="0.25">
      <c r="A87" s="217" t="s">
        <v>1065</v>
      </c>
    </row>
    <row r="88" spans="1:1" ht="75" x14ac:dyDescent="0.25">
      <c r="A88" s="217" t="s">
        <v>1066</v>
      </c>
    </row>
    <row r="89" spans="1:1" ht="30" x14ac:dyDescent="0.25">
      <c r="A89" s="217" t="s">
        <v>1067</v>
      </c>
    </row>
    <row r="94" spans="1:1" ht="45" x14ac:dyDescent="0.25">
      <c r="A94" s="215" t="s">
        <v>1078</v>
      </c>
    </row>
    <row r="96" spans="1:1" ht="45" x14ac:dyDescent="0.25">
      <c r="A96" s="215" t="s">
        <v>1079</v>
      </c>
    </row>
    <row r="98" spans="1:1" ht="60" x14ac:dyDescent="0.25">
      <c r="A98" s="215" t="s">
        <v>1080</v>
      </c>
    </row>
    <row r="100" spans="1:1" ht="30" x14ac:dyDescent="0.25">
      <c r="A100" s="215" t="s">
        <v>1081</v>
      </c>
    </row>
  </sheetData>
  <hyperlinks>
    <hyperlink ref="A22" r:id="rId1" tooltip="‭(14286771.15)‬" display="http://www78.hattrick.org/Forum/Read.aspx?t=14286771&amp;n=15&amp;v=0&amp;mr=0" xr:uid="{0DD0D39D-5FA2-47D7-B18B-126D8D065796}"/>
    <hyperlink ref="A56" r:id="rId2" tooltip="‭(14286771.17)‬" display="http://www78.hattrick.org/Forum/Read.aspx?t=14286771&amp;n=17&amp;v=0&amp;mr=0" xr:uid="{F3627AB1-05F4-433C-B5AD-5C8C4B8CCF92}"/>
    <hyperlink ref="A69" r:id="rId3" tooltip="‭(14286771.20)‬" display="http://www78.hattrick.org/Forum/Read.aspx?t=14286771&amp;n=20&amp;v=0&amp;mr=0" xr:uid="{D4D4380A-687B-49DD-8018-CDEC243DEEDF}"/>
    <hyperlink ref="A75" r:id="rId4" tooltip="‭(14286771.15)‬" display="http://www78.hattrick.org/Forum/Read.aspx?t=14286771&amp;n=15&amp;v=0&amp;mr=0" xr:uid="{1604C3A1-9A24-4427-B71F-6C0168DFB5A2}"/>
    <hyperlink ref="A76" r:id="rId5" tooltip="‭(14286771.16)‬" display="http://www78.hattrick.org/Forum/Read.aspx?t=14286771&amp;n=16&amp;v=0&amp;mr=0" xr:uid="{98E647F1-A4F1-4465-8587-A6E13AF5B046}"/>
    <hyperlink ref="A77" r:id="rId6" tooltip="‭(14286771.19)‬" display="http://www78.hattrick.org/Forum/Read.aspx?t=14286771&amp;n=19&amp;v=0&amp;mr=0" xr:uid="{641DC0CC-78DA-42D6-BF6F-BD73C88884F8}"/>
    <hyperlink ref="A78" r:id="rId7" tooltip="‭(14286771.21)‬" display="http://www78.hattrick.org/Forum/Read.aspx?t=14286771&amp;n=21&amp;v=0&amp;mr=0" xr:uid="{0ECF1809-84FF-48D9-BACB-4C4154DE9E4E}"/>
    <hyperlink ref="A79" r:id="rId8" tooltip="‭(14286771.22)‬" display="http://www78.hattrick.org/Forum/Read.aspx?t=14286771&amp;n=22&amp;v=0&amp;mr=0" xr:uid="{8FBCC9B4-0F59-4134-BAF8-BEE96452F9F4}"/>
    <hyperlink ref="A80" r:id="rId9" tooltip="‭(14286771.23)‬" display="http://www78.hattrick.org/Forum/Read.aspx?t=14286771&amp;n=23&amp;v=0&amp;mr=0" xr:uid="{7AA7E5E2-F539-4C3C-9EBA-433AC1A2B9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666A-CC85-487E-B640-64B24C5D3E6B}">
  <sheetPr>
    <tabColor rgb="FF0070C0"/>
    <pageSetUpPr fitToPage="1"/>
  </sheetPr>
  <dimension ref="A1:W37"/>
  <sheetViews>
    <sheetView workbookViewId="0">
      <selection activeCell="F7" sqref="F7"/>
    </sheetView>
  </sheetViews>
  <sheetFormatPr baseColWidth="10" defaultRowHeight="15" x14ac:dyDescent="0.25"/>
  <cols>
    <col min="1" max="1" width="22.42578125" bestFit="1" customWidth="1"/>
    <col min="2" max="2" width="5.85546875" bestFit="1" customWidth="1"/>
    <col min="3" max="3" width="5.28515625" bestFit="1" customWidth="1"/>
    <col min="4" max="4" width="4.85546875" bestFit="1" customWidth="1"/>
    <col min="5" max="5" width="5" bestFit="1" customWidth="1"/>
    <col min="7" max="7" width="22.42578125" bestFit="1" customWidth="1"/>
    <col min="8" max="8" width="5.85546875" bestFit="1" customWidth="1"/>
    <col min="9" max="9" width="5.28515625" bestFit="1" customWidth="1"/>
    <col min="10" max="10" width="4.85546875" bestFit="1" customWidth="1"/>
    <col min="11" max="11" width="4.42578125" bestFit="1"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9" max="19" width="22.42578125" bestFit="1" customWidth="1"/>
    <col min="20" max="20" width="9.42578125" bestFit="1" customWidth="1"/>
    <col min="21" max="21" width="5.28515625" bestFit="1" customWidth="1"/>
    <col min="22" max="22" width="4.85546875" bestFit="1" customWidth="1"/>
    <col min="23" max="23" width="5" bestFit="1" customWidth="1"/>
  </cols>
  <sheetData>
    <row r="1" spans="1:23" x14ac:dyDescent="0.25">
      <c r="A1" s="229" t="s">
        <v>44</v>
      </c>
      <c r="B1" s="229" t="s">
        <v>45</v>
      </c>
      <c r="C1" s="229" t="s">
        <v>46</v>
      </c>
      <c r="D1" s="229" t="s">
        <v>47</v>
      </c>
      <c r="E1" s="229" t="s">
        <v>48</v>
      </c>
      <c r="F1" s="38"/>
      <c r="G1" s="229" t="s">
        <v>49</v>
      </c>
      <c r="H1" s="229" t="s">
        <v>45</v>
      </c>
      <c r="I1" s="229" t="s">
        <v>46</v>
      </c>
      <c r="J1" s="229" t="s">
        <v>47</v>
      </c>
      <c r="K1" s="229" t="s">
        <v>48</v>
      </c>
      <c r="L1" s="38"/>
      <c r="M1" s="229" t="s">
        <v>50</v>
      </c>
      <c r="N1" s="229" t="s">
        <v>45</v>
      </c>
      <c r="O1" s="229" t="s">
        <v>46</v>
      </c>
      <c r="P1" s="229" t="s">
        <v>47</v>
      </c>
      <c r="Q1" s="229" t="s">
        <v>48</v>
      </c>
      <c r="R1" s="38"/>
      <c r="S1" s="229" t="s">
        <v>51</v>
      </c>
      <c r="T1" s="229" t="s">
        <v>45</v>
      </c>
      <c r="U1" s="229" t="s">
        <v>46</v>
      </c>
      <c r="V1" s="229" t="s">
        <v>47</v>
      </c>
      <c r="W1" s="229" t="s">
        <v>48</v>
      </c>
    </row>
    <row r="2" spans="1:23" x14ac:dyDescent="0.25">
      <c r="A2" t="s">
        <v>52</v>
      </c>
      <c r="B2">
        <v>2</v>
      </c>
      <c r="C2">
        <v>3</v>
      </c>
      <c r="D2">
        <v>1.5</v>
      </c>
      <c r="E2">
        <f>D2</f>
        <v>1.5</v>
      </c>
      <c r="G2" t="s">
        <v>52</v>
      </c>
      <c r="H2">
        <v>2</v>
      </c>
      <c r="I2">
        <v>3</v>
      </c>
      <c r="J2">
        <v>3</v>
      </c>
      <c r="K2">
        <f>J2</f>
        <v>3</v>
      </c>
      <c r="M2" t="s">
        <v>52</v>
      </c>
      <c r="N2">
        <v>2</v>
      </c>
      <c r="O2">
        <v>3</v>
      </c>
      <c r="P2">
        <v>3</v>
      </c>
      <c r="Q2">
        <f>P2</f>
        <v>3</v>
      </c>
      <c r="S2" t="s">
        <v>52</v>
      </c>
      <c r="T2">
        <v>2</v>
      </c>
      <c r="U2">
        <v>3</v>
      </c>
      <c r="V2">
        <v>1.5</v>
      </c>
      <c r="W2">
        <f>V2</f>
        <v>1.5</v>
      </c>
    </row>
    <row r="3" spans="1:23" x14ac:dyDescent="0.25">
      <c r="A3" t="s">
        <v>53</v>
      </c>
      <c r="B3">
        <v>3</v>
      </c>
      <c r="C3">
        <v>4</v>
      </c>
      <c r="D3">
        <v>2</v>
      </c>
      <c r="E3">
        <f>E2+D3</f>
        <v>3.5</v>
      </c>
      <c r="G3" t="s">
        <v>53</v>
      </c>
      <c r="H3">
        <v>3</v>
      </c>
      <c r="I3">
        <v>4</v>
      </c>
      <c r="J3">
        <v>3</v>
      </c>
      <c r="K3">
        <f>K2+J3</f>
        <v>6</v>
      </c>
      <c r="M3" t="s">
        <v>53</v>
      </c>
      <c r="N3">
        <v>3</v>
      </c>
      <c r="O3">
        <v>4</v>
      </c>
      <c r="P3">
        <v>3</v>
      </c>
      <c r="Q3">
        <f>Q2+P3</f>
        <v>6</v>
      </c>
      <c r="S3" t="s">
        <v>53</v>
      </c>
      <c r="T3">
        <v>3</v>
      </c>
      <c r="U3">
        <v>4</v>
      </c>
      <c r="V3">
        <v>2</v>
      </c>
      <c r="W3">
        <f>W2+V3</f>
        <v>3.5</v>
      </c>
    </row>
    <row r="4" spans="1:23" x14ac:dyDescent="0.25">
      <c r="A4" t="s">
        <v>54</v>
      </c>
      <c r="B4">
        <v>4</v>
      </c>
      <c r="C4">
        <v>5</v>
      </c>
      <c r="D4">
        <v>2</v>
      </c>
      <c r="E4">
        <f t="shared" ref="E4:E18" si="0">E3+D4</f>
        <v>5.5</v>
      </c>
      <c r="G4" t="s">
        <v>54</v>
      </c>
      <c r="H4">
        <v>4</v>
      </c>
      <c r="I4">
        <v>5</v>
      </c>
      <c r="J4">
        <v>4</v>
      </c>
      <c r="K4">
        <f>K3+J4</f>
        <v>10</v>
      </c>
      <c r="M4" t="s">
        <v>54</v>
      </c>
      <c r="N4">
        <v>4</v>
      </c>
      <c r="O4">
        <v>5</v>
      </c>
      <c r="P4">
        <v>3</v>
      </c>
      <c r="Q4">
        <f t="shared" ref="Q4:Q18" si="1">Q3+P4</f>
        <v>9</v>
      </c>
      <c r="S4" t="s">
        <v>54</v>
      </c>
      <c r="T4">
        <v>4</v>
      </c>
      <c r="U4">
        <v>5</v>
      </c>
      <c r="V4">
        <v>2</v>
      </c>
      <c r="W4">
        <f t="shared" ref="W4:W18" si="2">W3+V4</f>
        <v>5.5</v>
      </c>
    </row>
    <row r="5" spans="1:23" x14ac:dyDescent="0.25">
      <c r="A5" t="s">
        <v>55</v>
      </c>
      <c r="B5">
        <v>5</v>
      </c>
      <c r="C5">
        <v>6</v>
      </c>
      <c r="D5">
        <v>2</v>
      </c>
      <c r="E5">
        <f t="shared" si="0"/>
        <v>7.5</v>
      </c>
      <c r="G5" t="s">
        <v>55</v>
      </c>
      <c r="H5">
        <v>5</v>
      </c>
      <c r="I5">
        <v>6</v>
      </c>
      <c r="J5">
        <v>4</v>
      </c>
      <c r="K5">
        <f t="shared" ref="K5:K17" si="3">K4+J5</f>
        <v>14</v>
      </c>
      <c r="M5" t="s">
        <v>55</v>
      </c>
      <c r="N5">
        <v>5</v>
      </c>
      <c r="O5">
        <v>6</v>
      </c>
      <c r="P5">
        <v>3</v>
      </c>
      <c r="Q5">
        <f t="shared" si="1"/>
        <v>12</v>
      </c>
      <c r="S5" t="s">
        <v>55</v>
      </c>
      <c r="T5">
        <v>5</v>
      </c>
      <c r="U5">
        <v>6</v>
      </c>
      <c r="V5">
        <v>3</v>
      </c>
      <c r="W5">
        <f t="shared" si="2"/>
        <v>8.5</v>
      </c>
    </row>
    <row r="6" spans="1:23" x14ac:dyDescent="0.25">
      <c r="A6" t="s">
        <v>56</v>
      </c>
      <c r="B6">
        <v>6</v>
      </c>
      <c r="C6">
        <v>7</v>
      </c>
      <c r="D6">
        <v>3</v>
      </c>
      <c r="E6">
        <f t="shared" si="0"/>
        <v>10.5</v>
      </c>
      <c r="G6" t="s">
        <v>56</v>
      </c>
      <c r="H6">
        <v>6</v>
      </c>
      <c r="I6">
        <v>7</v>
      </c>
      <c r="J6">
        <v>4</v>
      </c>
      <c r="K6">
        <f t="shared" si="3"/>
        <v>18</v>
      </c>
      <c r="M6" t="s">
        <v>56</v>
      </c>
      <c r="N6">
        <v>6</v>
      </c>
      <c r="O6">
        <v>7</v>
      </c>
      <c r="P6">
        <v>4</v>
      </c>
      <c r="Q6">
        <f t="shared" si="1"/>
        <v>16</v>
      </c>
      <c r="S6" t="s">
        <v>56</v>
      </c>
      <c r="T6">
        <v>6</v>
      </c>
      <c r="U6">
        <v>7</v>
      </c>
      <c r="V6">
        <v>2</v>
      </c>
      <c r="W6">
        <f t="shared" si="2"/>
        <v>10.5</v>
      </c>
    </row>
    <row r="7" spans="1:23" x14ac:dyDescent="0.25">
      <c r="A7" t="s">
        <v>57</v>
      </c>
      <c r="B7">
        <v>7</v>
      </c>
      <c r="C7">
        <v>8</v>
      </c>
      <c r="D7">
        <v>3</v>
      </c>
      <c r="E7">
        <f t="shared" si="0"/>
        <v>13.5</v>
      </c>
      <c r="G7" t="s">
        <v>57</v>
      </c>
      <c r="H7">
        <v>7</v>
      </c>
      <c r="I7">
        <v>8</v>
      </c>
      <c r="J7">
        <v>6</v>
      </c>
      <c r="K7">
        <f t="shared" si="3"/>
        <v>24</v>
      </c>
      <c r="M7" t="s">
        <v>57</v>
      </c>
      <c r="N7">
        <v>7</v>
      </c>
      <c r="O7">
        <v>8</v>
      </c>
      <c r="P7">
        <v>5</v>
      </c>
      <c r="Q7">
        <f t="shared" si="1"/>
        <v>21</v>
      </c>
      <c r="S7" t="s">
        <v>57</v>
      </c>
      <c r="T7">
        <v>7</v>
      </c>
      <c r="U7">
        <v>8</v>
      </c>
      <c r="V7">
        <v>4</v>
      </c>
      <c r="W7">
        <f t="shared" si="2"/>
        <v>14.5</v>
      </c>
    </row>
    <row r="8" spans="1:23" x14ac:dyDescent="0.25">
      <c r="A8" t="s">
        <v>58</v>
      </c>
      <c r="B8">
        <v>8</v>
      </c>
      <c r="C8">
        <v>9</v>
      </c>
      <c r="D8">
        <v>3</v>
      </c>
      <c r="E8">
        <f t="shared" si="0"/>
        <v>16.5</v>
      </c>
      <c r="G8" t="s">
        <v>58</v>
      </c>
      <c r="H8">
        <v>8</v>
      </c>
      <c r="I8">
        <v>9</v>
      </c>
      <c r="J8">
        <v>6</v>
      </c>
      <c r="K8">
        <f t="shared" si="3"/>
        <v>30</v>
      </c>
      <c r="M8" t="s">
        <v>58</v>
      </c>
      <c r="N8">
        <v>8</v>
      </c>
      <c r="O8">
        <v>9</v>
      </c>
      <c r="P8">
        <v>5</v>
      </c>
      <c r="Q8">
        <f t="shared" si="1"/>
        <v>26</v>
      </c>
      <c r="S8" t="s">
        <v>58</v>
      </c>
      <c r="T8">
        <v>8</v>
      </c>
      <c r="U8">
        <v>9</v>
      </c>
      <c r="V8">
        <v>3</v>
      </c>
      <c r="W8">
        <f t="shared" si="2"/>
        <v>17.5</v>
      </c>
    </row>
    <row r="9" spans="1:23" x14ac:dyDescent="0.25">
      <c r="A9" t="s">
        <v>59</v>
      </c>
      <c r="B9">
        <v>9</v>
      </c>
      <c r="C9">
        <v>10</v>
      </c>
      <c r="D9">
        <v>4</v>
      </c>
      <c r="E9">
        <f t="shared" si="0"/>
        <v>20.5</v>
      </c>
      <c r="G9" t="s">
        <v>59</v>
      </c>
      <c r="H9">
        <v>9</v>
      </c>
      <c r="I9">
        <v>10</v>
      </c>
      <c r="J9">
        <v>7</v>
      </c>
      <c r="K9">
        <f t="shared" si="3"/>
        <v>37</v>
      </c>
      <c r="M9" t="s">
        <v>59</v>
      </c>
      <c r="N9">
        <v>9</v>
      </c>
      <c r="O9">
        <v>10</v>
      </c>
      <c r="P9">
        <v>7</v>
      </c>
      <c r="Q9">
        <f t="shared" si="1"/>
        <v>33</v>
      </c>
      <c r="S9" t="s">
        <v>59</v>
      </c>
      <c r="T9">
        <v>9</v>
      </c>
      <c r="U9">
        <v>10</v>
      </c>
      <c r="V9">
        <v>5</v>
      </c>
      <c r="W9">
        <f t="shared" si="2"/>
        <v>22.5</v>
      </c>
    </row>
    <row r="10" spans="1:23" x14ac:dyDescent="0.25">
      <c r="A10" t="s">
        <v>60</v>
      </c>
      <c r="B10">
        <v>10</v>
      </c>
      <c r="C10">
        <v>11</v>
      </c>
      <c r="D10">
        <v>5</v>
      </c>
      <c r="E10">
        <f t="shared" si="0"/>
        <v>25.5</v>
      </c>
      <c r="G10" t="s">
        <v>60</v>
      </c>
      <c r="H10">
        <v>10</v>
      </c>
      <c r="I10">
        <v>11</v>
      </c>
      <c r="J10">
        <v>9</v>
      </c>
      <c r="K10">
        <f t="shared" si="3"/>
        <v>46</v>
      </c>
      <c r="M10" t="s">
        <v>60</v>
      </c>
      <c r="N10">
        <v>10</v>
      </c>
      <c r="O10">
        <v>11</v>
      </c>
      <c r="P10">
        <v>7</v>
      </c>
      <c r="Q10">
        <f t="shared" si="1"/>
        <v>40</v>
      </c>
      <c r="S10" t="s">
        <v>60</v>
      </c>
      <c r="T10">
        <v>10</v>
      </c>
      <c r="U10">
        <v>11</v>
      </c>
      <c r="V10">
        <v>5</v>
      </c>
      <c r="W10">
        <f t="shared" si="2"/>
        <v>27.5</v>
      </c>
    </row>
    <row r="11" spans="1:23" x14ac:dyDescent="0.25">
      <c r="A11" t="s">
        <v>61</v>
      </c>
      <c r="B11">
        <v>11</v>
      </c>
      <c r="C11">
        <v>12</v>
      </c>
      <c r="D11">
        <v>5</v>
      </c>
      <c r="E11">
        <f t="shared" si="0"/>
        <v>30.5</v>
      </c>
      <c r="G11" t="s">
        <v>61</v>
      </c>
      <c r="H11">
        <v>11</v>
      </c>
      <c r="I11">
        <v>12</v>
      </c>
      <c r="J11">
        <v>10</v>
      </c>
      <c r="K11">
        <f t="shared" si="3"/>
        <v>56</v>
      </c>
      <c r="M11" t="s">
        <v>61</v>
      </c>
      <c r="N11">
        <v>11</v>
      </c>
      <c r="O11">
        <v>12</v>
      </c>
      <c r="P11">
        <v>8</v>
      </c>
      <c r="Q11">
        <f t="shared" si="1"/>
        <v>48</v>
      </c>
      <c r="S11" t="s">
        <v>61</v>
      </c>
      <c r="T11">
        <v>11</v>
      </c>
      <c r="U11">
        <v>12</v>
      </c>
      <c r="V11">
        <v>5</v>
      </c>
      <c r="W11">
        <f t="shared" si="2"/>
        <v>32.5</v>
      </c>
    </row>
    <row r="12" spans="1:23" x14ac:dyDescent="0.25">
      <c r="A12" t="s">
        <v>62</v>
      </c>
      <c r="B12">
        <v>12</v>
      </c>
      <c r="C12">
        <v>13</v>
      </c>
      <c r="D12">
        <v>6</v>
      </c>
      <c r="E12">
        <f t="shared" si="0"/>
        <v>36.5</v>
      </c>
      <c r="G12" t="s">
        <v>62</v>
      </c>
      <c r="H12">
        <v>12</v>
      </c>
      <c r="I12">
        <v>13</v>
      </c>
      <c r="J12">
        <v>11</v>
      </c>
      <c r="K12">
        <f t="shared" si="3"/>
        <v>67</v>
      </c>
      <c r="M12" t="s">
        <v>62</v>
      </c>
      <c r="N12">
        <v>12</v>
      </c>
      <c r="O12">
        <v>13</v>
      </c>
      <c r="P12">
        <v>10</v>
      </c>
      <c r="Q12">
        <f t="shared" si="1"/>
        <v>58</v>
      </c>
      <c r="S12" t="s">
        <v>62</v>
      </c>
      <c r="T12">
        <v>12</v>
      </c>
      <c r="U12">
        <v>13</v>
      </c>
      <c r="V12">
        <v>7</v>
      </c>
      <c r="W12">
        <f t="shared" si="2"/>
        <v>39.5</v>
      </c>
    </row>
    <row r="13" spans="1:23" x14ac:dyDescent="0.25">
      <c r="A13" t="s">
        <v>63</v>
      </c>
      <c r="B13">
        <v>13</v>
      </c>
      <c r="C13">
        <v>14</v>
      </c>
      <c r="D13">
        <v>7</v>
      </c>
      <c r="E13">
        <f t="shared" si="0"/>
        <v>43.5</v>
      </c>
      <c r="G13" t="s">
        <v>63</v>
      </c>
      <c r="H13">
        <v>13</v>
      </c>
      <c r="I13">
        <v>14</v>
      </c>
      <c r="J13">
        <v>12</v>
      </c>
      <c r="K13">
        <f t="shared" si="3"/>
        <v>79</v>
      </c>
      <c r="M13" t="s">
        <v>63</v>
      </c>
      <c r="N13">
        <v>13</v>
      </c>
      <c r="O13">
        <v>14</v>
      </c>
      <c r="P13">
        <v>10</v>
      </c>
      <c r="Q13">
        <f t="shared" si="1"/>
        <v>68</v>
      </c>
      <c r="S13" t="s">
        <v>63</v>
      </c>
      <c r="T13">
        <v>13</v>
      </c>
      <c r="U13">
        <v>14</v>
      </c>
      <c r="V13">
        <v>7</v>
      </c>
      <c r="W13">
        <f t="shared" si="2"/>
        <v>46.5</v>
      </c>
    </row>
    <row r="14" spans="1:23" x14ac:dyDescent="0.25">
      <c r="A14" t="s">
        <v>64</v>
      </c>
      <c r="B14">
        <v>14</v>
      </c>
      <c r="C14">
        <v>15</v>
      </c>
      <c r="D14">
        <v>8</v>
      </c>
      <c r="E14">
        <f t="shared" si="0"/>
        <v>51.5</v>
      </c>
      <c r="G14" t="s">
        <v>64</v>
      </c>
      <c r="H14">
        <v>14</v>
      </c>
      <c r="I14">
        <v>15</v>
      </c>
      <c r="J14">
        <v>16</v>
      </c>
      <c r="K14">
        <f t="shared" si="3"/>
        <v>95</v>
      </c>
      <c r="M14" t="s">
        <v>64</v>
      </c>
      <c r="N14">
        <v>14</v>
      </c>
      <c r="O14">
        <v>15</v>
      </c>
      <c r="P14">
        <v>13</v>
      </c>
      <c r="Q14">
        <f t="shared" si="1"/>
        <v>81</v>
      </c>
      <c r="S14" t="s">
        <v>64</v>
      </c>
      <c r="T14">
        <v>14</v>
      </c>
      <c r="U14">
        <v>15</v>
      </c>
      <c r="V14">
        <v>9</v>
      </c>
      <c r="W14">
        <f t="shared" si="2"/>
        <v>55.5</v>
      </c>
    </row>
    <row r="15" spans="1:23" x14ac:dyDescent="0.25">
      <c r="A15" t="s">
        <v>65</v>
      </c>
      <c r="B15">
        <v>15</v>
      </c>
      <c r="C15">
        <v>16</v>
      </c>
      <c r="D15">
        <v>10</v>
      </c>
      <c r="E15">
        <f t="shared" si="0"/>
        <v>61.5</v>
      </c>
      <c r="G15" t="s">
        <v>65</v>
      </c>
      <c r="H15">
        <v>15</v>
      </c>
      <c r="I15">
        <v>16</v>
      </c>
      <c r="J15">
        <v>18</v>
      </c>
      <c r="K15">
        <f t="shared" si="3"/>
        <v>113</v>
      </c>
      <c r="M15" t="s">
        <v>65</v>
      </c>
      <c r="N15">
        <v>15</v>
      </c>
      <c r="O15">
        <v>16</v>
      </c>
      <c r="P15">
        <v>15</v>
      </c>
      <c r="Q15">
        <f t="shared" si="1"/>
        <v>96</v>
      </c>
      <c r="S15" t="s">
        <v>65</v>
      </c>
      <c r="T15">
        <v>15</v>
      </c>
      <c r="U15">
        <v>16</v>
      </c>
      <c r="V15">
        <v>10</v>
      </c>
      <c r="W15">
        <f t="shared" si="2"/>
        <v>65.5</v>
      </c>
    </row>
    <row r="16" spans="1:23" x14ac:dyDescent="0.25">
      <c r="A16" t="s">
        <v>66</v>
      </c>
      <c r="B16">
        <v>16</v>
      </c>
      <c r="C16">
        <v>17</v>
      </c>
      <c r="D16">
        <v>11</v>
      </c>
      <c r="E16">
        <f t="shared" si="0"/>
        <v>72.5</v>
      </c>
      <c r="G16" t="s">
        <v>66</v>
      </c>
      <c r="H16">
        <v>16</v>
      </c>
      <c r="I16">
        <v>17</v>
      </c>
      <c r="J16">
        <v>23</v>
      </c>
      <c r="K16">
        <f t="shared" si="3"/>
        <v>136</v>
      </c>
      <c r="M16" t="s">
        <v>66</v>
      </c>
      <c r="N16">
        <v>16</v>
      </c>
      <c r="O16">
        <v>17</v>
      </c>
      <c r="P16">
        <v>19</v>
      </c>
      <c r="Q16">
        <f t="shared" si="1"/>
        <v>115</v>
      </c>
      <c r="S16" t="s">
        <v>66</v>
      </c>
      <c r="T16">
        <v>16</v>
      </c>
      <c r="U16">
        <v>17</v>
      </c>
      <c r="V16">
        <v>12</v>
      </c>
      <c r="W16">
        <f t="shared" si="2"/>
        <v>77.5</v>
      </c>
    </row>
    <row r="17" spans="1:23" x14ac:dyDescent="0.25">
      <c r="A17" t="s">
        <v>67</v>
      </c>
      <c r="B17">
        <v>17</v>
      </c>
      <c r="C17">
        <v>18</v>
      </c>
      <c r="D17">
        <v>14</v>
      </c>
      <c r="E17">
        <f t="shared" si="0"/>
        <v>86.5</v>
      </c>
      <c r="G17" t="s">
        <v>67</v>
      </c>
      <c r="H17">
        <v>17</v>
      </c>
      <c r="I17">
        <v>18</v>
      </c>
      <c r="J17">
        <v>36</v>
      </c>
      <c r="K17">
        <f t="shared" si="3"/>
        <v>172</v>
      </c>
      <c r="M17" t="s">
        <v>67</v>
      </c>
      <c r="N17">
        <v>17</v>
      </c>
      <c r="O17">
        <v>18</v>
      </c>
      <c r="P17">
        <v>26</v>
      </c>
      <c r="Q17">
        <f t="shared" si="1"/>
        <v>141</v>
      </c>
      <c r="S17" t="s">
        <v>67</v>
      </c>
      <c r="T17">
        <v>17</v>
      </c>
      <c r="U17">
        <v>18</v>
      </c>
      <c r="V17">
        <v>15</v>
      </c>
      <c r="W17">
        <f t="shared" si="2"/>
        <v>92.5</v>
      </c>
    </row>
    <row r="18" spans="1:23" x14ac:dyDescent="0.25">
      <c r="A18" t="s">
        <v>68</v>
      </c>
      <c r="B18">
        <v>18</v>
      </c>
      <c r="C18">
        <v>19</v>
      </c>
      <c r="D18">
        <v>19</v>
      </c>
      <c r="E18">
        <f t="shared" si="0"/>
        <v>105.5</v>
      </c>
      <c r="G18" t="s">
        <v>68</v>
      </c>
      <c r="H18">
        <v>18</v>
      </c>
      <c r="I18">
        <v>19</v>
      </c>
      <c r="M18" t="s">
        <v>68</v>
      </c>
      <c r="N18">
        <v>18</v>
      </c>
      <c r="O18">
        <v>19</v>
      </c>
      <c r="P18">
        <v>58</v>
      </c>
      <c r="Q18">
        <f t="shared" si="1"/>
        <v>199</v>
      </c>
      <c r="S18" t="s">
        <v>68</v>
      </c>
      <c r="T18">
        <v>18</v>
      </c>
      <c r="U18">
        <v>19</v>
      </c>
      <c r="V18">
        <v>21</v>
      </c>
      <c r="W18">
        <f t="shared" si="2"/>
        <v>113.5</v>
      </c>
    </row>
    <row r="20" spans="1:23" x14ac:dyDescent="0.25">
      <c r="A20" s="229" t="s">
        <v>69</v>
      </c>
      <c r="B20" s="229" t="s">
        <v>45</v>
      </c>
      <c r="C20" s="229" t="s">
        <v>46</v>
      </c>
      <c r="D20" s="229" t="s">
        <v>47</v>
      </c>
      <c r="E20" s="229" t="s">
        <v>48</v>
      </c>
      <c r="G20" s="229" t="s">
        <v>70</v>
      </c>
      <c r="H20" s="229" t="s">
        <v>45</v>
      </c>
      <c r="I20" s="229" t="s">
        <v>46</v>
      </c>
      <c r="J20" s="229" t="s">
        <v>47</v>
      </c>
      <c r="K20" s="229" t="s">
        <v>48</v>
      </c>
      <c r="M20" s="229" t="s">
        <v>71</v>
      </c>
      <c r="N20" s="229" t="s">
        <v>45</v>
      </c>
      <c r="O20" s="229" t="s">
        <v>46</v>
      </c>
      <c r="P20" s="229" t="s">
        <v>47</v>
      </c>
      <c r="Q20" s="229" t="s">
        <v>48</v>
      </c>
      <c r="S20" s="229" t="s">
        <v>10</v>
      </c>
      <c r="T20">
        <v>19</v>
      </c>
    </row>
    <row r="21" spans="1:23" x14ac:dyDescent="0.25">
      <c r="A21" t="s">
        <v>52</v>
      </c>
      <c r="B21">
        <v>2</v>
      </c>
      <c r="C21">
        <v>3</v>
      </c>
      <c r="D21">
        <v>2</v>
      </c>
      <c r="E21">
        <f>D21</f>
        <v>2</v>
      </c>
      <c r="G21" t="s">
        <v>52</v>
      </c>
      <c r="H21">
        <v>2</v>
      </c>
      <c r="I21">
        <v>3</v>
      </c>
      <c r="J21">
        <v>2</v>
      </c>
      <c r="K21">
        <f>J21</f>
        <v>2</v>
      </c>
      <c r="M21" t="s">
        <v>52</v>
      </c>
      <c r="N21">
        <v>2</v>
      </c>
      <c r="O21">
        <v>3</v>
      </c>
      <c r="P21">
        <v>1</v>
      </c>
      <c r="Q21">
        <f>P21</f>
        <v>1</v>
      </c>
      <c r="S21" t="s">
        <v>72</v>
      </c>
      <c r="T21" s="39">
        <v>0.15</v>
      </c>
    </row>
    <row r="22" spans="1:23" x14ac:dyDescent="0.25">
      <c r="A22" t="s">
        <v>53</v>
      </c>
      <c r="B22">
        <v>3</v>
      </c>
      <c r="C22">
        <v>4</v>
      </c>
      <c r="D22">
        <v>2</v>
      </c>
      <c r="E22">
        <f>E21+D22</f>
        <v>4</v>
      </c>
      <c r="G22" t="s">
        <v>53</v>
      </c>
      <c r="H22">
        <v>3</v>
      </c>
      <c r="I22">
        <v>4</v>
      </c>
      <c r="J22">
        <v>3</v>
      </c>
      <c r="K22">
        <f>K21+J22</f>
        <v>5</v>
      </c>
      <c r="M22" t="s">
        <v>53</v>
      </c>
      <c r="N22">
        <v>3</v>
      </c>
      <c r="O22">
        <v>4</v>
      </c>
      <c r="P22">
        <v>1</v>
      </c>
      <c r="Q22">
        <f>Q21+P22</f>
        <v>2</v>
      </c>
      <c r="S22" t="s">
        <v>73</v>
      </c>
      <c r="T22" t="s">
        <v>74</v>
      </c>
    </row>
    <row r="23" spans="1:23" x14ac:dyDescent="0.25">
      <c r="A23" t="s">
        <v>54</v>
      </c>
      <c r="B23">
        <v>4</v>
      </c>
      <c r="C23">
        <v>5</v>
      </c>
      <c r="D23">
        <v>3</v>
      </c>
      <c r="E23">
        <f t="shared" ref="E23:E37" si="4">E22+D23</f>
        <v>7</v>
      </c>
      <c r="G23" t="s">
        <v>54</v>
      </c>
      <c r="H23">
        <v>4</v>
      </c>
      <c r="I23">
        <v>5</v>
      </c>
      <c r="J23">
        <v>3</v>
      </c>
      <c r="K23">
        <f t="shared" ref="K23:K36" si="5">K22+J23</f>
        <v>8</v>
      </c>
      <c r="M23" t="s">
        <v>54</v>
      </c>
      <c r="N23">
        <v>4</v>
      </c>
      <c r="O23">
        <v>5</v>
      </c>
      <c r="P23">
        <v>1</v>
      </c>
      <c r="Q23">
        <f t="shared" ref="Q23:Q37" si="6">Q22+P23</f>
        <v>3</v>
      </c>
      <c r="S23" t="s">
        <v>75</v>
      </c>
      <c r="T23" s="39">
        <v>1</v>
      </c>
    </row>
    <row r="24" spans="1:23" x14ac:dyDescent="0.25">
      <c r="A24" t="s">
        <v>55</v>
      </c>
      <c r="B24">
        <v>5</v>
      </c>
      <c r="C24">
        <v>6</v>
      </c>
      <c r="D24">
        <v>3</v>
      </c>
      <c r="E24">
        <f t="shared" si="4"/>
        <v>10</v>
      </c>
      <c r="G24" t="s">
        <v>55</v>
      </c>
      <c r="H24">
        <v>5</v>
      </c>
      <c r="I24">
        <v>6</v>
      </c>
      <c r="J24">
        <v>4</v>
      </c>
      <c r="K24">
        <f t="shared" si="5"/>
        <v>12</v>
      </c>
      <c r="M24" t="s">
        <v>55</v>
      </c>
      <c r="N24">
        <v>5</v>
      </c>
      <c r="O24">
        <v>6</v>
      </c>
      <c r="P24">
        <v>1</v>
      </c>
      <c r="Q24">
        <f t="shared" si="6"/>
        <v>4</v>
      </c>
    </row>
    <row r="25" spans="1:23" x14ac:dyDescent="0.25">
      <c r="A25" t="s">
        <v>56</v>
      </c>
      <c r="B25">
        <v>6</v>
      </c>
      <c r="C25">
        <v>7</v>
      </c>
      <c r="D25">
        <v>4</v>
      </c>
      <c r="E25">
        <f t="shared" si="4"/>
        <v>14</v>
      </c>
      <c r="G25" t="s">
        <v>56</v>
      </c>
      <c r="H25">
        <v>6</v>
      </c>
      <c r="I25">
        <v>7</v>
      </c>
      <c r="J25">
        <v>4</v>
      </c>
      <c r="K25">
        <f t="shared" si="5"/>
        <v>16</v>
      </c>
      <c r="M25" t="s">
        <v>56</v>
      </c>
      <c r="N25">
        <v>6</v>
      </c>
      <c r="O25">
        <v>7</v>
      </c>
      <c r="P25">
        <v>1</v>
      </c>
      <c r="Q25">
        <f t="shared" si="6"/>
        <v>5</v>
      </c>
    </row>
    <row r="26" spans="1:23" x14ac:dyDescent="0.25">
      <c r="A26" t="s">
        <v>57</v>
      </c>
      <c r="B26">
        <v>7</v>
      </c>
      <c r="C26">
        <v>8</v>
      </c>
      <c r="D26">
        <v>4</v>
      </c>
      <c r="E26">
        <f t="shared" si="4"/>
        <v>18</v>
      </c>
      <c r="G26" t="s">
        <v>57</v>
      </c>
      <c r="H26">
        <v>7</v>
      </c>
      <c r="I26">
        <v>8</v>
      </c>
      <c r="J26">
        <v>5</v>
      </c>
      <c r="K26">
        <f t="shared" si="5"/>
        <v>21</v>
      </c>
      <c r="M26" t="s">
        <v>57</v>
      </c>
      <c r="N26">
        <v>7</v>
      </c>
      <c r="O26">
        <v>8</v>
      </c>
      <c r="P26">
        <v>1</v>
      </c>
      <c r="Q26">
        <f t="shared" si="6"/>
        <v>6</v>
      </c>
    </row>
    <row r="27" spans="1:23" x14ac:dyDescent="0.25">
      <c r="A27" t="s">
        <v>58</v>
      </c>
      <c r="B27">
        <v>8</v>
      </c>
      <c r="C27">
        <v>9</v>
      </c>
      <c r="D27">
        <v>5</v>
      </c>
      <c r="E27">
        <f t="shared" si="4"/>
        <v>23</v>
      </c>
      <c r="G27" t="s">
        <v>58</v>
      </c>
      <c r="H27">
        <v>8</v>
      </c>
      <c r="I27">
        <v>9</v>
      </c>
      <c r="J27">
        <v>6</v>
      </c>
      <c r="K27">
        <f t="shared" si="5"/>
        <v>27</v>
      </c>
      <c r="M27" t="s">
        <v>58</v>
      </c>
      <c r="N27">
        <v>8</v>
      </c>
      <c r="O27">
        <v>9</v>
      </c>
      <c r="P27">
        <v>1</v>
      </c>
      <c r="Q27">
        <f t="shared" si="6"/>
        <v>7</v>
      </c>
    </row>
    <row r="28" spans="1:23" x14ac:dyDescent="0.25">
      <c r="A28" t="s">
        <v>59</v>
      </c>
      <c r="B28">
        <v>9</v>
      </c>
      <c r="C28">
        <v>10</v>
      </c>
      <c r="D28">
        <v>6</v>
      </c>
      <c r="E28">
        <f t="shared" si="4"/>
        <v>29</v>
      </c>
      <c r="G28" t="s">
        <v>59</v>
      </c>
      <c r="H28">
        <v>9</v>
      </c>
      <c r="I28">
        <v>10</v>
      </c>
      <c r="J28">
        <v>6</v>
      </c>
      <c r="K28">
        <f t="shared" si="5"/>
        <v>33</v>
      </c>
      <c r="M28" t="s">
        <v>59</v>
      </c>
      <c r="N28">
        <v>9</v>
      </c>
      <c r="O28">
        <v>10</v>
      </c>
      <c r="P28">
        <v>1</v>
      </c>
      <c r="Q28">
        <f t="shared" si="6"/>
        <v>8</v>
      </c>
    </row>
    <row r="29" spans="1:23" x14ac:dyDescent="0.25">
      <c r="A29" t="s">
        <v>60</v>
      </c>
      <c r="B29">
        <v>10</v>
      </c>
      <c r="C29">
        <v>11</v>
      </c>
      <c r="D29">
        <v>7</v>
      </c>
      <c r="E29">
        <f t="shared" si="4"/>
        <v>36</v>
      </c>
      <c r="G29" t="s">
        <v>60</v>
      </c>
      <c r="H29">
        <v>10</v>
      </c>
      <c r="I29">
        <v>11</v>
      </c>
      <c r="J29">
        <v>7</v>
      </c>
      <c r="K29">
        <f t="shared" si="5"/>
        <v>40</v>
      </c>
      <c r="M29" t="s">
        <v>60</v>
      </c>
      <c r="N29">
        <v>10</v>
      </c>
      <c r="O29">
        <v>11</v>
      </c>
      <c r="P29">
        <v>2</v>
      </c>
      <c r="Q29">
        <f t="shared" si="6"/>
        <v>10</v>
      </c>
    </row>
    <row r="30" spans="1:23" x14ac:dyDescent="0.25">
      <c r="A30" t="s">
        <v>61</v>
      </c>
      <c r="B30">
        <v>11</v>
      </c>
      <c r="C30">
        <v>12</v>
      </c>
      <c r="D30">
        <v>7</v>
      </c>
      <c r="E30">
        <f t="shared" si="4"/>
        <v>43</v>
      </c>
      <c r="G30" t="s">
        <v>61</v>
      </c>
      <c r="H30">
        <v>11</v>
      </c>
      <c r="I30">
        <v>12</v>
      </c>
      <c r="J30">
        <v>9</v>
      </c>
      <c r="K30">
        <f t="shared" si="5"/>
        <v>49</v>
      </c>
      <c r="M30" t="s">
        <v>61</v>
      </c>
      <c r="N30">
        <v>11</v>
      </c>
      <c r="O30">
        <v>12</v>
      </c>
      <c r="P30">
        <v>2</v>
      </c>
      <c r="Q30">
        <f t="shared" si="6"/>
        <v>12</v>
      </c>
    </row>
    <row r="31" spans="1:23" x14ac:dyDescent="0.25">
      <c r="A31" t="s">
        <v>62</v>
      </c>
      <c r="B31">
        <v>12</v>
      </c>
      <c r="C31">
        <v>13</v>
      </c>
      <c r="D31">
        <v>9</v>
      </c>
      <c r="E31">
        <f t="shared" si="4"/>
        <v>52</v>
      </c>
      <c r="G31" t="s">
        <v>62</v>
      </c>
      <c r="H31">
        <v>12</v>
      </c>
      <c r="I31">
        <v>13</v>
      </c>
      <c r="J31">
        <v>10</v>
      </c>
      <c r="K31">
        <f t="shared" si="5"/>
        <v>59</v>
      </c>
      <c r="M31" t="s">
        <v>62</v>
      </c>
      <c r="N31">
        <v>12</v>
      </c>
      <c r="O31">
        <v>13</v>
      </c>
      <c r="P31">
        <v>2</v>
      </c>
      <c r="Q31">
        <f t="shared" si="6"/>
        <v>14</v>
      </c>
    </row>
    <row r="32" spans="1:23" x14ac:dyDescent="0.25">
      <c r="A32" t="s">
        <v>63</v>
      </c>
      <c r="B32">
        <v>13</v>
      </c>
      <c r="C32">
        <v>14</v>
      </c>
      <c r="D32">
        <v>10</v>
      </c>
      <c r="E32">
        <f t="shared" si="4"/>
        <v>62</v>
      </c>
      <c r="G32" t="s">
        <v>63</v>
      </c>
      <c r="H32">
        <v>13</v>
      </c>
      <c r="I32">
        <v>14</v>
      </c>
      <c r="J32">
        <v>11</v>
      </c>
      <c r="K32">
        <f t="shared" si="5"/>
        <v>70</v>
      </c>
      <c r="M32" t="s">
        <v>63</v>
      </c>
      <c r="N32">
        <v>13</v>
      </c>
      <c r="O32">
        <v>14</v>
      </c>
      <c r="P32">
        <v>2</v>
      </c>
      <c r="Q32">
        <f t="shared" si="6"/>
        <v>16</v>
      </c>
    </row>
    <row r="33" spans="1:17" x14ac:dyDescent="0.25">
      <c r="A33" t="s">
        <v>64</v>
      </c>
      <c r="B33">
        <v>14</v>
      </c>
      <c r="C33">
        <v>15</v>
      </c>
      <c r="D33">
        <v>12</v>
      </c>
      <c r="E33">
        <f t="shared" si="4"/>
        <v>74</v>
      </c>
      <c r="G33" t="s">
        <v>64</v>
      </c>
      <c r="H33">
        <v>14</v>
      </c>
      <c r="I33">
        <v>15</v>
      </c>
      <c r="J33">
        <v>13</v>
      </c>
      <c r="K33">
        <f t="shared" si="5"/>
        <v>83</v>
      </c>
      <c r="M33" t="s">
        <v>64</v>
      </c>
      <c r="N33">
        <v>14</v>
      </c>
      <c r="O33">
        <v>15</v>
      </c>
      <c r="P33">
        <v>2</v>
      </c>
      <c r="Q33">
        <f t="shared" si="6"/>
        <v>18</v>
      </c>
    </row>
    <row r="34" spans="1:17" x14ac:dyDescent="0.25">
      <c r="A34" t="s">
        <v>65</v>
      </c>
      <c r="B34">
        <v>15</v>
      </c>
      <c r="C34">
        <v>16</v>
      </c>
      <c r="D34">
        <v>14</v>
      </c>
      <c r="E34">
        <f t="shared" si="4"/>
        <v>88</v>
      </c>
      <c r="G34" t="s">
        <v>65</v>
      </c>
      <c r="H34">
        <v>15</v>
      </c>
      <c r="I34">
        <v>16</v>
      </c>
      <c r="J34">
        <v>16</v>
      </c>
      <c r="K34">
        <f t="shared" si="5"/>
        <v>99</v>
      </c>
      <c r="M34" t="s">
        <v>65</v>
      </c>
      <c r="N34">
        <v>15</v>
      </c>
      <c r="O34">
        <v>16</v>
      </c>
      <c r="P34">
        <v>3</v>
      </c>
      <c r="Q34">
        <f t="shared" si="6"/>
        <v>21</v>
      </c>
    </row>
    <row r="35" spans="1:17" x14ac:dyDescent="0.25">
      <c r="A35" t="s">
        <v>66</v>
      </c>
      <c r="B35">
        <v>16</v>
      </c>
      <c r="C35">
        <v>17</v>
      </c>
      <c r="D35">
        <v>17</v>
      </c>
      <c r="E35">
        <f t="shared" si="4"/>
        <v>105</v>
      </c>
      <c r="G35" t="s">
        <v>66</v>
      </c>
      <c r="H35">
        <v>16</v>
      </c>
      <c r="I35">
        <v>17</v>
      </c>
      <c r="J35">
        <v>20</v>
      </c>
      <c r="K35">
        <f t="shared" si="5"/>
        <v>119</v>
      </c>
      <c r="M35" t="s">
        <v>66</v>
      </c>
      <c r="N35">
        <v>16</v>
      </c>
      <c r="O35">
        <v>17</v>
      </c>
      <c r="P35">
        <v>4</v>
      </c>
      <c r="Q35">
        <f t="shared" si="6"/>
        <v>25</v>
      </c>
    </row>
    <row r="36" spans="1:17" x14ac:dyDescent="0.25">
      <c r="A36" t="s">
        <v>67</v>
      </c>
      <c r="B36">
        <v>17</v>
      </c>
      <c r="C36">
        <v>18</v>
      </c>
      <c r="D36">
        <v>23</v>
      </c>
      <c r="E36">
        <f t="shared" si="4"/>
        <v>128</v>
      </c>
      <c r="G36" t="s">
        <v>67</v>
      </c>
      <c r="H36">
        <v>17</v>
      </c>
      <c r="I36">
        <v>18</v>
      </c>
      <c r="J36">
        <v>29</v>
      </c>
      <c r="K36">
        <f t="shared" si="5"/>
        <v>148</v>
      </c>
      <c r="M36" t="s">
        <v>67</v>
      </c>
      <c r="N36">
        <v>17</v>
      </c>
      <c r="O36">
        <v>18</v>
      </c>
      <c r="P36">
        <v>4</v>
      </c>
      <c r="Q36">
        <f t="shared" si="6"/>
        <v>29</v>
      </c>
    </row>
    <row r="37" spans="1:17" x14ac:dyDescent="0.25">
      <c r="A37" t="s">
        <v>68</v>
      </c>
      <c r="B37">
        <v>18</v>
      </c>
      <c r="C37">
        <v>19</v>
      </c>
      <c r="D37">
        <v>41</v>
      </c>
      <c r="E37">
        <f t="shared" si="4"/>
        <v>169</v>
      </c>
      <c r="G37" t="s">
        <v>68</v>
      </c>
      <c r="H37">
        <v>18</v>
      </c>
      <c r="I37">
        <v>19</v>
      </c>
      <c r="M37" t="s">
        <v>68</v>
      </c>
      <c r="N37">
        <v>18</v>
      </c>
      <c r="O37">
        <v>19</v>
      </c>
      <c r="P37">
        <v>4</v>
      </c>
      <c r="Q37">
        <f t="shared" si="6"/>
        <v>33</v>
      </c>
    </row>
  </sheetData>
  <pageMargins left="0.7" right="0.7" top="0.75" bottom="0.75" header="0.3" footer="0.3"/>
  <pageSetup paperSize="9" scale="6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9872-285B-44B5-B760-86054E2CE794}">
  <sheetPr>
    <tabColor theme="7" tint="0.79998168889431442"/>
    <pageSetUpPr fitToPage="1"/>
  </sheetPr>
  <dimension ref="A1:D34"/>
  <sheetViews>
    <sheetView workbookViewId="0">
      <selection activeCell="C11" sqref="C11"/>
    </sheetView>
  </sheetViews>
  <sheetFormatPr baseColWidth="10" defaultRowHeight="15" x14ac:dyDescent="0.25"/>
  <cols>
    <col min="1" max="1" width="13.42578125" bestFit="1" customWidth="1"/>
  </cols>
  <sheetData>
    <row r="1" spans="1:4" x14ac:dyDescent="0.25">
      <c r="A1" s="69" t="s">
        <v>208</v>
      </c>
      <c r="B1">
        <v>0</v>
      </c>
      <c r="C1">
        <f>B1</f>
        <v>0</v>
      </c>
    </row>
    <row r="2" spans="1:4" x14ac:dyDescent="0.25">
      <c r="A2" s="69" t="s">
        <v>210</v>
      </c>
      <c r="B2">
        <v>5735</v>
      </c>
      <c r="C2">
        <f t="shared" ref="C2:C6" si="0">B2</f>
        <v>5735</v>
      </c>
    </row>
    <row r="3" spans="1:4" x14ac:dyDescent="0.25">
      <c r="A3" s="69" t="s">
        <v>212</v>
      </c>
      <c r="B3">
        <v>0</v>
      </c>
      <c r="C3">
        <f t="shared" si="0"/>
        <v>0</v>
      </c>
    </row>
    <row r="4" spans="1:4" x14ac:dyDescent="0.25">
      <c r="A4" s="69" t="s">
        <v>214</v>
      </c>
      <c r="B4">
        <v>18090</v>
      </c>
      <c r="C4">
        <v>22065</v>
      </c>
    </row>
    <row r="5" spans="1:4" x14ac:dyDescent="0.25">
      <c r="A5" s="69" t="s">
        <v>216</v>
      </c>
      <c r="B5">
        <v>0</v>
      </c>
      <c r="C5">
        <f t="shared" si="0"/>
        <v>0</v>
      </c>
    </row>
    <row r="6" spans="1:4" x14ac:dyDescent="0.25">
      <c r="A6" s="69" t="s">
        <v>218</v>
      </c>
      <c r="B6">
        <v>0</v>
      </c>
      <c r="C6">
        <f t="shared" si="0"/>
        <v>0</v>
      </c>
      <c r="D6">
        <v>14.5</v>
      </c>
    </row>
    <row r="7" spans="1:4" x14ac:dyDescent="0.25">
      <c r="A7" s="71" t="s">
        <v>71</v>
      </c>
      <c r="B7" s="72">
        <v>5.5E-2</v>
      </c>
      <c r="C7" s="72">
        <v>5.8999999999999997E-2</v>
      </c>
    </row>
    <row r="9" spans="1:4" x14ac:dyDescent="0.25">
      <c r="A9" s="74" t="s">
        <v>120</v>
      </c>
      <c r="B9" s="75">
        <f>SUM(B1:B6)*(1+B7)</f>
        <v>25135.375</v>
      </c>
      <c r="C9" s="75">
        <f>SUM(C1:C6)*(1+C7)</f>
        <v>29440.199999999997</v>
      </c>
    </row>
    <row r="10" spans="1:4" x14ac:dyDescent="0.25">
      <c r="A10" s="74" t="s">
        <v>223</v>
      </c>
      <c r="B10" s="75">
        <f>B9*1.2</f>
        <v>30162.449999999997</v>
      </c>
      <c r="C10" s="75">
        <f>C9*1.2</f>
        <v>35328.239999999998</v>
      </c>
    </row>
    <row r="12" spans="1:4" x14ac:dyDescent="0.25">
      <c r="A12" s="69">
        <v>29</v>
      </c>
      <c r="B12" s="75">
        <f>B9*0.9</f>
        <v>22621.837500000001</v>
      </c>
      <c r="C12" s="75">
        <f>C9*0.9</f>
        <v>26496.179999999997</v>
      </c>
    </row>
    <row r="13" spans="1:4" x14ac:dyDescent="0.25">
      <c r="A13" s="69">
        <v>30</v>
      </c>
      <c r="B13" s="75">
        <f>B12*0.9</f>
        <v>20359.653750000001</v>
      </c>
      <c r="C13" s="75">
        <f>C12*0.9</f>
        <v>23846.561999999998</v>
      </c>
    </row>
    <row r="14" spans="1:4" x14ac:dyDescent="0.25">
      <c r="A14" s="69">
        <v>31</v>
      </c>
      <c r="B14" s="75">
        <f t="shared" ref="B14:C15" si="1">B13*0.9</f>
        <v>18323.688375000002</v>
      </c>
      <c r="C14" s="75">
        <f t="shared" si="1"/>
        <v>21461.9058</v>
      </c>
    </row>
    <row r="15" spans="1:4" x14ac:dyDescent="0.25">
      <c r="A15" s="69">
        <v>32</v>
      </c>
      <c r="B15" s="75">
        <f t="shared" si="1"/>
        <v>16491.319537500003</v>
      </c>
      <c r="C15" s="75">
        <f t="shared" si="1"/>
        <v>19315.715220000002</v>
      </c>
    </row>
    <row r="16" spans="1:4" x14ac:dyDescent="0.25">
      <c r="C16" s="77"/>
    </row>
    <row r="18" spans="1:1" x14ac:dyDescent="0.25">
      <c r="A18" s="70" t="s">
        <v>209</v>
      </c>
    </row>
    <row r="19" spans="1:1" x14ac:dyDescent="0.25">
      <c r="A19" s="70" t="s">
        <v>211</v>
      </c>
    </row>
    <row r="20" spans="1:1" x14ac:dyDescent="0.25">
      <c r="A20" s="70" t="s">
        <v>213</v>
      </c>
    </row>
    <row r="21" spans="1:1" x14ac:dyDescent="0.25">
      <c r="A21" s="70" t="s">
        <v>215</v>
      </c>
    </row>
    <row r="22" spans="1:1" x14ac:dyDescent="0.25">
      <c r="A22" s="70" t="s">
        <v>217</v>
      </c>
    </row>
    <row r="23" spans="1:1" x14ac:dyDescent="0.25">
      <c r="A23" s="70" t="s">
        <v>219</v>
      </c>
    </row>
    <row r="24" spans="1:1" x14ac:dyDescent="0.25">
      <c r="A24" s="70" t="s">
        <v>220</v>
      </c>
    </row>
    <row r="25" spans="1:1" x14ac:dyDescent="0.25">
      <c r="A25" s="70" t="s">
        <v>221</v>
      </c>
    </row>
    <row r="26" spans="1:1" x14ac:dyDescent="0.25">
      <c r="A26" s="70" t="s">
        <v>222</v>
      </c>
    </row>
    <row r="27" spans="1:1" x14ac:dyDescent="0.25">
      <c r="A27" s="70" t="s">
        <v>224</v>
      </c>
    </row>
    <row r="28" spans="1:1" x14ac:dyDescent="0.25">
      <c r="A28" s="70" t="s">
        <v>225</v>
      </c>
    </row>
    <row r="29" spans="1:1" x14ac:dyDescent="0.25">
      <c r="A29" s="70" t="s">
        <v>226</v>
      </c>
    </row>
    <row r="30" spans="1:1" x14ac:dyDescent="0.25">
      <c r="A30" s="70" t="s">
        <v>227</v>
      </c>
    </row>
    <row r="31" spans="1:1" x14ac:dyDescent="0.25">
      <c r="A31" s="70" t="s">
        <v>228</v>
      </c>
    </row>
    <row r="32" spans="1:1" x14ac:dyDescent="0.25">
      <c r="A32" s="70" t="s">
        <v>229</v>
      </c>
    </row>
    <row r="33" spans="1:1" x14ac:dyDescent="0.25">
      <c r="A33" s="70" t="s">
        <v>230</v>
      </c>
    </row>
    <row r="34" spans="1:1" x14ac:dyDescent="0.25">
      <c r="A34" s="70" t="s">
        <v>231</v>
      </c>
    </row>
  </sheetData>
  <pageMargins left="0.7" right="0.7" top="0.75" bottom="0.75" header="0.3" footer="0.3"/>
  <pageSetup paperSize="9" scale="5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2488-9A23-4952-8D3F-5B7760F32032}">
  <sheetPr>
    <tabColor rgb="FF0070C0"/>
  </sheetPr>
  <dimension ref="A1:I22"/>
  <sheetViews>
    <sheetView workbookViewId="0">
      <selection activeCell="A9" sqref="A9"/>
    </sheetView>
  </sheetViews>
  <sheetFormatPr baseColWidth="10" defaultRowHeight="15" x14ac:dyDescent="0.25"/>
  <cols>
    <col min="1" max="1" width="19.28515625" bestFit="1" customWidth="1"/>
    <col min="2" max="2" width="10.85546875" bestFit="1" customWidth="1"/>
    <col min="3" max="3" width="71.7109375" customWidth="1"/>
    <col min="4" max="4" width="27.140625" bestFit="1" customWidth="1"/>
    <col min="5" max="5" width="10.140625" bestFit="1" customWidth="1"/>
    <col min="6" max="6" width="9" bestFit="1" customWidth="1"/>
    <col min="7" max="7" width="8.85546875" bestFit="1" customWidth="1"/>
    <col min="8" max="8" width="6.140625" bestFit="1" customWidth="1"/>
    <col min="9" max="9" width="9" bestFit="1" customWidth="1"/>
  </cols>
  <sheetData>
    <row r="1" spans="1:9" ht="21" x14ac:dyDescent="0.25">
      <c r="A1" s="49" t="s">
        <v>115</v>
      </c>
      <c r="B1" s="49" t="s">
        <v>114</v>
      </c>
      <c r="C1" s="49" t="s">
        <v>113</v>
      </c>
      <c r="D1" s="48" t="s">
        <v>112</v>
      </c>
      <c r="E1" s="48" t="s">
        <v>111</v>
      </c>
      <c r="F1" s="48" t="s">
        <v>110</v>
      </c>
      <c r="G1" s="48" t="s">
        <v>109</v>
      </c>
      <c r="H1" s="48" t="s">
        <v>108</v>
      </c>
      <c r="I1" s="48" t="s">
        <v>107</v>
      </c>
    </row>
    <row r="2" spans="1:9" ht="21" x14ac:dyDescent="0.25">
      <c r="A2" s="47" t="s">
        <v>106</v>
      </c>
      <c r="B2" s="46" t="s">
        <v>106</v>
      </c>
      <c r="C2" s="46" t="s">
        <v>105</v>
      </c>
      <c r="D2" s="41">
        <v>4</v>
      </c>
      <c r="E2" s="41">
        <v>18</v>
      </c>
      <c r="F2" s="41">
        <v>0</v>
      </c>
      <c r="G2" s="41">
        <v>0</v>
      </c>
      <c r="H2" s="45">
        <v>1</v>
      </c>
      <c r="I2" s="41">
        <f t="shared" ref="I2:I13" si="0">H2*4</f>
        <v>4</v>
      </c>
    </row>
    <row r="3" spans="1:9" x14ac:dyDescent="0.25">
      <c r="A3" s="44" t="s">
        <v>77</v>
      </c>
      <c r="B3" s="43" t="s">
        <v>77</v>
      </c>
      <c r="C3" s="43" t="s">
        <v>104</v>
      </c>
      <c r="D3" s="41">
        <v>0</v>
      </c>
      <c r="E3" s="41">
        <v>10</v>
      </c>
      <c r="F3" s="41">
        <v>0</v>
      </c>
      <c r="G3" s="41">
        <v>12</v>
      </c>
      <c r="H3" s="42">
        <v>5</v>
      </c>
      <c r="I3" s="41">
        <f t="shared" si="0"/>
        <v>20</v>
      </c>
    </row>
    <row r="4" spans="1:9" x14ac:dyDescent="0.25">
      <c r="A4" s="44" t="s">
        <v>103</v>
      </c>
      <c r="B4" s="43" t="s">
        <v>103</v>
      </c>
      <c r="C4" s="43" t="s">
        <v>102</v>
      </c>
      <c r="D4" s="41">
        <v>0</v>
      </c>
      <c r="E4" s="41">
        <v>6</v>
      </c>
      <c r="F4" s="41">
        <v>0</v>
      </c>
      <c r="G4" s="41">
        <v>16</v>
      </c>
      <c r="H4" s="42">
        <v>4.4000000000000004</v>
      </c>
      <c r="I4" s="41">
        <f t="shared" si="0"/>
        <v>17.600000000000001</v>
      </c>
    </row>
    <row r="5" spans="1:9" ht="21" x14ac:dyDescent="0.25">
      <c r="A5" s="44" t="s">
        <v>101</v>
      </c>
      <c r="B5" s="43" t="s">
        <v>83</v>
      </c>
      <c r="C5" s="43" t="s">
        <v>100</v>
      </c>
      <c r="D5" s="41">
        <v>0</v>
      </c>
      <c r="E5" s="41">
        <v>4</v>
      </c>
      <c r="F5" s="41">
        <v>4</v>
      </c>
      <c r="G5" s="41">
        <v>14</v>
      </c>
      <c r="H5" s="42">
        <v>3</v>
      </c>
      <c r="I5" s="41">
        <f t="shared" si="0"/>
        <v>12</v>
      </c>
    </row>
    <row r="6" spans="1:9" x14ac:dyDescent="0.25">
      <c r="A6" s="236" t="s">
        <v>99</v>
      </c>
      <c r="B6" s="43" t="s">
        <v>98</v>
      </c>
      <c r="C6" s="43" t="s">
        <v>97</v>
      </c>
      <c r="D6" s="41">
        <v>0</v>
      </c>
      <c r="E6" s="41">
        <v>22</v>
      </c>
      <c r="F6" s="41">
        <v>0</v>
      </c>
      <c r="G6" s="41">
        <v>0</v>
      </c>
      <c r="H6" s="42">
        <f>H4*2</f>
        <v>8.8000000000000007</v>
      </c>
      <c r="I6" s="41">
        <f t="shared" si="0"/>
        <v>35.200000000000003</v>
      </c>
    </row>
    <row r="7" spans="1:9" ht="21" x14ac:dyDescent="0.25">
      <c r="A7" s="236"/>
      <c r="B7" s="43" t="s">
        <v>96</v>
      </c>
      <c r="C7" s="43" t="s">
        <v>95</v>
      </c>
      <c r="D7" s="41">
        <v>0</v>
      </c>
      <c r="E7" s="41">
        <v>0</v>
      </c>
      <c r="F7" s="41">
        <v>0</v>
      </c>
      <c r="G7" s="41">
        <v>22</v>
      </c>
      <c r="H7" s="42">
        <f>H2/0.2</f>
        <v>5</v>
      </c>
      <c r="I7" s="41">
        <f t="shared" si="0"/>
        <v>20</v>
      </c>
    </row>
    <row r="8" spans="1:9" x14ac:dyDescent="0.25">
      <c r="A8" s="44" t="s">
        <v>94</v>
      </c>
      <c r="B8" s="43" t="s">
        <v>88</v>
      </c>
      <c r="C8" s="43" t="s">
        <v>93</v>
      </c>
      <c r="D8" s="41">
        <v>0</v>
      </c>
      <c r="E8" s="41">
        <v>16</v>
      </c>
      <c r="F8" s="41">
        <v>0</v>
      </c>
      <c r="G8" s="41">
        <v>6</v>
      </c>
      <c r="H8" s="42">
        <v>3.9</v>
      </c>
      <c r="I8" s="41">
        <f t="shared" si="0"/>
        <v>15.6</v>
      </c>
    </row>
    <row r="9" spans="1:9" x14ac:dyDescent="0.25">
      <c r="A9" s="44" t="s">
        <v>92</v>
      </c>
      <c r="B9" s="43" t="s">
        <v>92</v>
      </c>
      <c r="C9" s="43" t="s">
        <v>91</v>
      </c>
      <c r="D9" s="41">
        <v>0</v>
      </c>
      <c r="E9" s="41">
        <v>6</v>
      </c>
      <c r="F9" s="41">
        <v>4</v>
      </c>
      <c r="G9" s="41">
        <v>12</v>
      </c>
      <c r="H9" s="42">
        <v>4.0999999999999996</v>
      </c>
      <c r="I9" s="41">
        <f t="shared" si="0"/>
        <v>16.399999999999999</v>
      </c>
    </row>
    <row r="10" spans="1:9" x14ac:dyDescent="0.25">
      <c r="A10" s="44" t="s">
        <v>78</v>
      </c>
      <c r="B10" s="43" t="s">
        <v>78</v>
      </c>
      <c r="C10" s="43" t="s">
        <v>90</v>
      </c>
      <c r="D10" s="41">
        <v>0</v>
      </c>
      <c r="E10" s="41">
        <v>2</v>
      </c>
      <c r="F10" s="41">
        <v>0</v>
      </c>
      <c r="G10" s="41">
        <v>0</v>
      </c>
      <c r="H10" s="42">
        <v>2.7</v>
      </c>
      <c r="I10" s="41">
        <f t="shared" si="0"/>
        <v>10.8</v>
      </c>
    </row>
    <row r="11" spans="1:9" x14ac:dyDescent="0.25">
      <c r="A11" s="44" t="s">
        <v>89</v>
      </c>
      <c r="B11" s="43" t="s">
        <v>88</v>
      </c>
      <c r="C11" s="43" t="s">
        <v>87</v>
      </c>
      <c r="D11" s="41">
        <v>0</v>
      </c>
      <c r="E11" s="41">
        <v>20</v>
      </c>
      <c r="F11" s="41">
        <v>0</v>
      </c>
      <c r="G11" s="41">
        <v>2</v>
      </c>
      <c r="H11" s="42">
        <v>4.5999999999999996</v>
      </c>
      <c r="I11" s="41">
        <f t="shared" si="0"/>
        <v>18.399999999999999</v>
      </c>
    </row>
    <row r="12" spans="1:9" ht="21" x14ac:dyDescent="0.25">
      <c r="A12" s="44" t="s">
        <v>86</v>
      </c>
      <c r="B12" s="43" t="s">
        <v>77</v>
      </c>
      <c r="C12" s="43" t="s">
        <v>85</v>
      </c>
      <c r="D12" s="41">
        <v>0</v>
      </c>
      <c r="E12" s="41">
        <v>20</v>
      </c>
      <c r="F12" s="41">
        <v>0</v>
      </c>
      <c r="G12" s="41">
        <v>2</v>
      </c>
      <c r="H12" s="42">
        <v>9.9</v>
      </c>
      <c r="I12" s="41">
        <f t="shared" si="0"/>
        <v>39.6</v>
      </c>
    </row>
    <row r="13" spans="1:9" ht="21" x14ac:dyDescent="0.25">
      <c r="A13" s="44" t="s">
        <v>84</v>
      </c>
      <c r="B13" s="43" t="s">
        <v>83</v>
      </c>
      <c r="C13" s="43" t="s">
        <v>82</v>
      </c>
      <c r="D13" s="41">
        <v>0</v>
      </c>
      <c r="E13" s="41">
        <v>10</v>
      </c>
      <c r="F13" s="41">
        <v>0</v>
      </c>
      <c r="G13" s="41">
        <v>6</v>
      </c>
      <c r="H13" s="42">
        <v>4.9000000000000004</v>
      </c>
      <c r="I13" s="41">
        <f t="shared" si="0"/>
        <v>19.600000000000001</v>
      </c>
    </row>
    <row r="14" spans="1:9" x14ac:dyDescent="0.25">
      <c r="A14" s="40"/>
      <c r="D14" s="40" t="s">
        <v>81</v>
      </c>
      <c r="E14" s="40"/>
      <c r="F14" s="40"/>
      <c r="G14" s="40"/>
      <c r="H14" s="40"/>
      <c r="I14" s="40"/>
    </row>
    <row r="15" spans="1:9" x14ac:dyDescent="0.25">
      <c r="D15" s="40"/>
      <c r="E15" s="40"/>
      <c r="F15" s="40"/>
      <c r="G15" s="40"/>
      <c r="H15" s="40"/>
      <c r="I15" s="40"/>
    </row>
    <row r="16" spans="1:9" x14ac:dyDescent="0.25">
      <c r="D16" s="40"/>
      <c r="E16" s="40"/>
      <c r="F16" s="40"/>
      <c r="G16" s="40"/>
      <c r="H16" s="40"/>
      <c r="I16" s="40"/>
    </row>
    <row r="17" spans="1:9" x14ac:dyDescent="0.25">
      <c r="A17" t="s">
        <v>80</v>
      </c>
      <c r="B17" t="s">
        <v>79</v>
      </c>
      <c r="D17" s="40"/>
      <c r="E17" s="40"/>
      <c r="F17" s="40"/>
      <c r="G17" s="40"/>
      <c r="H17" s="40"/>
      <c r="I17" s="40"/>
    </row>
    <row r="18" spans="1:9" x14ac:dyDescent="0.25">
      <c r="A18" t="s">
        <v>78</v>
      </c>
      <c r="D18" s="40"/>
      <c r="E18" s="40"/>
      <c r="F18" s="40"/>
      <c r="G18" s="40"/>
      <c r="H18" s="40"/>
      <c r="I18" s="40"/>
    </row>
    <row r="19" spans="1:9" x14ac:dyDescent="0.25">
      <c r="A19" t="s">
        <v>77</v>
      </c>
      <c r="D19" s="40"/>
      <c r="E19" s="40"/>
      <c r="F19" s="40"/>
      <c r="G19" s="40"/>
      <c r="H19" s="40"/>
      <c r="I19" s="40"/>
    </row>
    <row r="20" spans="1:9" x14ac:dyDescent="0.25">
      <c r="A20" t="s">
        <v>76</v>
      </c>
      <c r="D20" s="40"/>
      <c r="E20" s="40"/>
      <c r="F20" s="40"/>
      <c r="G20" s="40"/>
      <c r="H20" s="40"/>
      <c r="I20" s="40"/>
    </row>
    <row r="21" spans="1:9" x14ac:dyDescent="0.25">
      <c r="A21" t="s">
        <v>51</v>
      </c>
      <c r="D21" s="40"/>
      <c r="E21" s="40"/>
      <c r="F21" s="40"/>
      <c r="G21" s="40"/>
      <c r="H21" s="40"/>
      <c r="I21" s="40"/>
    </row>
    <row r="22" spans="1:9" x14ac:dyDescent="0.25">
      <c r="A22" t="s">
        <v>71</v>
      </c>
      <c r="D22" s="40"/>
      <c r="E22" s="40"/>
      <c r="F22" s="40"/>
      <c r="G22" s="40"/>
      <c r="H22" s="40"/>
      <c r="I22" s="40"/>
    </row>
  </sheetData>
  <mergeCells count="1">
    <mergeCell ref="A6:A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C896-CEFF-42DA-AD9C-EE3BB3129E18}">
  <sheetPr>
    <tabColor rgb="FF0070C0"/>
  </sheetPr>
  <dimension ref="A1:N52"/>
  <sheetViews>
    <sheetView workbookViewId="0">
      <selection activeCell="D46" sqref="D46"/>
    </sheetView>
  </sheetViews>
  <sheetFormatPr baseColWidth="10" defaultRowHeight="15" x14ac:dyDescent="0.25"/>
  <cols>
    <col min="1" max="1" width="15.5703125" customWidth="1"/>
    <col min="2" max="3" width="17.7109375" bestFit="1" customWidth="1"/>
    <col min="4" max="4" width="20.85546875" bestFit="1" customWidth="1"/>
    <col min="5" max="5" width="8.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50" t="s">
        <v>116</v>
      </c>
      <c r="B1" s="51" t="s">
        <v>117</v>
      </c>
      <c r="C1" s="52" t="s">
        <v>118</v>
      </c>
      <c r="D1" s="52" t="s">
        <v>119</v>
      </c>
      <c r="E1" s="52" t="s">
        <v>120</v>
      </c>
      <c r="F1" s="52" t="s">
        <v>121</v>
      </c>
      <c r="G1" s="52" t="s">
        <v>122</v>
      </c>
      <c r="H1" s="53" t="s">
        <v>123</v>
      </c>
      <c r="I1" s="53" t="s">
        <v>124</v>
      </c>
      <c r="J1" s="53" t="s">
        <v>125</v>
      </c>
    </row>
    <row r="2" spans="1:14" x14ac:dyDescent="0.25">
      <c r="A2" t="s">
        <v>126</v>
      </c>
      <c r="B2" s="40" t="s">
        <v>127</v>
      </c>
      <c r="C2" s="54">
        <v>447000</v>
      </c>
      <c r="D2" s="54">
        <v>2800000</v>
      </c>
      <c r="E2" s="54">
        <v>350</v>
      </c>
      <c r="F2" s="40">
        <v>6.5</v>
      </c>
      <c r="G2" s="40">
        <v>11.5</v>
      </c>
      <c r="H2" s="54">
        <f>C2+D2+(E2*1*16*0.6)</f>
        <v>3250360</v>
      </c>
      <c r="I2" s="54">
        <f t="shared" ref="I2:I7" si="0">H2/F2</f>
        <v>500055.38461538462</v>
      </c>
      <c r="J2" s="55">
        <f t="shared" ref="J2:J7" si="1">H2/G2</f>
        <v>282640</v>
      </c>
    </row>
    <row r="3" spans="1:14" x14ac:dyDescent="0.25">
      <c r="A3" t="s">
        <v>126</v>
      </c>
      <c r="B3" s="40" t="s">
        <v>127</v>
      </c>
      <c r="C3" s="54">
        <v>350000</v>
      </c>
      <c r="D3" s="54">
        <v>2800000</v>
      </c>
      <c r="E3" s="54">
        <v>300</v>
      </c>
      <c r="F3" s="40">
        <f>1.5+2.5+2.5</f>
        <v>6.5</v>
      </c>
      <c r="G3" s="40">
        <f>1.5+2.5+2.5+2.5+2.5</f>
        <v>11.5</v>
      </c>
      <c r="H3" s="54">
        <f t="shared" ref="H3:H7" si="2">C3+D3+(E3*1*16*0.6)</f>
        <v>3152880</v>
      </c>
      <c r="I3" s="54">
        <f t="shared" si="0"/>
        <v>485058.46153846156</v>
      </c>
      <c r="J3" s="55">
        <f t="shared" si="1"/>
        <v>274163.47826086957</v>
      </c>
    </row>
    <row r="4" spans="1:14" x14ac:dyDescent="0.25">
      <c r="A4" t="s">
        <v>4</v>
      </c>
      <c r="B4" s="40" t="s">
        <v>127</v>
      </c>
      <c r="C4" s="54">
        <v>400000</v>
      </c>
      <c r="D4" s="54">
        <v>2590000</v>
      </c>
      <c r="E4" s="54">
        <v>400</v>
      </c>
      <c r="F4" s="40">
        <f>1.5+2.5+2.5</f>
        <v>6.5</v>
      </c>
      <c r="G4" s="40">
        <f>1.5+2.5+2.5+2.5+2.5</f>
        <v>11.5</v>
      </c>
      <c r="H4" s="54">
        <f t="shared" si="2"/>
        <v>2993840</v>
      </c>
      <c r="I4" s="54">
        <f t="shared" si="0"/>
        <v>460590.76923076925</v>
      </c>
      <c r="J4" s="55">
        <f t="shared" si="1"/>
        <v>260333.91304347827</v>
      </c>
    </row>
    <row r="5" spans="1:14" x14ac:dyDescent="0.25">
      <c r="A5" t="s">
        <v>128</v>
      </c>
      <c r="B5" s="40" t="s">
        <v>129</v>
      </c>
      <c r="C5" s="54">
        <v>1689000</v>
      </c>
      <c r="D5" s="54">
        <v>3000000</v>
      </c>
      <c r="E5" s="54">
        <v>400</v>
      </c>
      <c r="F5" s="40">
        <v>9</v>
      </c>
      <c r="G5" s="40">
        <v>14</v>
      </c>
      <c r="H5" s="54">
        <f t="shared" si="2"/>
        <v>4692840</v>
      </c>
      <c r="I5" s="54">
        <f t="shared" si="0"/>
        <v>521426.66666666669</v>
      </c>
      <c r="J5" s="55">
        <f t="shared" si="1"/>
        <v>335202.85714285716</v>
      </c>
    </row>
    <row r="6" spans="1:14" x14ac:dyDescent="0.25">
      <c r="A6" t="s">
        <v>130</v>
      </c>
      <c r="B6" s="40" t="s">
        <v>127</v>
      </c>
      <c r="C6" s="54">
        <v>500000</v>
      </c>
      <c r="D6" s="54">
        <v>2242000</v>
      </c>
      <c r="E6" s="54">
        <v>400</v>
      </c>
      <c r="F6" s="40">
        <f>1.5+2.5+2.5</f>
        <v>6.5</v>
      </c>
      <c r="G6" s="40">
        <f>1.5+2.5+2.5+2.5+2.5</f>
        <v>11.5</v>
      </c>
      <c r="H6" s="54">
        <f t="shared" si="2"/>
        <v>2745840</v>
      </c>
      <c r="I6" s="54">
        <f t="shared" si="0"/>
        <v>422436.92307692306</v>
      </c>
      <c r="J6" s="55">
        <f t="shared" si="1"/>
        <v>238768.69565217392</v>
      </c>
    </row>
    <row r="7" spans="1:14" x14ac:dyDescent="0.25">
      <c r="A7" t="s">
        <v>131</v>
      </c>
      <c r="B7" s="40" t="s">
        <v>132</v>
      </c>
      <c r="C7" s="54">
        <v>400000</v>
      </c>
      <c r="D7" s="54">
        <v>1650000</v>
      </c>
      <c r="E7" s="54">
        <v>5000</v>
      </c>
      <c r="F7" s="40">
        <v>4</v>
      </c>
      <c r="G7" s="40">
        <v>9</v>
      </c>
      <c r="H7" s="54">
        <f t="shared" si="2"/>
        <v>2098000</v>
      </c>
      <c r="I7" s="54">
        <f t="shared" si="0"/>
        <v>524500</v>
      </c>
      <c r="J7" s="55">
        <f t="shared" si="1"/>
        <v>233111.11111111112</v>
      </c>
    </row>
    <row r="8" spans="1:14" x14ac:dyDescent="0.25">
      <c r="A8" t="s">
        <v>126</v>
      </c>
      <c r="B8" s="40" t="s">
        <v>129</v>
      </c>
      <c r="C8" s="54">
        <v>2406000</v>
      </c>
      <c r="D8" s="54"/>
      <c r="E8" s="54"/>
      <c r="F8" s="40"/>
      <c r="G8" s="40"/>
      <c r="H8" s="54"/>
      <c r="I8" s="54"/>
      <c r="J8" s="55"/>
    </row>
    <row r="9" spans="1:14" x14ac:dyDescent="0.25">
      <c r="A9" t="s">
        <v>4</v>
      </c>
      <c r="B9" s="40" t="s">
        <v>129</v>
      </c>
      <c r="C9" s="54">
        <v>2505000</v>
      </c>
      <c r="D9" s="54"/>
      <c r="E9" s="54"/>
      <c r="F9" s="40"/>
      <c r="G9" s="40"/>
      <c r="H9" s="54"/>
      <c r="I9" s="54"/>
      <c r="J9" s="55"/>
    </row>
    <row r="10" spans="1:14" x14ac:dyDescent="0.25">
      <c r="B10" s="40"/>
      <c r="C10" s="54"/>
      <c r="D10" s="54"/>
      <c r="E10" s="54"/>
      <c r="F10" s="40"/>
      <c r="G10" s="40"/>
      <c r="H10" s="54"/>
      <c r="I10" s="54"/>
      <c r="J10" s="55"/>
    </row>
    <row r="11" spans="1:14" x14ac:dyDescent="0.25">
      <c r="B11" s="40"/>
      <c r="C11" s="54"/>
      <c r="D11" s="54"/>
      <c r="E11" s="54"/>
      <c r="F11" s="40"/>
      <c r="G11" s="40"/>
      <c r="H11" s="54"/>
      <c r="I11" s="54"/>
      <c r="J11" s="55"/>
    </row>
    <row r="12" spans="1:14" x14ac:dyDescent="0.25">
      <c r="B12" s="40"/>
      <c r="C12" s="54"/>
      <c r="D12" s="54"/>
      <c r="E12" s="54"/>
      <c r="F12" s="40"/>
      <c r="G12" s="40"/>
      <c r="H12" s="54"/>
      <c r="I12" s="54"/>
      <c r="J12" s="55"/>
    </row>
    <row r="13" spans="1:14" x14ac:dyDescent="0.25">
      <c r="B13" s="40"/>
      <c r="C13" s="54"/>
      <c r="D13" s="54"/>
      <c r="E13" s="54"/>
      <c r="F13" s="40"/>
      <c r="G13" s="40"/>
      <c r="H13" s="54"/>
      <c r="I13" s="54"/>
      <c r="J13" s="55"/>
    </row>
    <row r="14" spans="1:14" x14ac:dyDescent="0.25">
      <c r="F14" s="40"/>
      <c r="G14" s="54"/>
      <c r="H14" s="54"/>
      <c r="I14" s="54"/>
      <c r="J14" s="40"/>
      <c r="K14" s="40"/>
      <c r="L14" s="54"/>
      <c r="M14" s="54"/>
      <c r="N14" s="55"/>
    </row>
    <row r="15" spans="1:14" x14ac:dyDescent="0.25">
      <c r="A15" s="38" t="s">
        <v>133</v>
      </c>
      <c r="F15" s="40"/>
      <c r="G15" s="54"/>
      <c r="H15" s="54"/>
      <c r="I15" s="54"/>
      <c r="J15" s="40"/>
      <c r="K15" s="40"/>
      <c r="L15" s="54"/>
      <c r="M15" s="54"/>
      <c r="N15" s="55"/>
    </row>
    <row r="16" spans="1:14" x14ac:dyDescent="0.25">
      <c r="A16" s="1" t="s">
        <v>134</v>
      </c>
      <c r="F16" s="40"/>
      <c r="G16" s="54"/>
      <c r="H16" s="54"/>
      <c r="I16" s="54"/>
      <c r="J16" s="40"/>
      <c r="K16" s="40"/>
      <c r="L16" s="54"/>
      <c r="M16" s="54"/>
      <c r="N16" s="55"/>
    </row>
    <row r="17" spans="1:14" x14ac:dyDescent="0.25">
      <c r="A17" s="1" t="s">
        <v>135</v>
      </c>
      <c r="F17" s="40"/>
      <c r="G17" s="54"/>
      <c r="H17" s="54"/>
      <c r="I17" s="54"/>
      <c r="J17" s="40"/>
      <c r="K17" s="40"/>
      <c r="L17" s="54"/>
      <c r="M17" s="54"/>
      <c r="N17" s="55"/>
    </row>
    <row r="18" spans="1:14" x14ac:dyDescent="0.25">
      <c r="A18" s="1" t="s">
        <v>136</v>
      </c>
      <c r="F18" s="40"/>
      <c r="G18" s="54"/>
      <c r="H18" s="54"/>
      <c r="I18" s="54"/>
      <c r="J18" s="40"/>
      <c r="K18" s="40"/>
      <c r="L18" s="54"/>
      <c r="M18" s="54"/>
      <c r="N18" s="55"/>
    </row>
    <row r="19" spans="1:14" x14ac:dyDescent="0.25">
      <c r="A19" s="1" t="s">
        <v>137</v>
      </c>
      <c r="F19" s="40"/>
      <c r="G19" s="54"/>
      <c r="H19" s="54"/>
      <c r="I19" s="54"/>
      <c r="J19" s="40"/>
      <c r="K19" s="40"/>
      <c r="L19" s="54"/>
      <c r="M19" s="54"/>
      <c r="N19" s="55"/>
    </row>
    <row r="20" spans="1:14" x14ac:dyDescent="0.25">
      <c r="F20" s="40"/>
      <c r="G20" s="54"/>
      <c r="H20" s="54"/>
      <c r="I20" s="54"/>
      <c r="J20" s="40"/>
      <c r="K20" s="40"/>
      <c r="L20" s="54"/>
      <c r="M20" s="54"/>
      <c r="N20" s="55"/>
    </row>
    <row r="21" spans="1:14" x14ac:dyDescent="0.25">
      <c r="A21" s="1" t="s">
        <v>138</v>
      </c>
      <c r="F21" s="40"/>
      <c r="G21" s="54"/>
      <c r="H21" s="54"/>
      <c r="I21" s="54"/>
      <c r="J21" s="40"/>
      <c r="K21" s="40"/>
      <c r="L21" s="54"/>
      <c r="M21" s="54"/>
      <c r="N21" s="55"/>
    </row>
    <row r="22" spans="1:14" x14ac:dyDescent="0.25">
      <c r="A22" s="1" t="s">
        <v>139</v>
      </c>
      <c r="F22" s="40"/>
      <c r="G22" s="54"/>
      <c r="H22" s="54"/>
      <c r="I22" s="54"/>
      <c r="J22" s="40"/>
      <c r="K22" s="40"/>
      <c r="L22" s="54"/>
      <c r="M22" s="54"/>
      <c r="N22" s="55"/>
    </row>
    <row r="23" spans="1:14" x14ac:dyDescent="0.25">
      <c r="A23" s="1" t="s">
        <v>140</v>
      </c>
      <c r="F23" s="40"/>
      <c r="G23" s="54"/>
      <c r="H23" s="54"/>
      <c r="I23" s="54"/>
      <c r="J23" s="40"/>
      <c r="K23" s="40"/>
      <c r="L23" s="54"/>
      <c r="M23" s="54"/>
      <c r="N23" s="55"/>
    </row>
    <row r="24" spans="1:14" x14ac:dyDescent="0.25">
      <c r="A24" s="1" t="s">
        <v>141</v>
      </c>
      <c r="F24" s="40"/>
      <c r="G24" s="54"/>
      <c r="H24" s="54"/>
      <c r="I24" s="54"/>
      <c r="J24" s="40"/>
      <c r="K24" s="40"/>
      <c r="L24" s="54"/>
      <c r="M24" s="54"/>
      <c r="N24" s="55"/>
    </row>
    <row r="25" spans="1:14" x14ac:dyDescent="0.25">
      <c r="A25" s="1"/>
      <c r="F25" s="40"/>
      <c r="G25" s="54"/>
      <c r="H25" s="54"/>
      <c r="I25" s="54"/>
      <c r="J25" s="40"/>
      <c r="K25" s="40"/>
      <c r="L25" s="54"/>
      <c r="M25" s="54"/>
      <c r="N25" s="55"/>
    </row>
    <row r="26" spans="1:14" x14ac:dyDescent="0.25">
      <c r="A26" s="1" t="s">
        <v>142</v>
      </c>
      <c r="F26" s="40"/>
      <c r="G26" s="54"/>
      <c r="H26" s="54"/>
      <c r="I26" s="54"/>
      <c r="J26" s="40"/>
      <c r="K26" s="40"/>
      <c r="L26" s="54"/>
      <c r="M26" s="54"/>
      <c r="N26" s="55"/>
    </row>
    <row r="27" spans="1:14" x14ac:dyDescent="0.25">
      <c r="A27" s="1" t="s">
        <v>143</v>
      </c>
      <c r="F27" s="40"/>
      <c r="G27" s="54"/>
      <c r="H27" s="54"/>
      <c r="I27" s="54"/>
      <c r="J27" s="40"/>
      <c r="K27" s="40"/>
      <c r="L27" s="54"/>
      <c r="M27" s="54"/>
      <c r="N27" s="55"/>
    </row>
    <row r="28" spans="1:14" x14ac:dyDescent="0.25">
      <c r="A28" s="1" t="s">
        <v>144</v>
      </c>
      <c r="F28" s="40"/>
      <c r="G28" s="54"/>
      <c r="H28" s="54"/>
      <c r="I28" s="54"/>
      <c r="J28" s="40"/>
      <c r="K28" s="40"/>
      <c r="L28" s="54"/>
      <c r="M28" s="54"/>
      <c r="N28" s="55"/>
    </row>
    <row r="29" spans="1:14" x14ac:dyDescent="0.25">
      <c r="F29" s="40"/>
      <c r="G29" s="54"/>
      <c r="H29" s="54"/>
      <c r="I29" s="54"/>
      <c r="J29" s="40"/>
      <c r="K29" s="40"/>
      <c r="L29" s="54"/>
      <c r="M29" s="54"/>
      <c r="N29" s="55"/>
    </row>
    <row r="30" spans="1:14" x14ac:dyDescent="0.25">
      <c r="A30" s="1" t="s">
        <v>145</v>
      </c>
      <c r="F30" s="40"/>
      <c r="G30" s="54"/>
      <c r="H30" s="54"/>
      <c r="I30" s="54"/>
      <c r="J30" s="40"/>
      <c r="K30" s="40"/>
      <c r="L30" s="54"/>
      <c r="M30" s="54"/>
      <c r="N30" s="55"/>
    </row>
    <row r="31" spans="1:14" x14ac:dyDescent="0.25">
      <c r="A31" s="1" t="s">
        <v>146</v>
      </c>
      <c r="F31" s="40"/>
      <c r="G31" s="54"/>
      <c r="H31" s="54"/>
      <c r="I31" s="54"/>
      <c r="J31" s="40"/>
      <c r="K31" s="40"/>
      <c r="L31" s="54"/>
      <c r="M31" s="54"/>
      <c r="N31" s="55"/>
    </row>
    <row r="32" spans="1:14" x14ac:dyDescent="0.25">
      <c r="F32" s="38"/>
      <c r="G32" t="s">
        <v>147</v>
      </c>
      <c r="H32" t="s">
        <v>148</v>
      </c>
    </row>
    <row r="33" spans="1:10" x14ac:dyDescent="0.25">
      <c r="F33" s="56" t="s">
        <v>149</v>
      </c>
      <c r="G33" s="57"/>
      <c r="H33" s="54"/>
      <c r="I33" s="58">
        <v>400000</v>
      </c>
      <c r="J33" s="55"/>
    </row>
    <row r="34" spans="1:10" x14ac:dyDescent="0.25">
      <c r="F34" s="59" t="s">
        <v>150</v>
      </c>
      <c r="G34" s="60"/>
      <c r="H34" s="54">
        <v>4800000</v>
      </c>
      <c r="I34" s="61"/>
      <c r="J34" s="55"/>
    </row>
    <row r="35" spans="1:10" ht="19.5" x14ac:dyDescent="0.25">
      <c r="A35" s="237" t="s">
        <v>151</v>
      </c>
      <c r="B35" s="237"/>
      <c r="C35" s="237"/>
      <c r="D35" s="237"/>
      <c r="F35" s="56" t="s">
        <v>152</v>
      </c>
      <c r="G35" s="57"/>
      <c r="H35" s="54">
        <v>4210500</v>
      </c>
      <c r="I35" s="61"/>
      <c r="J35" s="55"/>
    </row>
    <row r="36" spans="1:10" x14ac:dyDescent="0.25">
      <c r="A36" s="238" t="s">
        <v>116</v>
      </c>
      <c r="B36" s="238" t="s">
        <v>153</v>
      </c>
      <c r="C36" s="238" t="s">
        <v>149</v>
      </c>
      <c r="D36" s="238" t="s">
        <v>150</v>
      </c>
      <c r="F36" s="59" t="s">
        <v>154</v>
      </c>
      <c r="G36" s="60"/>
      <c r="H36" s="54">
        <v>3750000</v>
      </c>
      <c r="I36" s="61"/>
      <c r="J36" s="55"/>
    </row>
    <row r="37" spans="1:10" x14ac:dyDescent="0.25">
      <c r="A37" s="238"/>
      <c r="B37" s="238"/>
      <c r="C37" s="238"/>
      <c r="D37" s="238"/>
      <c r="F37" s="56" t="s">
        <v>155</v>
      </c>
      <c r="G37" s="57"/>
      <c r="H37" s="54">
        <v>3356600</v>
      </c>
      <c r="I37" s="61"/>
      <c r="J37" s="55"/>
    </row>
    <row r="38" spans="1:10" x14ac:dyDescent="0.25">
      <c r="A38" s="62" t="s">
        <v>153</v>
      </c>
      <c r="B38" s="63" t="s">
        <v>156</v>
      </c>
      <c r="C38" s="63" t="s">
        <v>157</v>
      </c>
      <c r="D38" s="63" t="s">
        <v>157</v>
      </c>
      <c r="F38" s="59" t="s">
        <v>158</v>
      </c>
      <c r="G38" s="64">
        <f>I40-H38</f>
        <v>-62800</v>
      </c>
      <c r="H38" s="54">
        <v>3057300</v>
      </c>
      <c r="I38" s="61">
        <f>H38+G38</f>
        <v>2994500</v>
      </c>
      <c r="J38" s="55"/>
    </row>
    <row r="39" spans="1:10" x14ac:dyDescent="0.25">
      <c r="A39" s="65" t="s">
        <v>149</v>
      </c>
      <c r="B39" s="66" t="s">
        <v>159</v>
      </c>
      <c r="C39" s="66" t="s">
        <v>160</v>
      </c>
      <c r="D39" s="66" t="s">
        <v>157</v>
      </c>
      <c r="F39" s="56" t="s">
        <v>161</v>
      </c>
      <c r="G39" s="67">
        <f>I40-H39</f>
        <v>187500</v>
      </c>
      <c r="H39" s="54">
        <v>2807000</v>
      </c>
      <c r="I39" s="61">
        <f>H39+G39</f>
        <v>2994500</v>
      </c>
      <c r="J39" s="55"/>
    </row>
    <row r="40" spans="1:10" x14ac:dyDescent="0.25">
      <c r="A40" s="62" t="s">
        <v>150</v>
      </c>
      <c r="B40" s="63" t="s">
        <v>162</v>
      </c>
      <c r="C40" s="63" t="s">
        <v>163</v>
      </c>
      <c r="D40" s="63" t="s">
        <v>164</v>
      </c>
      <c r="F40" s="59" t="s">
        <v>165</v>
      </c>
      <c r="G40" s="68">
        <v>400000</v>
      </c>
      <c r="H40" s="54">
        <v>2594500</v>
      </c>
      <c r="I40" s="61">
        <f>H40+G40</f>
        <v>2994500</v>
      </c>
      <c r="J40" s="55"/>
    </row>
    <row r="41" spans="1:10" x14ac:dyDescent="0.25">
      <c r="A41" s="65" t="s">
        <v>152</v>
      </c>
      <c r="B41" s="66" t="s">
        <v>166</v>
      </c>
      <c r="C41" s="66" t="s">
        <v>167</v>
      </c>
      <c r="D41" s="66" t="s">
        <v>168</v>
      </c>
      <c r="F41" s="56" t="s">
        <v>169</v>
      </c>
      <c r="G41" s="68">
        <v>594500</v>
      </c>
      <c r="H41" s="54">
        <v>2400000</v>
      </c>
      <c r="I41" s="61">
        <f t="shared" ref="I41:I43" si="3">H41+G41</f>
        <v>2994500</v>
      </c>
      <c r="J41" s="55"/>
    </row>
    <row r="42" spans="1:10" x14ac:dyDescent="0.25">
      <c r="A42" s="62" t="s">
        <v>154</v>
      </c>
      <c r="B42" s="63" t="s">
        <v>170</v>
      </c>
      <c r="C42" s="63" t="s">
        <v>171</v>
      </c>
      <c r="D42" s="63" t="s">
        <v>172</v>
      </c>
      <c r="F42" s="59" t="s">
        <v>173</v>
      </c>
      <c r="G42" s="68">
        <v>752210</v>
      </c>
      <c r="H42" s="54">
        <v>2242290</v>
      </c>
      <c r="I42" s="61">
        <f t="shared" si="3"/>
        <v>2994500</v>
      </c>
      <c r="J42" s="55"/>
    </row>
    <row r="43" spans="1:10" x14ac:dyDescent="0.25">
      <c r="A43" s="65" t="s">
        <v>155</v>
      </c>
      <c r="B43" s="66" t="s">
        <v>174</v>
      </c>
      <c r="C43" s="66" t="s">
        <v>175</v>
      </c>
      <c r="D43" s="66" t="s">
        <v>176</v>
      </c>
      <c r="F43" s="56" t="s">
        <v>177</v>
      </c>
      <c r="G43" s="68">
        <v>889300</v>
      </c>
      <c r="H43" s="54">
        <v>2105200</v>
      </c>
      <c r="I43" s="61">
        <f t="shared" si="3"/>
        <v>2994500</v>
      </c>
      <c r="J43" s="55"/>
    </row>
    <row r="44" spans="1:10" x14ac:dyDescent="0.25">
      <c r="A44" s="62" t="s">
        <v>158</v>
      </c>
      <c r="B44" s="63" t="s">
        <v>178</v>
      </c>
      <c r="C44" s="63" t="s">
        <v>179</v>
      </c>
      <c r="D44" s="63" t="s">
        <v>180</v>
      </c>
    </row>
    <row r="45" spans="1:10" x14ac:dyDescent="0.25">
      <c r="A45" s="65" t="s">
        <v>161</v>
      </c>
      <c r="B45" s="66" t="s">
        <v>181</v>
      </c>
      <c r="C45" s="66" t="s">
        <v>182</v>
      </c>
      <c r="D45" s="66" t="s">
        <v>183</v>
      </c>
    </row>
    <row r="46" spans="1:10" x14ac:dyDescent="0.25">
      <c r="A46" s="62" t="s">
        <v>165</v>
      </c>
      <c r="B46" s="63" t="s">
        <v>184</v>
      </c>
      <c r="C46" s="63" t="s">
        <v>185</v>
      </c>
      <c r="D46" s="63" t="s">
        <v>186</v>
      </c>
    </row>
    <row r="47" spans="1:10" x14ac:dyDescent="0.25">
      <c r="A47" s="65" t="s">
        <v>169</v>
      </c>
      <c r="B47" s="66" t="s">
        <v>187</v>
      </c>
      <c r="C47" s="66" t="s">
        <v>188</v>
      </c>
      <c r="D47" s="66" t="s">
        <v>189</v>
      </c>
    </row>
    <row r="48" spans="1:10" x14ac:dyDescent="0.25">
      <c r="A48" s="62" t="s">
        <v>173</v>
      </c>
      <c r="B48" s="63" t="s">
        <v>190</v>
      </c>
      <c r="C48" s="63" t="s">
        <v>191</v>
      </c>
      <c r="D48" s="63" t="s">
        <v>192</v>
      </c>
    </row>
    <row r="49" spans="1:4" x14ac:dyDescent="0.25">
      <c r="A49" s="65" t="s">
        <v>177</v>
      </c>
      <c r="B49" s="66" t="s">
        <v>193</v>
      </c>
      <c r="C49" s="66" t="s">
        <v>194</v>
      </c>
      <c r="D49" s="66" t="s">
        <v>195</v>
      </c>
    </row>
    <row r="50" spans="1:4" x14ac:dyDescent="0.25">
      <c r="A50" s="62" t="s">
        <v>196</v>
      </c>
      <c r="B50" s="63" t="s">
        <v>197</v>
      </c>
      <c r="C50" s="63" t="s">
        <v>198</v>
      </c>
      <c r="D50" s="63" t="s">
        <v>199</v>
      </c>
    </row>
    <row r="51" spans="1:4" x14ac:dyDescent="0.25">
      <c r="A51" s="65" t="s">
        <v>200</v>
      </c>
      <c r="B51" s="66" t="s">
        <v>201</v>
      </c>
      <c r="C51" s="66" t="s">
        <v>202</v>
      </c>
      <c r="D51" s="66" t="s">
        <v>203</v>
      </c>
    </row>
    <row r="52" spans="1:4" x14ac:dyDescent="0.25">
      <c r="A52" s="62" t="s">
        <v>204</v>
      </c>
      <c r="B52" s="63" t="s">
        <v>205</v>
      </c>
      <c r="C52" s="63" t="s">
        <v>206</v>
      </c>
      <c r="D52" s="63" t="s">
        <v>207</v>
      </c>
    </row>
  </sheetData>
  <mergeCells count="5">
    <mergeCell ref="A35:D35"/>
    <mergeCell ref="A36:A37"/>
    <mergeCell ref="B36:B37"/>
    <mergeCell ref="C36:C37"/>
    <mergeCell ref="D36:D37"/>
  </mergeCells>
  <pageMargins left="0.7" right="0.7" top="0.75" bottom="0.75" header="0.3" footer="0.3"/>
  <pageSetup paperSize="9"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FAF9-E8CD-406B-8012-87809236FB29}">
  <sheetPr>
    <tabColor rgb="FFFFFF00"/>
  </sheetPr>
  <dimension ref="A1:R21"/>
  <sheetViews>
    <sheetView workbookViewId="0">
      <selection activeCell="D22" sqref="D22"/>
    </sheetView>
  </sheetViews>
  <sheetFormatPr baseColWidth="10" defaultRowHeight="15" x14ac:dyDescent="0.25"/>
  <sheetData>
    <row r="1" spans="1:18" ht="15.75" x14ac:dyDescent="0.25">
      <c r="A1" s="205" t="s">
        <v>1082</v>
      </c>
      <c r="K1" s="203" t="s">
        <v>1083</v>
      </c>
    </row>
    <row r="2" spans="1:18" x14ac:dyDescent="0.25">
      <c r="A2" s="218"/>
      <c r="K2" s="218"/>
    </row>
    <row r="3" spans="1:18" x14ac:dyDescent="0.25">
      <c r="A3" s="218"/>
      <c r="K3" s="218"/>
    </row>
    <row r="16" spans="1:18" x14ac:dyDescent="0.25">
      <c r="G16" s="38" t="s">
        <v>1084</v>
      </c>
      <c r="H16" s="38" t="s">
        <v>1085</v>
      </c>
      <c r="Q16" s="38" t="s">
        <v>1084</v>
      </c>
      <c r="R16" s="38" t="s">
        <v>1085</v>
      </c>
    </row>
    <row r="17" spans="1:18" x14ac:dyDescent="0.25">
      <c r="A17" t="s">
        <v>1086</v>
      </c>
      <c r="B17">
        <v>315.39999999999998</v>
      </c>
      <c r="C17">
        <v>319.89999999999998</v>
      </c>
      <c r="D17">
        <v>40755</v>
      </c>
      <c r="E17">
        <v>9315.7000000000007</v>
      </c>
      <c r="F17">
        <v>8668.9</v>
      </c>
      <c r="G17" s="219">
        <f>1/B17+1/C17</f>
        <v>6.2965539127933729E-3</v>
      </c>
      <c r="H17" s="219">
        <f>1/F17+1/D17+1/E17</f>
        <v>2.4723741973102541E-4</v>
      </c>
      <c r="I17" s="73"/>
      <c r="J17" s="73"/>
      <c r="K17" s="73" t="s">
        <v>1087</v>
      </c>
      <c r="L17">
        <v>92</v>
      </c>
      <c r="M17">
        <v>17</v>
      </c>
      <c r="N17">
        <v>3727</v>
      </c>
      <c r="O17">
        <v>227</v>
      </c>
      <c r="P17">
        <v>3899</v>
      </c>
      <c r="Q17" s="219">
        <f>1/L17+1/M17</f>
        <v>6.9693094629156016E-2</v>
      </c>
      <c r="R17" s="219">
        <f>1/P17+1/N17+1/O17</f>
        <v>4.9300746786397958E-3</v>
      </c>
    </row>
    <row r="18" spans="1:18" x14ac:dyDescent="0.25">
      <c r="A18" t="s">
        <v>1088</v>
      </c>
      <c r="B18">
        <v>60.4</v>
      </c>
      <c r="C18">
        <v>78.099999999999994</v>
      </c>
      <c r="D18">
        <v>3663.1</v>
      </c>
      <c r="E18">
        <v>2641.4</v>
      </c>
      <c r="F18">
        <v>1166.9000000000001</v>
      </c>
      <c r="G18" s="219">
        <f t="shared" ref="G18:G21" si="0">1/B18+1/C18</f>
        <v>2.9360388701868044E-2</v>
      </c>
      <c r="H18" s="219">
        <f t="shared" ref="H18:H21" si="1">1/F18+1/D18+1/E18</f>
        <v>1.5085513960337905E-3</v>
      </c>
      <c r="I18" s="73"/>
      <c r="J18" s="73"/>
      <c r="K18" s="73" t="s">
        <v>1089</v>
      </c>
      <c r="L18">
        <v>79</v>
      </c>
      <c r="M18">
        <v>333</v>
      </c>
      <c r="N18">
        <v>14360</v>
      </c>
      <c r="O18">
        <v>9526</v>
      </c>
      <c r="P18">
        <v>1543</v>
      </c>
      <c r="Q18" s="219">
        <f t="shared" ref="Q18:Q21" si="2">1/L18+1/M18</f>
        <v>1.5661230851104269E-2</v>
      </c>
      <c r="R18" s="219">
        <f t="shared" ref="R18:R21" si="3">1/P18+1/N18+1/O18</f>
        <v>8.2270187854861755E-4</v>
      </c>
    </row>
    <row r="19" spans="1:18" x14ac:dyDescent="0.25">
      <c r="A19" t="s">
        <v>1090</v>
      </c>
      <c r="B19">
        <v>24.4</v>
      </c>
      <c r="C19">
        <v>1988.3</v>
      </c>
      <c r="D19">
        <v>646.20000000000005</v>
      </c>
      <c r="E19">
        <v>1247.7</v>
      </c>
      <c r="F19">
        <v>464.6</v>
      </c>
      <c r="G19" s="219">
        <f t="shared" si="0"/>
        <v>4.14865487693169E-2</v>
      </c>
      <c r="H19" s="219">
        <f t="shared" si="1"/>
        <v>4.5013723767282753E-3</v>
      </c>
      <c r="I19" s="73"/>
      <c r="J19" s="73"/>
      <c r="K19" s="73" t="s">
        <v>1091</v>
      </c>
      <c r="L19">
        <v>77</v>
      </c>
      <c r="M19">
        <v>89</v>
      </c>
      <c r="N19">
        <v>24647</v>
      </c>
      <c r="O19">
        <v>2776</v>
      </c>
      <c r="P19">
        <v>1531</v>
      </c>
      <c r="Q19" s="219">
        <f t="shared" si="2"/>
        <v>2.4222968043192763E-2</v>
      </c>
      <c r="R19" s="219">
        <f t="shared" si="3"/>
        <v>1.0539713008869561E-3</v>
      </c>
    </row>
    <row r="20" spans="1:18" x14ac:dyDescent="0.25">
      <c r="A20" t="s">
        <v>1092</v>
      </c>
      <c r="B20">
        <v>13.2</v>
      </c>
      <c r="C20">
        <v>49.9</v>
      </c>
      <c r="D20">
        <v>213.2</v>
      </c>
      <c r="E20">
        <v>747.2</v>
      </c>
      <c r="F20">
        <v>249.1</v>
      </c>
      <c r="G20" s="219">
        <f t="shared" si="0"/>
        <v>9.5797655917896407E-2</v>
      </c>
      <c r="H20" s="219">
        <f t="shared" si="1"/>
        <v>1.0043213311452047E-2</v>
      </c>
      <c r="I20" s="73"/>
      <c r="J20" s="73"/>
      <c r="K20" s="73" t="s">
        <v>1093</v>
      </c>
      <c r="L20">
        <v>82</v>
      </c>
      <c r="M20">
        <v>57</v>
      </c>
      <c r="N20">
        <v>1265</v>
      </c>
      <c r="O20">
        <v>1380</v>
      </c>
      <c r="P20">
        <v>1452</v>
      </c>
      <c r="Q20" s="219">
        <f t="shared" si="2"/>
        <v>2.9738981600342319E-2</v>
      </c>
      <c r="R20" s="219">
        <f t="shared" si="3"/>
        <v>2.203856749311295E-3</v>
      </c>
    </row>
    <row r="21" spans="1:18" x14ac:dyDescent="0.25">
      <c r="A21" t="s">
        <v>1094</v>
      </c>
      <c r="B21">
        <v>8.6</v>
      </c>
      <c r="C21">
        <v>48.2</v>
      </c>
      <c r="D21">
        <v>105.1</v>
      </c>
      <c r="E21">
        <v>608.5</v>
      </c>
      <c r="F21">
        <v>161</v>
      </c>
      <c r="G21" s="219">
        <f t="shared" si="0"/>
        <v>0.13702595773424683</v>
      </c>
      <c r="H21" s="219">
        <f t="shared" si="1"/>
        <v>1.7369313357275505E-2</v>
      </c>
      <c r="I21" s="73"/>
      <c r="J21" s="73"/>
      <c r="K21" s="73" t="s">
        <v>1095</v>
      </c>
      <c r="L21">
        <v>92</v>
      </c>
      <c r="M21">
        <v>1989</v>
      </c>
      <c r="N21">
        <v>1383</v>
      </c>
      <c r="O21">
        <v>652</v>
      </c>
      <c r="P21">
        <v>2286</v>
      </c>
      <c r="Q21" s="219">
        <f t="shared" si="2"/>
        <v>1.1372330426038866E-2</v>
      </c>
      <c r="R21" s="219">
        <f t="shared" si="3"/>
        <v>2.6942534496111345E-3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67A0-0BA2-478F-BBAB-B928C05A8F5B}">
  <sheetPr>
    <tabColor theme="1"/>
  </sheetPr>
  <dimension ref="A1:A33"/>
  <sheetViews>
    <sheetView workbookViewId="0">
      <selection activeCell="G22" sqref="G22"/>
    </sheetView>
  </sheetViews>
  <sheetFormatPr baseColWidth="10" defaultRowHeight="15" x14ac:dyDescent="0.25"/>
  <sheetData>
    <row r="1" spans="1:1" x14ac:dyDescent="0.25">
      <c r="A1" s="1" t="s">
        <v>1096</v>
      </c>
    </row>
    <row r="2" spans="1:1" x14ac:dyDescent="0.25">
      <c r="A2" s="1" t="s">
        <v>1097</v>
      </c>
    </row>
    <row r="3" spans="1:1" x14ac:dyDescent="0.25">
      <c r="A3" s="1" t="s">
        <v>1098</v>
      </c>
    </row>
    <row r="4" spans="1:1" x14ac:dyDescent="0.25">
      <c r="A4" s="1" t="s">
        <v>1099</v>
      </c>
    </row>
    <row r="5" spans="1:1" x14ac:dyDescent="0.25">
      <c r="A5" s="1" t="s">
        <v>1100</v>
      </c>
    </row>
    <row r="6" spans="1:1" x14ac:dyDescent="0.25">
      <c r="A6" s="1" t="s">
        <v>1101</v>
      </c>
    </row>
    <row r="7" spans="1:1" x14ac:dyDescent="0.25">
      <c r="A7" s="1" t="s">
        <v>1102</v>
      </c>
    </row>
    <row r="8" spans="1:1" x14ac:dyDescent="0.25">
      <c r="A8" s="1" t="s">
        <v>1103</v>
      </c>
    </row>
    <row r="10" spans="1:1" x14ac:dyDescent="0.25">
      <c r="A10" s="1" t="s">
        <v>1104</v>
      </c>
    </row>
    <row r="11" spans="1:1" x14ac:dyDescent="0.25">
      <c r="A11" s="1" t="s">
        <v>1105</v>
      </c>
    </row>
    <row r="12" spans="1:1" x14ac:dyDescent="0.25">
      <c r="A12" s="1" t="s">
        <v>1106</v>
      </c>
    </row>
    <row r="13" spans="1:1" x14ac:dyDescent="0.25">
      <c r="A13" s="1" t="s">
        <v>1107</v>
      </c>
    </row>
    <row r="14" spans="1:1" x14ac:dyDescent="0.25">
      <c r="A14" s="1" t="s">
        <v>1108</v>
      </c>
    </row>
    <row r="15" spans="1:1" x14ac:dyDescent="0.25">
      <c r="A15" s="1" t="s">
        <v>1109</v>
      </c>
    </row>
    <row r="16" spans="1:1" x14ac:dyDescent="0.25">
      <c r="A16" s="1" t="s">
        <v>1110</v>
      </c>
    </row>
    <row r="17" spans="1:1" x14ac:dyDescent="0.25">
      <c r="A17" s="1" t="s">
        <v>1111</v>
      </c>
    </row>
    <row r="18" spans="1:1" x14ac:dyDescent="0.25">
      <c r="A18" s="1" t="s">
        <v>1112</v>
      </c>
    </row>
    <row r="19" spans="1:1" x14ac:dyDescent="0.25">
      <c r="A19" s="1" t="s">
        <v>1113</v>
      </c>
    </row>
    <row r="20" spans="1:1" x14ac:dyDescent="0.25">
      <c r="A20" s="1" t="s">
        <v>1114</v>
      </c>
    </row>
    <row r="21" spans="1:1" x14ac:dyDescent="0.25">
      <c r="A21" s="1" t="s">
        <v>1115</v>
      </c>
    </row>
    <row r="22" spans="1:1" x14ac:dyDescent="0.25">
      <c r="A22" s="1" t="s">
        <v>1116</v>
      </c>
    </row>
    <row r="23" spans="1:1" x14ac:dyDescent="0.25">
      <c r="A23" s="1" t="s">
        <v>1117</v>
      </c>
    </row>
    <row r="24" spans="1:1" x14ac:dyDescent="0.25">
      <c r="A24" s="1" t="s">
        <v>1118</v>
      </c>
    </row>
    <row r="25" spans="1:1" x14ac:dyDescent="0.25">
      <c r="A25" s="1" t="s">
        <v>1119</v>
      </c>
    </row>
    <row r="26" spans="1:1" x14ac:dyDescent="0.25">
      <c r="A26" s="1" t="s">
        <v>1120</v>
      </c>
    </row>
    <row r="27" spans="1:1" x14ac:dyDescent="0.25">
      <c r="A27" s="1" t="s">
        <v>1121</v>
      </c>
    </row>
    <row r="28" spans="1:1" x14ac:dyDescent="0.25">
      <c r="A28" s="1" t="s">
        <v>1122</v>
      </c>
    </row>
    <row r="29" spans="1:1" x14ac:dyDescent="0.25">
      <c r="A29" s="1" t="s">
        <v>1123</v>
      </c>
    </row>
    <row r="30" spans="1:1" x14ac:dyDescent="0.25">
      <c r="A30" s="1" t="s">
        <v>1124</v>
      </c>
    </row>
    <row r="31" spans="1:1" x14ac:dyDescent="0.25">
      <c r="A31" s="1" t="s">
        <v>1125</v>
      </c>
    </row>
    <row r="32" spans="1:1" x14ac:dyDescent="0.25">
      <c r="A32" s="1" t="s">
        <v>1126</v>
      </c>
    </row>
    <row r="33" spans="1:1" x14ac:dyDescent="0.25">
      <c r="A33" s="1" t="s">
        <v>1127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E42D-20B3-461E-A0AB-0A41212747EC}">
  <dimension ref="A1:J30"/>
  <sheetViews>
    <sheetView workbookViewId="0">
      <selection activeCell="V8" sqref="V8"/>
    </sheetView>
  </sheetViews>
  <sheetFormatPr baseColWidth="10" defaultRowHeight="15" x14ac:dyDescent="0.25"/>
  <cols>
    <col min="1" max="1" width="52.140625" bestFit="1" customWidth="1"/>
    <col min="2" max="8" width="5.5703125" bestFit="1" customWidth="1"/>
    <col min="9" max="10" width="6.7109375" bestFit="1" customWidth="1"/>
  </cols>
  <sheetData>
    <row r="1" spans="1:10" x14ac:dyDescent="0.25">
      <c r="A1" t="s">
        <v>1128</v>
      </c>
    </row>
    <row r="2" spans="1:10" x14ac:dyDescent="0.25">
      <c r="A2" t="s">
        <v>1129</v>
      </c>
    </row>
    <row r="3" spans="1:10" ht="15.75" thickBot="1" x14ac:dyDescent="0.3"/>
    <row r="4" spans="1:10" x14ac:dyDescent="0.25">
      <c r="A4" s="243" t="s">
        <v>1130</v>
      </c>
      <c r="B4" s="243" t="s">
        <v>1131</v>
      </c>
      <c r="C4" s="243" t="s">
        <v>1132</v>
      </c>
      <c r="D4" s="243" t="s">
        <v>1133</v>
      </c>
      <c r="E4" s="245" t="s">
        <v>1134</v>
      </c>
      <c r="F4" s="243" t="s">
        <v>1135</v>
      </c>
      <c r="G4" s="243" t="s">
        <v>1136</v>
      </c>
      <c r="H4" s="243" t="s">
        <v>1137</v>
      </c>
      <c r="I4" s="243" t="s">
        <v>1138</v>
      </c>
      <c r="J4" s="245" t="s">
        <v>1139</v>
      </c>
    </row>
    <row r="5" spans="1:10" ht="15.75" thickBot="1" x14ac:dyDescent="0.3">
      <c r="A5" s="244"/>
      <c r="B5" s="244"/>
      <c r="C5" s="244"/>
      <c r="D5" s="244"/>
      <c r="E5" s="246"/>
      <c r="F5" s="244"/>
      <c r="G5" s="244"/>
      <c r="H5" s="244"/>
      <c r="I5" s="244"/>
      <c r="J5" s="246"/>
    </row>
    <row r="6" spans="1:10" x14ac:dyDescent="0.25">
      <c r="A6" s="243" t="s">
        <v>1140</v>
      </c>
      <c r="B6" s="241">
        <v>3563</v>
      </c>
      <c r="C6" s="241">
        <v>3583</v>
      </c>
      <c r="D6" s="241">
        <v>3689</v>
      </c>
      <c r="E6" s="239">
        <v>3712</v>
      </c>
      <c r="F6" s="241">
        <v>3656</v>
      </c>
      <c r="G6" s="241">
        <v>3751</v>
      </c>
      <c r="H6" s="241">
        <v>3693</v>
      </c>
      <c r="I6" s="241">
        <v>3676</v>
      </c>
      <c r="J6" s="239">
        <v>3638</v>
      </c>
    </row>
    <row r="7" spans="1:10" ht="15.75" thickBot="1" x14ac:dyDescent="0.3">
      <c r="A7" s="244"/>
      <c r="B7" s="242"/>
      <c r="C7" s="242"/>
      <c r="D7" s="242"/>
      <c r="E7" s="240"/>
      <c r="F7" s="242"/>
      <c r="G7" s="242"/>
      <c r="H7" s="242"/>
      <c r="I7" s="242"/>
      <c r="J7" s="240"/>
    </row>
    <row r="8" spans="1:10" x14ac:dyDescent="0.25">
      <c r="A8" s="243" t="s">
        <v>1141</v>
      </c>
      <c r="B8" s="241">
        <v>2957</v>
      </c>
      <c r="C8" s="241">
        <v>3253</v>
      </c>
      <c r="D8" s="241">
        <v>3342</v>
      </c>
      <c r="E8" s="239">
        <v>3325</v>
      </c>
      <c r="F8" s="241">
        <v>3461</v>
      </c>
      <c r="G8" s="241">
        <v>3392</v>
      </c>
      <c r="H8" s="241">
        <v>3455</v>
      </c>
      <c r="I8" s="241">
        <v>3369</v>
      </c>
      <c r="J8" s="239">
        <v>3372</v>
      </c>
    </row>
    <row r="9" spans="1:10" ht="15.75" thickBot="1" x14ac:dyDescent="0.3">
      <c r="A9" s="244"/>
      <c r="B9" s="242"/>
      <c r="C9" s="242"/>
      <c r="D9" s="242"/>
      <c r="E9" s="240"/>
      <c r="F9" s="242"/>
      <c r="G9" s="242"/>
      <c r="H9" s="242"/>
      <c r="I9" s="242"/>
      <c r="J9" s="240"/>
    </row>
    <row r="10" spans="1:10" x14ac:dyDescent="0.25">
      <c r="A10" s="243" t="s">
        <v>1142</v>
      </c>
      <c r="B10" s="241">
        <v>2354</v>
      </c>
      <c r="C10" s="241">
        <v>2997</v>
      </c>
      <c r="D10" s="241">
        <v>3041</v>
      </c>
      <c r="E10" s="239">
        <v>3085</v>
      </c>
      <c r="F10" s="241">
        <v>3118</v>
      </c>
      <c r="G10" s="241">
        <v>3100</v>
      </c>
      <c r="H10" s="241">
        <v>3130</v>
      </c>
      <c r="I10" s="241">
        <v>3102</v>
      </c>
      <c r="J10" s="239">
        <v>3098</v>
      </c>
    </row>
    <row r="11" spans="1:10" ht="15.75" thickBot="1" x14ac:dyDescent="0.3">
      <c r="A11" s="244"/>
      <c r="B11" s="242"/>
      <c r="C11" s="242"/>
      <c r="D11" s="242"/>
      <c r="E11" s="240"/>
      <c r="F11" s="242"/>
      <c r="G11" s="242"/>
      <c r="H11" s="242"/>
      <c r="I11" s="242"/>
      <c r="J11" s="240"/>
    </row>
    <row r="12" spans="1:10" x14ac:dyDescent="0.25">
      <c r="A12" s="243" t="s">
        <v>1143</v>
      </c>
      <c r="B12" s="241"/>
      <c r="C12" s="241">
        <v>2361</v>
      </c>
      <c r="D12" s="241">
        <v>2778</v>
      </c>
      <c r="E12" s="239">
        <v>2793</v>
      </c>
      <c r="F12" s="241">
        <v>2808</v>
      </c>
      <c r="G12" s="241">
        <v>2810</v>
      </c>
      <c r="H12" s="241">
        <v>2814</v>
      </c>
      <c r="I12" s="241">
        <v>2795</v>
      </c>
      <c r="J12" s="239">
        <v>2793</v>
      </c>
    </row>
    <row r="13" spans="1:10" ht="15.75" thickBot="1" x14ac:dyDescent="0.3">
      <c r="A13" s="244"/>
      <c r="B13" s="242"/>
      <c r="C13" s="242"/>
      <c r="D13" s="242"/>
      <c r="E13" s="240"/>
      <c r="F13" s="242"/>
      <c r="G13" s="242"/>
      <c r="H13" s="242"/>
      <c r="I13" s="242"/>
      <c r="J13" s="240"/>
    </row>
    <row r="14" spans="1:10" x14ac:dyDescent="0.25">
      <c r="A14" s="243" t="s">
        <v>1144</v>
      </c>
      <c r="B14" s="241"/>
      <c r="C14" s="241"/>
      <c r="D14" s="241">
        <v>2241</v>
      </c>
      <c r="E14" s="239">
        <v>2467</v>
      </c>
      <c r="F14" s="241">
        <v>2521</v>
      </c>
      <c r="G14" s="241">
        <v>2507</v>
      </c>
      <c r="H14" s="241">
        <v>2536</v>
      </c>
      <c r="I14" s="241">
        <v>2517</v>
      </c>
      <c r="J14" s="239">
        <v>2525</v>
      </c>
    </row>
    <row r="15" spans="1:10" ht="15.75" thickBot="1" x14ac:dyDescent="0.3">
      <c r="A15" s="244"/>
      <c r="B15" s="242"/>
      <c r="C15" s="242"/>
      <c r="D15" s="242"/>
      <c r="E15" s="240"/>
      <c r="F15" s="242"/>
      <c r="G15" s="242"/>
      <c r="H15" s="242"/>
      <c r="I15" s="242"/>
      <c r="J15" s="240"/>
    </row>
    <row r="16" spans="1:10" x14ac:dyDescent="0.25">
      <c r="A16" s="243" t="s">
        <v>1145</v>
      </c>
      <c r="B16" s="241"/>
      <c r="C16" s="241"/>
      <c r="D16" s="241"/>
      <c r="E16" s="239">
        <v>2113</v>
      </c>
      <c r="F16" s="241">
        <v>2226</v>
      </c>
      <c r="G16" s="241">
        <v>2202</v>
      </c>
      <c r="H16" s="241">
        <v>2232</v>
      </c>
      <c r="I16" s="241">
        <v>2235</v>
      </c>
      <c r="J16" s="239">
        <v>2227</v>
      </c>
    </row>
    <row r="17" spans="1:10" ht="15.75" thickBot="1" x14ac:dyDescent="0.3">
      <c r="A17" s="244"/>
      <c r="B17" s="242"/>
      <c r="C17" s="242"/>
      <c r="D17" s="242"/>
      <c r="E17" s="240"/>
      <c r="F17" s="242"/>
      <c r="G17" s="242"/>
      <c r="H17" s="242"/>
      <c r="I17" s="242"/>
      <c r="J17" s="240"/>
    </row>
    <row r="18" spans="1:10" x14ac:dyDescent="0.25">
      <c r="A18" s="243" t="s">
        <v>1146</v>
      </c>
      <c r="B18" s="241"/>
      <c r="C18" s="241"/>
      <c r="D18" s="241"/>
      <c r="E18" s="239"/>
      <c r="F18" s="241">
        <v>1537</v>
      </c>
      <c r="G18" s="241">
        <v>1762</v>
      </c>
      <c r="H18" s="241">
        <v>1905</v>
      </c>
      <c r="I18" s="241">
        <v>1879</v>
      </c>
      <c r="J18" s="239">
        <v>1893</v>
      </c>
    </row>
    <row r="19" spans="1:10" ht="15.75" thickBot="1" x14ac:dyDescent="0.3">
      <c r="A19" s="244"/>
      <c r="B19" s="242"/>
      <c r="C19" s="242"/>
      <c r="D19" s="242"/>
      <c r="E19" s="240"/>
      <c r="F19" s="242"/>
      <c r="G19" s="242"/>
      <c r="H19" s="242"/>
      <c r="I19" s="242"/>
      <c r="J19" s="240"/>
    </row>
    <row r="20" spans="1:10" x14ac:dyDescent="0.25">
      <c r="A20" s="243" t="s">
        <v>1147</v>
      </c>
      <c r="B20" s="241"/>
      <c r="C20" s="241"/>
      <c r="D20" s="241"/>
      <c r="E20" s="239"/>
      <c r="F20" s="241"/>
      <c r="G20" s="241">
        <v>1412</v>
      </c>
      <c r="H20" s="241">
        <v>1689</v>
      </c>
      <c r="I20" s="241">
        <v>1630</v>
      </c>
      <c r="J20" s="239">
        <v>1640</v>
      </c>
    </row>
    <row r="21" spans="1:10" ht="15.75" thickBot="1" x14ac:dyDescent="0.3">
      <c r="A21" s="244"/>
      <c r="B21" s="242"/>
      <c r="C21" s="242"/>
      <c r="D21" s="242"/>
      <c r="E21" s="240"/>
      <c r="F21" s="242"/>
      <c r="G21" s="242"/>
      <c r="H21" s="242"/>
      <c r="I21" s="242"/>
      <c r="J21" s="240"/>
    </row>
    <row r="22" spans="1:10" x14ac:dyDescent="0.25">
      <c r="A22" s="243" t="s">
        <v>1148</v>
      </c>
      <c r="B22" s="241"/>
      <c r="C22" s="241"/>
      <c r="D22" s="241"/>
      <c r="E22" s="239"/>
      <c r="F22" s="241"/>
      <c r="G22" s="241"/>
      <c r="H22" s="241">
        <v>1082</v>
      </c>
      <c r="I22" s="241">
        <v>1341</v>
      </c>
      <c r="J22" s="239">
        <v>1325</v>
      </c>
    </row>
    <row r="23" spans="1:10" ht="15.75" thickBot="1" x14ac:dyDescent="0.3">
      <c r="A23" s="244"/>
      <c r="B23" s="242"/>
      <c r="C23" s="242"/>
      <c r="D23" s="242"/>
      <c r="E23" s="240"/>
      <c r="F23" s="242"/>
      <c r="G23" s="242"/>
      <c r="H23" s="242"/>
      <c r="I23" s="242"/>
      <c r="J23" s="240"/>
    </row>
    <row r="24" spans="1:10" x14ac:dyDescent="0.25">
      <c r="A24" s="243" t="s">
        <v>1149</v>
      </c>
      <c r="B24" s="241"/>
      <c r="C24" s="241"/>
      <c r="D24" s="241"/>
      <c r="E24" s="239"/>
      <c r="F24" s="241"/>
      <c r="G24" s="241"/>
      <c r="H24" s="241"/>
      <c r="I24" s="241">
        <v>1003</v>
      </c>
      <c r="J24" s="239">
        <v>1016</v>
      </c>
    </row>
    <row r="25" spans="1:10" ht="15.75" thickBot="1" x14ac:dyDescent="0.3">
      <c r="A25" s="244"/>
      <c r="B25" s="242"/>
      <c r="C25" s="242"/>
      <c r="D25" s="242"/>
      <c r="E25" s="240"/>
      <c r="F25" s="242"/>
      <c r="G25" s="242"/>
      <c r="H25" s="242"/>
      <c r="I25" s="242"/>
      <c r="J25" s="240"/>
    </row>
    <row r="26" spans="1:10" x14ac:dyDescent="0.25">
      <c r="A26" s="243" t="s">
        <v>1150</v>
      </c>
      <c r="B26" s="241"/>
      <c r="C26" s="241"/>
      <c r="D26" s="241"/>
      <c r="E26" s="239"/>
      <c r="F26" s="241"/>
      <c r="G26" s="241"/>
      <c r="H26" s="241"/>
      <c r="I26" s="241"/>
      <c r="J26" s="239">
        <v>632</v>
      </c>
    </row>
    <row r="27" spans="1:10" ht="15.75" thickBot="1" x14ac:dyDescent="0.3">
      <c r="A27" s="244"/>
      <c r="B27" s="242"/>
      <c r="C27" s="242"/>
      <c r="D27" s="242"/>
      <c r="E27" s="240"/>
      <c r="F27" s="242"/>
      <c r="G27" s="242"/>
      <c r="H27" s="242"/>
      <c r="I27" s="242"/>
      <c r="J27" s="240"/>
    </row>
    <row r="30" spans="1:10" x14ac:dyDescent="0.25">
      <c r="A30" t="s">
        <v>1151</v>
      </c>
    </row>
  </sheetData>
  <mergeCells count="120">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308E-7421-403A-BFE6-292551B102E4}">
  <sheetPr>
    <tabColor theme="2" tint="-9.9978637043366805E-2"/>
  </sheetPr>
  <dimension ref="A1:Q70"/>
  <sheetViews>
    <sheetView workbookViewId="0">
      <selection activeCell="C2" sqref="C2"/>
    </sheetView>
  </sheetViews>
  <sheetFormatPr baseColWidth="10" defaultRowHeight="15" x14ac:dyDescent="0.25"/>
  <cols>
    <col min="1" max="1" width="26.140625" customWidth="1"/>
    <col min="3" max="3" width="29.28515625" bestFit="1" customWidth="1"/>
    <col min="5" max="5" width="37" bestFit="1" customWidth="1"/>
    <col min="6" max="6" width="7.5703125" bestFit="1" customWidth="1"/>
    <col min="7" max="7" width="7.140625" bestFit="1" customWidth="1"/>
    <col min="12" max="12" width="7.5703125" bestFit="1" customWidth="1"/>
    <col min="13" max="13" width="7.140625" bestFit="1" customWidth="1"/>
    <col min="16" max="16" width="7.140625" bestFit="1" customWidth="1"/>
  </cols>
  <sheetData>
    <row r="1" spans="1:17" ht="18.75" x14ac:dyDescent="0.3">
      <c r="A1" s="78" t="s">
        <v>232</v>
      </c>
      <c r="C1" s="78" t="s">
        <v>233</v>
      </c>
      <c r="F1" s="262" t="s">
        <v>234</v>
      </c>
      <c r="G1" s="262"/>
      <c r="H1" s="262" t="s">
        <v>235</v>
      </c>
      <c r="I1" s="262"/>
      <c r="J1" s="262" t="s">
        <v>236</v>
      </c>
      <c r="K1" s="262"/>
      <c r="L1" s="262" t="s">
        <v>237</v>
      </c>
      <c r="M1" s="262"/>
      <c r="N1" s="262" t="s">
        <v>238</v>
      </c>
      <c r="O1" s="262"/>
    </row>
    <row r="2" spans="1:17" ht="19.5" thickBot="1" x14ac:dyDescent="0.35">
      <c r="F2" s="79" t="s">
        <v>239</v>
      </c>
      <c r="G2" s="79" t="s">
        <v>240</v>
      </c>
      <c r="H2" s="263"/>
      <c r="I2" s="264"/>
      <c r="J2" s="263"/>
      <c r="K2" s="264"/>
      <c r="L2" s="79" t="s">
        <v>239</v>
      </c>
      <c r="M2" s="79" t="s">
        <v>240</v>
      </c>
      <c r="N2" s="263"/>
      <c r="O2" s="264"/>
    </row>
    <row r="3" spans="1:17" x14ac:dyDescent="0.25">
      <c r="A3" t="s">
        <v>241</v>
      </c>
      <c r="C3" t="s">
        <v>242</v>
      </c>
      <c r="E3" s="80" t="s">
        <v>243</v>
      </c>
      <c r="F3" s="256">
        <v>0.64709000000000005</v>
      </c>
      <c r="G3" s="256"/>
      <c r="H3" s="256">
        <v>0.97192999999999996</v>
      </c>
      <c r="I3" s="256"/>
      <c r="J3" s="81"/>
      <c r="K3" s="81"/>
      <c r="L3" s="81"/>
      <c r="M3" s="81"/>
      <c r="N3" s="81"/>
      <c r="O3" s="82"/>
      <c r="P3" s="83">
        <f>F3+H3+H4+F4</f>
        <v>2.2834299999999996</v>
      </c>
      <c r="Q3" s="83"/>
    </row>
    <row r="4" spans="1:17" ht="15.75" thickBot="1" x14ac:dyDescent="0.3">
      <c r="A4" t="s">
        <v>244</v>
      </c>
      <c r="C4" t="s">
        <v>245</v>
      </c>
      <c r="E4" s="84" t="s">
        <v>246</v>
      </c>
      <c r="F4" s="261">
        <v>0.26545000000000002</v>
      </c>
      <c r="G4" s="261"/>
      <c r="H4" s="261">
        <v>0.39895999999999998</v>
      </c>
      <c r="I4" s="261"/>
      <c r="J4" s="85"/>
      <c r="K4" s="85"/>
      <c r="L4" s="85"/>
      <c r="M4" s="85"/>
      <c r="N4" s="85"/>
      <c r="O4" s="86"/>
      <c r="P4" s="83"/>
      <c r="Q4" s="83"/>
    </row>
    <row r="5" spans="1:17" x14ac:dyDescent="0.25">
      <c r="A5" t="s">
        <v>247</v>
      </c>
      <c r="C5" t="s">
        <v>247</v>
      </c>
      <c r="E5" s="80" t="s">
        <v>248</v>
      </c>
      <c r="F5" s="81">
        <v>0.50017999999999996</v>
      </c>
      <c r="G5" s="81">
        <v>0.25008999999999998</v>
      </c>
      <c r="H5" s="256">
        <v>1</v>
      </c>
      <c r="I5" s="256"/>
      <c r="J5" s="81"/>
      <c r="K5" s="81"/>
      <c r="L5" s="81"/>
      <c r="M5" s="81"/>
      <c r="N5" s="81"/>
      <c r="O5" s="82"/>
      <c r="P5" s="83">
        <f>F5+G5+H5+J6</f>
        <v>2.02515</v>
      </c>
      <c r="Q5" s="83"/>
    </row>
    <row r="6" spans="1:17" ht="15.75" thickBot="1" x14ac:dyDescent="0.3">
      <c r="E6" s="84" t="s">
        <v>249</v>
      </c>
      <c r="F6" s="85"/>
      <c r="G6" s="85"/>
      <c r="H6" s="85"/>
      <c r="I6" s="85"/>
      <c r="J6" s="261">
        <v>0.27488000000000001</v>
      </c>
      <c r="K6" s="261"/>
      <c r="L6" s="85"/>
      <c r="M6" s="85"/>
      <c r="N6" s="85"/>
      <c r="O6" s="86"/>
      <c r="P6" s="83"/>
      <c r="Q6" s="83"/>
    </row>
    <row r="7" spans="1:17" ht="18.75" x14ac:dyDescent="0.3">
      <c r="A7" t="s">
        <v>250</v>
      </c>
      <c r="C7" s="78" t="s">
        <v>251</v>
      </c>
      <c r="E7" s="80" t="s">
        <v>252</v>
      </c>
      <c r="F7" s="81">
        <v>0.35504999999999998</v>
      </c>
      <c r="G7" s="81">
        <v>0.17752000000000001</v>
      </c>
      <c r="H7" s="256">
        <v>0.72296000000000005</v>
      </c>
      <c r="I7" s="256"/>
      <c r="J7" s="81"/>
      <c r="K7" s="81"/>
      <c r="L7" s="81"/>
      <c r="M7" s="81"/>
      <c r="N7" s="81"/>
      <c r="O7" s="82"/>
      <c r="P7" s="83">
        <f>F7+G7+H7+J8</f>
        <v>1.6189</v>
      </c>
    </row>
    <row r="8" spans="1:17" ht="15.75" thickBot="1" x14ac:dyDescent="0.3">
      <c r="A8" t="s">
        <v>253</v>
      </c>
      <c r="E8" s="84" t="s">
        <v>254</v>
      </c>
      <c r="F8" s="85"/>
      <c r="G8" s="85"/>
      <c r="H8" s="85"/>
      <c r="I8" s="85"/>
      <c r="J8" s="261">
        <v>0.36337000000000003</v>
      </c>
      <c r="K8" s="261"/>
      <c r="L8" s="85"/>
      <c r="M8" s="85"/>
      <c r="N8" s="85"/>
      <c r="O8" s="86"/>
      <c r="P8" s="83"/>
    </row>
    <row r="9" spans="1:17" x14ac:dyDescent="0.25">
      <c r="C9" t="s">
        <v>242</v>
      </c>
      <c r="E9" s="80" t="s">
        <v>255</v>
      </c>
      <c r="F9" s="81">
        <v>0.65615999999999997</v>
      </c>
      <c r="G9" s="81"/>
      <c r="H9" s="256">
        <v>0.78437000000000001</v>
      </c>
      <c r="I9" s="256"/>
      <c r="J9" s="81"/>
      <c r="K9" s="81"/>
      <c r="L9" s="81"/>
      <c r="M9" s="81"/>
      <c r="N9" s="81"/>
      <c r="O9" s="82"/>
      <c r="P9" s="83">
        <f>F9+H9+J10+L11</f>
        <v>1.8734299999999999</v>
      </c>
    </row>
    <row r="10" spans="1:17" x14ac:dyDescent="0.25">
      <c r="A10" t="s">
        <v>256</v>
      </c>
      <c r="C10" t="s">
        <v>245</v>
      </c>
      <c r="E10" s="87" t="s">
        <v>257</v>
      </c>
      <c r="F10" s="88"/>
      <c r="G10" s="88"/>
      <c r="H10" s="88"/>
      <c r="I10" s="88"/>
      <c r="J10" s="260">
        <v>0.1464</v>
      </c>
      <c r="K10" s="260"/>
      <c r="L10" s="88"/>
      <c r="M10" s="88"/>
      <c r="N10" s="88"/>
      <c r="O10" s="89"/>
      <c r="P10" s="83"/>
    </row>
    <row r="11" spans="1:17" ht="15.75" thickBot="1" x14ac:dyDescent="0.3">
      <c r="A11" t="s">
        <v>258</v>
      </c>
      <c r="C11" t="s">
        <v>247</v>
      </c>
      <c r="E11" s="84" t="s">
        <v>259</v>
      </c>
      <c r="F11" s="85"/>
      <c r="G11" s="85"/>
      <c r="H11" s="85"/>
      <c r="I11" s="85"/>
      <c r="J11" s="90"/>
      <c r="K11" s="90"/>
      <c r="L11" s="85">
        <v>0.28649999999999998</v>
      </c>
      <c r="M11" s="85"/>
      <c r="N11" s="85"/>
      <c r="O11" s="86"/>
      <c r="P11" s="83"/>
    </row>
    <row r="12" spans="1:17" x14ac:dyDescent="0.25">
      <c r="E12" s="80" t="s">
        <v>260</v>
      </c>
      <c r="F12" s="256">
        <v>0.42514999999999997</v>
      </c>
      <c r="G12" s="256"/>
      <c r="H12" s="256">
        <v>0.85</v>
      </c>
      <c r="I12" s="256"/>
      <c r="J12" s="81"/>
      <c r="K12" s="81"/>
      <c r="L12" s="81"/>
      <c r="M12" s="81"/>
      <c r="N12" s="81"/>
      <c r="O12" s="82"/>
      <c r="P12" s="83">
        <f>F12+H12+J13</f>
        <v>1.5087999999999999</v>
      </c>
    </row>
    <row r="13" spans="1:17" ht="19.5" thickBot="1" x14ac:dyDescent="0.35">
      <c r="A13" s="78" t="s">
        <v>261</v>
      </c>
      <c r="C13" s="91" t="s">
        <v>262</v>
      </c>
      <c r="E13" s="84" t="s">
        <v>263</v>
      </c>
      <c r="F13" s="85"/>
      <c r="G13" s="85"/>
      <c r="H13" s="85"/>
      <c r="I13" s="85"/>
      <c r="J13" s="261">
        <v>0.23365</v>
      </c>
      <c r="K13" s="261"/>
      <c r="L13" s="85"/>
      <c r="M13" s="85"/>
      <c r="N13" s="85"/>
      <c r="O13" s="86"/>
      <c r="P13" s="83"/>
    </row>
    <row r="14" spans="1:17" x14ac:dyDescent="0.25">
      <c r="C14" s="91" t="s">
        <v>264</v>
      </c>
      <c r="E14" s="80" t="s">
        <v>265</v>
      </c>
      <c r="F14" s="81">
        <v>1</v>
      </c>
      <c r="G14" s="92"/>
      <c r="H14" s="256">
        <v>0.51382000000000005</v>
      </c>
      <c r="I14" s="256"/>
      <c r="J14" s="81"/>
      <c r="K14" s="81"/>
      <c r="L14" s="81"/>
      <c r="M14" s="81"/>
      <c r="N14" s="81"/>
      <c r="O14" s="82"/>
      <c r="P14" s="83">
        <f>F14+H14+J15+L16</f>
        <v>1.88497</v>
      </c>
      <c r="Q14" s="83"/>
    </row>
    <row r="15" spans="1:17" x14ac:dyDescent="0.25">
      <c r="A15" t="s">
        <v>241</v>
      </c>
      <c r="C15" s="91" t="s">
        <v>266</v>
      </c>
      <c r="E15" s="87" t="s">
        <v>267</v>
      </c>
      <c r="F15" s="88"/>
      <c r="G15" s="88"/>
      <c r="H15" s="88"/>
      <c r="I15" s="88"/>
      <c r="J15" s="260">
        <v>4.3869999999999999E-2</v>
      </c>
      <c r="K15" s="260"/>
      <c r="L15" s="88"/>
      <c r="M15" s="88"/>
      <c r="N15" s="88"/>
      <c r="O15" s="89"/>
      <c r="P15" s="83"/>
      <c r="Q15" s="83"/>
    </row>
    <row r="16" spans="1:17" ht="15.75" thickBot="1" x14ac:dyDescent="0.3">
      <c r="A16" t="s">
        <v>244</v>
      </c>
      <c r="C16" s="91" t="s">
        <v>268</v>
      </c>
      <c r="E16" s="84" t="s">
        <v>269</v>
      </c>
      <c r="F16" s="85"/>
      <c r="G16" s="85"/>
      <c r="H16" s="85"/>
      <c r="I16" s="85"/>
      <c r="J16" s="90"/>
      <c r="K16" s="90"/>
      <c r="L16" s="85">
        <v>0.32728000000000002</v>
      </c>
      <c r="M16" s="85"/>
      <c r="N16" s="85"/>
      <c r="O16" s="86"/>
      <c r="P16" s="83"/>
      <c r="Q16" s="83"/>
    </row>
    <row r="17" spans="1:16" x14ac:dyDescent="0.25">
      <c r="A17" t="s">
        <v>247</v>
      </c>
      <c r="C17" s="91" t="s">
        <v>270</v>
      </c>
      <c r="E17" s="80" t="s">
        <v>271</v>
      </c>
      <c r="F17" s="81">
        <v>0.91232999999999997</v>
      </c>
      <c r="G17" s="92"/>
      <c r="H17" s="256">
        <v>0.46146999999999999</v>
      </c>
      <c r="I17" s="256"/>
      <c r="J17" s="81"/>
      <c r="K17" s="81"/>
      <c r="L17" s="81"/>
      <c r="M17" s="81"/>
      <c r="N17" s="81"/>
      <c r="O17" s="82"/>
      <c r="P17" s="83">
        <f>F17+H17+J18+L19</f>
        <v>2.0396200000000002</v>
      </c>
    </row>
    <row r="18" spans="1:16" x14ac:dyDescent="0.25">
      <c r="A18" t="s">
        <v>256</v>
      </c>
      <c r="C18" s="91" t="s">
        <v>272</v>
      </c>
      <c r="E18" s="87" t="s">
        <v>273</v>
      </c>
      <c r="F18" s="88"/>
      <c r="G18" s="88"/>
      <c r="H18" s="88"/>
      <c r="I18" s="88"/>
      <c r="J18" s="260">
        <v>0.15035999999999999</v>
      </c>
      <c r="K18" s="260"/>
      <c r="L18" s="88"/>
      <c r="M18" s="88"/>
      <c r="N18" s="88"/>
      <c r="O18" s="89"/>
      <c r="P18" s="83"/>
    </row>
    <row r="19" spans="1:16" ht="15.75" thickBot="1" x14ac:dyDescent="0.3">
      <c r="A19" t="s">
        <v>258</v>
      </c>
      <c r="C19" s="91" t="s">
        <v>274</v>
      </c>
      <c r="E19" s="84" t="s">
        <v>275</v>
      </c>
      <c r="F19" s="85"/>
      <c r="G19" s="85"/>
      <c r="H19" s="85"/>
      <c r="I19" s="85"/>
      <c r="J19" s="90"/>
      <c r="K19" s="90"/>
      <c r="L19" s="85">
        <v>0.51546000000000003</v>
      </c>
      <c r="M19" s="85"/>
      <c r="N19" s="85"/>
      <c r="O19" s="86"/>
      <c r="P19" s="83"/>
    </row>
    <row r="20" spans="1:16" x14ac:dyDescent="0.25">
      <c r="C20" s="91" t="s">
        <v>276</v>
      </c>
      <c r="E20" s="80" t="s">
        <v>277</v>
      </c>
      <c r="F20" s="81">
        <v>0.69059999999999999</v>
      </c>
      <c r="G20" s="92"/>
      <c r="H20" s="256">
        <v>0.38878000000000001</v>
      </c>
      <c r="I20" s="256"/>
      <c r="J20" s="81"/>
      <c r="K20" s="81"/>
      <c r="L20" s="81"/>
      <c r="M20" s="81"/>
      <c r="N20" s="81"/>
      <c r="O20" s="82"/>
      <c r="P20" s="83">
        <f>F20+H20+J21+L22</f>
        <v>1.9173399999999998</v>
      </c>
    </row>
    <row r="21" spans="1:16" ht="18.75" x14ac:dyDescent="0.3">
      <c r="A21" s="78" t="s">
        <v>236</v>
      </c>
      <c r="C21" s="91" t="s">
        <v>278</v>
      </c>
      <c r="E21" s="87" t="s">
        <v>279</v>
      </c>
      <c r="F21" s="88"/>
      <c r="G21" s="88"/>
      <c r="H21" s="88"/>
      <c r="I21" s="88"/>
      <c r="J21" s="260">
        <v>0.2099</v>
      </c>
      <c r="K21" s="260"/>
      <c r="L21" s="88"/>
      <c r="M21" s="88"/>
      <c r="N21" s="88"/>
      <c r="O21" s="89"/>
      <c r="P21" s="83"/>
    </row>
    <row r="22" spans="1:16" ht="15.75" thickBot="1" x14ac:dyDescent="0.3">
      <c r="C22" s="91" t="s">
        <v>280</v>
      </c>
      <c r="E22" s="84" t="s">
        <v>281</v>
      </c>
      <c r="F22" s="85"/>
      <c r="G22" s="85"/>
      <c r="H22" s="85"/>
      <c r="I22" s="85"/>
      <c r="J22" s="90"/>
      <c r="K22" s="90"/>
      <c r="L22" s="85">
        <v>0.62805999999999995</v>
      </c>
      <c r="M22" s="85"/>
      <c r="N22" s="85"/>
      <c r="O22" s="86"/>
      <c r="P22" s="83"/>
    </row>
    <row r="23" spans="1:16" x14ac:dyDescent="0.25">
      <c r="A23" t="s">
        <v>282</v>
      </c>
      <c r="C23" s="91" t="s">
        <v>283</v>
      </c>
      <c r="E23" s="80" t="s">
        <v>284</v>
      </c>
      <c r="F23" s="81">
        <v>0.68315000000000003</v>
      </c>
      <c r="G23" s="92"/>
      <c r="H23" s="256">
        <v>0.70006000000000002</v>
      </c>
      <c r="I23" s="256"/>
      <c r="J23" s="81"/>
      <c r="K23" s="81"/>
      <c r="L23" s="81"/>
      <c r="M23" s="81"/>
      <c r="N23" s="81"/>
      <c r="O23" s="82"/>
      <c r="P23" s="83">
        <f>F23+H23+J24+L25</f>
        <v>1.85917</v>
      </c>
    </row>
    <row r="24" spans="1:16" x14ac:dyDescent="0.25">
      <c r="A24" t="s">
        <v>285</v>
      </c>
      <c r="C24" s="91" t="s">
        <v>286</v>
      </c>
      <c r="E24" s="87" t="s">
        <v>287</v>
      </c>
      <c r="F24" s="88"/>
      <c r="G24" s="88"/>
      <c r="H24" s="88"/>
      <c r="I24" s="88"/>
      <c r="J24" s="260">
        <v>0.152</v>
      </c>
      <c r="K24" s="260"/>
      <c r="L24" s="88"/>
      <c r="M24" s="88"/>
      <c r="N24" s="88"/>
      <c r="O24" s="89"/>
      <c r="P24" s="83"/>
    </row>
    <row r="25" spans="1:16" ht="15.75" thickBot="1" x14ac:dyDescent="0.3">
      <c r="A25" t="s">
        <v>288</v>
      </c>
      <c r="C25" s="91" t="s">
        <v>289</v>
      </c>
      <c r="E25" s="84" t="s">
        <v>290</v>
      </c>
      <c r="F25" s="85"/>
      <c r="G25" s="85"/>
      <c r="H25" s="85"/>
      <c r="I25" s="85"/>
      <c r="J25" s="90"/>
      <c r="K25" s="90"/>
      <c r="L25" s="85">
        <v>0.32396000000000003</v>
      </c>
      <c r="M25" s="85"/>
      <c r="N25" s="85"/>
      <c r="O25" s="86"/>
      <c r="P25" s="83"/>
    </row>
    <row r="26" spans="1:16" x14ac:dyDescent="0.25">
      <c r="C26" s="91" t="s">
        <v>291</v>
      </c>
      <c r="E26" s="80" t="s">
        <v>292</v>
      </c>
      <c r="F26" s="81">
        <v>0.18545</v>
      </c>
      <c r="G26" s="81">
        <v>9.2719999999999997E-2</v>
      </c>
      <c r="H26" s="256">
        <v>0.42459999999999998</v>
      </c>
      <c r="I26" s="256"/>
      <c r="J26" s="81"/>
      <c r="K26" s="81"/>
      <c r="L26" s="81"/>
      <c r="M26" s="81"/>
      <c r="N26" s="249"/>
      <c r="O26" s="251"/>
      <c r="P26" s="83">
        <f>F26+G26+H26+J27+L28+M28+N28</f>
        <v>2.4103300000000001</v>
      </c>
    </row>
    <row r="27" spans="1:16" x14ac:dyDescent="0.25">
      <c r="A27" t="s">
        <v>293</v>
      </c>
      <c r="C27" s="91" t="s">
        <v>294</v>
      </c>
      <c r="E27" s="87" t="s">
        <v>295</v>
      </c>
      <c r="F27" s="88"/>
      <c r="G27" s="88"/>
      <c r="H27" s="88"/>
      <c r="I27" s="88"/>
      <c r="J27" s="260">
        <v>1</v>
      </c>
      <c r="K27" s="260"/>
      <c r="L27" s="88"/>
      <c r="M27" s="88"/>
      <c r="N27" s="252"/>
      <c r="O27" s="253"/>
      <c r="P27" s="83"/>
    </row>
    <row r="28" spans="1:16" ht="15.75" thickBot="1" x14ac:dyDescent="0.3">
      <c r="A28" t="s">
        <v>296</v>
      </c>
      <c r="C28" s="91" t="s">
        <v>297</v>
      </c>
      <c r="E28" s="84" t="s">
        <v>298</v>
      </c>
      <c r="F28" s="85"/>
      <c r="G28" s="85"/>
      <c r="H28" s="85"/>
      <c r="I28" s="85"/>
      <c r="J28" s="90"/>
      <c r="K28" s="90"/>
      <c r="L28" s="85">
        <v>0.24451999999999999</v>
      </c>
      <c r="M28" s="85">
        <v>0.1226</v>
      </c>
      <c r="N28" s="254">
        <v>0.34044000000000002</v>
      </c>
      <c r="O28" s="255"/>
      <c r="P28" s="83"/>
    </row>
    <row r="29" spans="1:16" x14ac:dyDescent="0.25">
      <c r="C29" s="91" t="s">
        <v>299</v>
      </c>
      <c r="E29" s="80" t="s">
        <v>300</v>
      </c>
      <c r="F29" s="81">
        <v>0.27438000000000001</v>
      </c>
      <c r="G29" s="81">
        <v>0.13719000000000001</v>
      </c>
      <c r="H29" s="256">
        <v>0.62792999999999999</v>
      </c>
      <c r="I29" s="256"/>
      <c r="J29" s="81"/>
      <c r="K29" s="81"/>
      <c r="L29" s="81"/>
      <c r="M29" s="81"/>
      <c r="N29" s="249"/>
      <c r="O29" s="251"/>
      <c r="P29" s="83">
        <f>F29+G29+H29+L30+M30+N30+J33</f>
        <v>2.4474499999999999</v>
      </c>
    </row>
    <row r="30" spans="1:16" ht="15.75" thickBot="1" x14ac:dyDescent="0.3">
      <c r="A30" t="s">
        <v>301</v>
      </c>
      <c r="C30" s="91" t="s">
        <v>302</v>
      </c>
      <c r="E30" s="84" t="s">
        <v>303</v>
      </c>
      <c r="F30" s="85"/>
      <c r="G30" s="85"/>
      <c r="H30" s="90"/>
      <c r="I30" s="90"/>
      <c r="J30" s="85"/>
      <c r="K30" s="85"/>
      <c r="L30" s="85">
        <v>0.14949999999999999</v>
      </c>
      <c r="M30" s="85">
        <v>7.3999999999999996E-2</v>
      </c>
      <c r="N30" s="254">
        <v>0.23748</v>
      </c>
      <c r="O30" s="255"/>
      <c r="P30" s="83"/>
    </row>
    <row r="31" spans="1:16" x14ac:dyDescent="0.25">
      <c r="C31" s="91" t="s">
        <v>304</v>
      </c>
      <c r="E31" s="80" t="s">
        <v>305</v>
      </c>
      <c r="F31" s="81">
        <v>0.11212</v>
      </c>
      <c r="G31" s="81">
        <v>5.6059999999999999E-2</v>
      </c>
      <c r="H31" s="256">
        <v>0.23462</v>
      </c>
      <c r="I31" s="256"/>
      <c r="J31" s="81"/>
      <c r="K31" s="81"/>
      <c r="L31" s="81"/>
      <c r="M31" s="81"/>
      <c r="N31" s="249"/>
      <c r="O31" s="251"/>
      <c r="P31" s="83">
        <f>F31+G31+H31+L32+M32+N32+J33</f>
        <v>2.2090299999999998</v>
      </c>
    </row>
    <row r="32" spans="1:16" ht="15.75" thickBot="1" x14ac:dyDescent="0.3">
      <c r="C32" s="91" t="s">
        <v>306</v>
      </c>
      <c r="E32" s="84" t="s">
        <v>307</v>
      </c>
      <c r="F32" s="85"/>
      <c r="G32" s="85"/>
      <c r="H32" s="90"/>
      <c r="I32" s="90"/>
      <c r="J32" s="85"/>
      <c r="K32" s="85"/>
      <c r="L32" s="85">
        <v>0.23788000000000001</v>
      </c>
      <c r="M32" s="85">
        <v>0.11894</v>
      </c>
      <c r="N32" s="254">
        <v>0.50244</v>
      </c>
      <c r="O32" s="255"/>
      <c r="P32" s="83"/>
    </row>
    <row r="33" spans="1:16" ht="15.75" thickBot="1" x14ac:dyDescent="0.3">
      <c r="C33" s="91" t="s">
        <v>308</v>
      </c>
      <c r="E33" s="93" t="s">
        <v>309</v>
      </c>
      <c r="F33" s="94"/>
      <c r="G33" s="94"/>
      <c r="H33" s="94"/>
      <c r="I33" s="94"/>
      <c r="J33" s="257">
        <v>0.94696999999999998</v>
      </c>
      <c r="K33" s="257"/>
      <c r="L33" s="94"/>
      <c r="M33" s="94"/>
      <c r="N33" s="258"/>
      <c r="O33" s="259"/>
      <c r="P33" s="83"/>
    </row>
    <row r="34" spans="1:16" x14ac:dyDescent="0.25">
      <c r="E34" s="80" t="s">
        <v>310</v>
      </c>
      <c r="F34" s="256">
        <v>0.15762999999999999</v>
      </c>
      <c r="G34" s="256"/>
      <c r="H34" s="256">
        <v>0.36070000000000002</v>
      </c>
      <c r="I34" s="256"/>
      <c r="J34" s="81"/>
      <c r="K34" s="81"/>
      <c r="L34" s="81"/>
      <c r="M34" s="81"/>
      <c r="N34" s="249"/>
      <c r="O34" s="251"/>
      <c r="P34" s="83">
        <f>F34+H34+J35+L36+N36</f>
        <v>1.8655399999999998</v>
      </c>
    </row>
    <row r="35" spans="1:16" x14ac:dyDescent="0.25">
      <c r="E35" s="87" t="s">
        <v>311</v>
      </c>
      <c r="F35" s="88"/>
      <c r="G35" s="88"/>
      <c r="H35" s="88"/>
      <c r="I35" s="88"/>
      <c r="J35" s="260">
        <v>0.85</v>
      </c>
      <c r="K35" s="260"/>
      <c r="L35" s="88"/>
      <c r="M35" s="88"/>
      <c r="N35" s="252"/>
      <c r="O35" s="253"/>
      <c r="P35" s="83"/>
    </row>
    <row r="36" spans="1:16" ht="15.75" thickBot="1" x14ac:dyDescent="0.3">
      <c r="A36" s="38" t="s">
        <v>312</v>
      </c>
      <c r="E36" s="84" t="s">
        <v>313</v>
      </c>
      <c r="F36" s="85"/>
      <c r="G36" s="85"/>
      <c r="H36" s="85"/>
      <c r="I36" s="85"/>
      <c r="J36" s="90"/>
      <c r="K36" s="90"/>
      <c r="L36" s="85">
        <v>0.20784</v>
      </c>
      <c r="M36" s="85"/>
      <c r="N36" s="254">
        <v>0.28937000000000002</v>
      </c>
      <c r="O36" s="255"/>
      <c r="P36" s="83"/>
    </row>
    <row r="37" spans="1:16" x14ac:dyDescent="0.25">
      <c r="A37" t="s">
        <v>314</v>
      </c>
      <c r="E37" s="80" t="s">
        <v>315</v>
      </c>
      <c r="F37" s="256">
        <v>0.20368</v>
      </c>
      <c r="G37" s="256"/>
      <c r="H37" s="256">
        <v>0.33767000000000003</v>
      </c>
      <c r="I37" s="256"/>
      <c r="J37" s="81"/>
      <c r="K37" s="81"/>
      <c r="L37" s="81"/>
      <c r="M37" s="81"/>
      <c r="N37" s="249"/>
      <c r="O37" s="251"/>
      <c r="P37" s="83">
        <f>F37+H37+J38+L39+L40+N40</f>
        <v>2.5172699999999999</v>
      </c>
    </row>
    <row r="38" spans="1:16" x14ac:dyDescent="0.25">
      <c r="A38" t="s">
        <v>316</v>
      </c>
      <c r="E38" s="87" t="s">
        <v>317</v>
      </c>
      <c r="F38" s="88"/>
      <c r="G38" s="88"/>
      <c r="H38" s="88"/>
      <c r="I38" s="88"/>
      <c r="J38" s="260">
        <v>0.89815999999999996</v>
      </c>
      <c r="K38" s="260"/>
      <c r="L38" s="88"/>
      <c r="M38" s="88"/>
      <c r="N38" s="252"/>
      <c r="O38" s="253"/>
      <c r="P38" s="83"/>
    </row>
    <row r="39" spans="1:16" x14ac:dyDescent="0.25">
      <c r="A39" t="s">
        <v>318</v>
      </c>
      <c r="E39" s="87" t="s">
        <v>319</v>
      </c>
      <c r="F39" s="88"/>
      <c r="G39" s="88"/>
      <c r="H39" s="88"/>
      <c r="I39" s="88"/>
      <c r="J39" s="95"/>
      <c r="K39" s="95"/>
      <c r="L39" s="88">
        <v>0.57364000000000004</v>
      </c>
      <c r="M39" s="88"/>
      <c r="N39" s="252"/>
      <c r="O39" s="253"/>
      <c r="P39" s="83"/>
    </row>
    <row r="40" spans="1:16" ht="15.75" thickBot="1" x14ac:dyDescent="0.3">
      <c r="A40" t="s">
        <v>320</v>
      </c>
      <c r="E40" s="84" t="s">
        <v>321</v>
      </c>
      <c r="F40" s="85"/>
      <c r="G40" s="85"/>
      <c r="H40" s="85"/>
      <c r="I40" s="85"/>
      <c r="J40" s="90"/>
      <c r="K40" s="90"/>
      <c r="L40" s="85">
        <v>0.26422000000000001</v>
      </c>
      <c r="M40" s="85"/>
      <c r="N40" s="254">
        <v>0.2399</v>
      </c>
      <c r="O40" s="255"/>
      <c r="P40" s="83"/>
    </row>
    <row r="41" spans="1:16" x14ac:dyDescent="0.25">
      <c r="E41" s="80" t="s">
        <v>322</v>
      </c>
      <c r="F41" s="81">
        <v>0.34708</v>
      </c>
      <c r="G41" s="92"/>
      <c r="H41" s="256">
        <v>0.20830000000000001</v>
      </c>
      <c r="I41" s="256"/>
      <c r="J41" s="81"/>
      <c r="K41" s="81"/>
      <c r="L41" s="81"/>
      <c r="M41" s="81"/>
      <c r="N41" s="249"/>
      <c r="O41" s="251"/>
      <c r="P41" s="83">
        <f>F41+H41+J42+L43+L44+N44</f>
        <v>2.29189</v>
      </c>
    </row>
    <row r="42" spans="1:16" x14ac:dyDescent="0.25">
      <c r="E42" s="87" t="s">
        <v>323</v>
      </c>
      <c r="F42" s="88"/>
      <c r="G42" s="88"/>
      <c r="H42" s="88"/>
      <c r="I42" s="88"/>
      <c r="J42" s="260">
        <v>0.52559999999999996</v>
      </c>
      <c r="K42" s="260"/>
      <c r="L42" s="88"/>
      <c r="M42" s="88"/>
      <c r="N42" s="252"/>
      <c r="O42" s="253"/>
      <c r="P42" s="83"/>
    </row>
    <row r="43" spans="1:16" x14ac:dyDescent="0.25">
      <c r="A43" s="38"/>
      <c r="E43" s="87" t="s">
        <v>324</v>
      </c>
      <c r="F43" s="88"/>
      <c r="G43" s="88"/>
      <c r="H43" s="88"/>
      <c r="I43" s="88"/>
      <c r="J43" s="95"/>
      <c r="K43" s="95"/>
      <c r="L43" s="88">
        <v>0.84328000000000003</v>
      </c>
      <c r="M43" s="88"/>
      <c r="N43" s="252"/>
      <c r="O43" s="253"/>
      <c r="P43" s="83"/>
    </row>
    <row r="44" spans="1:16" ht="15.75" thickBot="1" x14ac:dyDescent="0.3">
      <c r="A44" s="38" t="s">
        <v>325</v>
      </c>
      <c r="E44" s="84" t="s">
        <v>326</v>
      </c>
      <c r="F44" s="85"/>
      <c r="G44" s="85"/>
      <c r="H44" s="85"/>
      <c r="I44" s="85"/>
      <c r="J44" s="90"/>
      <c r="K44" s="90"/>
      <c r="L44" s="85">
        <v>0.23543</v>
      </c>
      <c r="M44" s="85"/>
      <c r="N44" s="254">
        <v>0.13220000000000001</v>
      </c>
      <c r="O44" s="255"/>
      <c r="P44" s="83"/>
    </row>
    <row r="45" spans="1:16" x14ac:dyDescent="0.25">
      <c r="A45" t="s">
        <v>327</v>
      </c>
      <c r="E45" s="80" t="s">
        <v>328</v>
      </c>
      <c r="F45" s="81">
        <v>0.47361999999999999</v>
      </c>
      <c r="G45" s="92"/>
      <c r="H45" s="256">
        <v>0.28101999999999999</v>
      </c>
      <c r="I45" s="256"/>
      <c r="J45" s="81"/>
      <c r="K45" s="81"/>
      <c r="L45" s="81"/>
      <c r="M45" s="81"/>
      <c r="N45" s="249"/>
      <c r="O45" s="251"/>
      <c r="P45" s="83">
        <f>F45+H45+L46+L47+N47+J51</f>
        <v>2.2079800000000001</v>
      </c>
    </row>
    <row r="46" spans="1:16" x14ac:dyDescent="0.25">
      <c r="E46" s="87" t="s">
        <v>329</v>
      </c>
      <c r="F46" s="88"/>
      <c r="G46" s="96"/>
      <c r="H46" s="95"/>
      <c r="I46" s="95"/>
      <c r="J46" s="88"/>
      <c r="K46" s="88"/>
      <c r="L46" s="88">
        <v>0.71950000000000003</v>
      </c>
      <c r="M46" s="88"/>
      <c r="N46" s="252"/>
      <c r="O46" s="253"/>
      <c r="P46" s="83"/>
    </row>
    <row r="47" spans="1:16" ht="15.75" thickBot="1" x14ac:dyDescent="0.3">
      <c r="A47" t="s">
        <v>330</v>
      </c>
      <c r="E47" s="84" t="s">
        <v>331</v>
      </c>
      <c r="F47" s="85"/>
      <c r="G47" s="97"/>
      <c r="H47" s="90"/>
      <c r="I47" s="90"/>
      <c r="J47" s="85"/>
      <c r="K47" s="85"/>
      <c r="L47" s="85">
        <v>0.20451</v>
      </c>
      <c r="M47" s="85"/>
      <c r="N47" s="254">
        <v>9.1600000000000001E-2</v>
      </c>
      <c r="O47" s="255"/>
      <c r="P47" s="83"/>
    </row>
    <row r="48" spans="1:16" x14ac:dyDescent="0.25">
      <c r="A48" t="s">
        <v>332</v>
      </c>
      <c r="E48" s="80" t="s">
        <v>333</v>
      </c>
      <c r="F48" s="81">
        <v>0.17321</v>
      </c>
      <c r="G48" s="92"/>
      <c r="H48" s="256">
        <v>9.2929999999999999E-2</v>
      </c>
      <c r="I48" s="256"/>
      <c r="J48" s="81"/>
      <c r="K48" s="81"/>
      <c r="L48" s="81"/>
      <c r="M48" s="81"/>
      <c r="N48" s="249"/>
      <c r="O48" s="251"/>
      <c r="P48" s="83">
        <f>F48+H48+L49+L50+N50+J51</f>
        <v>2.12704</v>
      </c>
    </row>
    <row r="49" spans="1:17" x14ac:dyDescent="0.25">
      <c r="A49" t="s">
        <v>334</v>
      </c>
      <c r="E49" s="87" t="s">
        <v>335</v>
      </c>
      <c r="F49" s="88"/>
      <c r="G49" s="96"/>
      <c r="H49" s="95"/>
      <c r="I49" s="95"/>
      <c r="J49" s="88"/>
      <c r="K49" s="88"/>
      <c r="L49" s="88">
        <v>1</v>
      </c>
      <c r="M49" s="88"/>
      <c r="N49" s="252"/>
      <c r="O49" s="253"/>
      <c r="P49" s="83"/>
    </row>
    <row r="50" spans="1:17" ht="15.75" thickBot="1" x14ac:dyDescent="0.3">
      <c r="A50" t="s">
        <v>336</v>
      </c>
      <c r="C50" s="91" t="s">
        <v>262</v>
      </c>
      <c r="E50" s="84" t="s">
        <v>337</v>
      </c>
      <c r="F50" s="85"/>
      <c r="G50" s="97"/>
      <c r="H50" s="90"/>
      <c r="I50" s="90"/>
      <c r="J50" s="85"/>
      <c r="K50" s="85"/>
      <c r="L50" s="85">
        <v>0.26967000000000002</v>
      </c>
      <c r="M50" s="85"/>
      <c r="N50" s="254">
        <v>0.1535</v>
      </c>
      <c r="O50" s="255"/>
      <c r="P50" s="83"/>
    </row>
    <row r="51" spans="1:17" ht="15.75" thickBot="1" x14ac:dyDescent="0.3">
      <c r="C51" s="91" t="s">
        <v>264</v>
      </c>
      <c r="E51" s="93" t="s">
        <v>338</v>
      </c>
      <c r="F51" s="94"/>
      <c r="G51" s="94"/>
      <c r="H51" s="94"/>
      <c r="I51" s="94"/>
      <c r="J51" s="257">
        <v>0.43773000000000001</v>
      </c>
      <c r="K51" s="257"/>
      <c r="L51" s="94"/>
      <c r="M51" s="94"/>
      <c r="N51" s="258"/>
      <c r="O51" s="259"/>
      <c r="P51" s="83"/>
    </row>
    <row r="52" spans="1:17" x14ac:dyDescent="0.25">
      <c r="A52" t="s">
        <v>339</v>
      </c>
      <c r="C52" s="91" t="s">
        <v>266</v>
      </c>
      <c r="E52" s="80" t="s">
        <v>340</v>
      </c>
      <c r="F52" s="81">
        <v>0.28996</v>
      </c>
      <c r="G52" s="92"/>
      <c r="H52" s="256">
        <v>0.25344</v>
      </c>
      <c r="I52" s="256"/>
      <c r="J52" s="81"/>
      <c r="K52" s="81"/>
      <c r="L52" s="81"/>
      <c r="M52" s="81"/>
      <c r="N52" s="249"/>
      <c r="O52" s="251"/>
      <c r="P52" s="83">
        <f>F52+H52+J53+L54+L55+N55</f>
        <v>2.0821799999999997</v>
      </c>
    </row>
    <row r="53" spans="1:17" x14ac:dyDescent="0.25">
      <c r="A53" t="s">
        <v>341</v>
      </c>
      <c r="C53" s="91" t="s">
        <v>268</v>
      </c>
      <c r="E53" s="87" t="s">
        <v>342</v>
      </c>
      <c r="F53" s="88"/>
      <c r="G53" s="88"/>
      <c r="H53" s="88"/>
      <c r="I53" s="88"/>
      <c r="J53" s="260">
        <v>0.65949000000000002</v>
      </c>
      <c r="K53" s="260"/>
      <c r="L53" s="88"/>
      <c r="M53" s="88"/>
      <c r="N53" s="252"/>
      <c r="O53" s="253"/>
      <c r="P53" s="83"/>
    </row>
    <row r="54" spans="1:17" x14ac:dyDescent="0.25">
      <c r="A54" t="s">
        <v>343</v>
      </c>
      <c r="C54" s="91" t="s">
        <v>270</v>
      </c>
      <c r="E54" s="87" t="s">
        <v>344</v>
      </c>
      <c r="F54" s="88"/>
      <c r="G54" s="88"/>
      <c r="H54" s="88"/>
      <c r="I54" s="88"/>
      <c r="J54" s="95"/>
      <c r="K54" s="95"/>
      <c r="L54" s="88">
        <v>0.56411</v>
      </c>
      <c r="M54" s="88"/>
      <c r="N54" s="252"/>
      <c r="O54" s="253"/>
      <c r="P54" s="83"/>
    </row>
    <row r="55" spans="1:17" ht="15.75" thickBot="1" x14ac:dyDescent="0.3">
      <c r="A55" t="s">
        <v>345</v>
      </c>
      <c r="C55" s="91" t="s">
        <v>272</v>
      </c>
      <c r="E55" s="84" t="s">
        <v>346</v>
      </c>
      <c r="F55" s="85"/>
      <c r="G55" s="85"/>
      <c r="H55" s="85"/>
      <c r="I55" s="85"/>
      <c r="J55" s="90"/>
      <c r="K55" s="90"/>
      <c r="L55" s="85">
        <v>0.14326</v>
      </c>
      <c r="M55" s="85"/>
      <c r="N55" s="254">
        <v>0.17191999999999999</v>
      </c>
      <c r="O55" s="255"/>
      <c r="P55" s="83"/>
    </row>
    <row r="56" spans="1:17" x14ac:dyDescent="0.25">
      <c r="A56" t="s">
        <v>347</v>
      </c>
      <c r="C56" s="91" t="s">
        <v>274</v>
      </c>
      <c r="E56" s="80" t="s">
        <v>348</v>
      </c>
      <c r="F56" s="81"/>
      <c r="G56" s="81"/>
      <c r="H56" s="81"/>
      <c r="I56" s="81"/>
      <c r="J56" s="98"/>
      <c r="K56" s="98"/>
      <c r="L56" s="81">
        <v>0.19162000000000001</v>
      </c>
      <c r="M56" s="81"/>
      <c r="N56" s="249"/>
      <c r="O56" s="251"/>
      <c r="P56" s="83">
        <f>L56+L57+L58+L59+N58+N59</f>
        <v>2.1837599999999999</v>
      </c>
    </row>
    <row r="57" spans="1:17" x14ac:dyDescent="0.25">
      <c r="C57" s="91" t="s">
        <v>276</v>
      </c>
      <c r="E57" s="87" t="s">
        <v>349</v>
      </c>
      <c r="F57" s="88"/>
      <c r="G57" s="88"/>
      <c r="H57" s="88"/>
      <c r="I57" s="88"/>
      <c r="J57" s="95"/>
      <c r="K57" s="95"/>
      <c r="L57" s="88">
        <v>0.49523</v>
      </c>
      <c r="M57" s="88"/>
      <c r="N57" s="252"/>
      <c r="O57" s="253"/>
      <c r="P57" s="83"/>
    </row>
    <row r="58" spans="1:17" x14ac:dyDescent="0.25">
      <c r="C58" s="91" t="s">
        <v>278</v>
      </c>
      <c r="E58" s="87" t="s">
        <v>350</v>
      </c>
      <c r="F58" s="88"/>
      <c r="G58" s="88"/>
      <c r="H58" s="88"/>
      <c r="I58" s="88"/>
      <c r="J58" s="95"/>
      <c r="K58" s="95"/>
      <c r="L58" s="88">
        <v>0.47439999999999999</v>
      </c>
      <c r="M58" s="88"/>
      <c r="N58" s="252">
        <v>0.60697000000000001</v>
      </c>
      <c r="O58" s="253"/>
      <c r="P58" s="83"/>
    </row>
    <row r="59" spans="1:17" ht="15.75" thickBot="1" x14ac:dyDescent="0.3">
      <c r="C59" s="91" t="s">
        <v>280</v>
      </c>
      <c r="E59" s="84" t="s">
        <v>351</v>
      </c>
      <c r="F59" s="85"/>
      <c r="G59" s="85"/>
      <c r="H59" s="85"/>
      <c r="I59" s="85"/>
      <c r="J59" s="90"/>
      <c r="K59" s="90"/>
      <c r="L59" s="85">
        <v>0.16774</v>
      </c>
      <c r="M59" s="85"/>
      <c r="N59" s="254">
        <v>0.24779999999999999</v>
      </c>
      <c r="O59" s="255"/>
      <c r="P59" s="83"/>
    </row>
    <row r="60" spans="1:17" x14ac:dyDescent="0.25">
      <c r="C60" s="91" t="s">
        <v>283</v>
      </c>
      <c r="E60" s="80" t="s">
        <v>352</v>
      </c>
      <c r="F60" s="81"/>
      <c r="G60" s="81"/>
      <c r="H60" s="81"/>
      <c r="I60" s="81"/>
      <c r="J60" s="249">
        <v>0.45617999999999997</v>
      </c>
      <c r="K60" s="250"/>
      <c r="L60" s="81"/>
      <c r="M60" s="81"/>
      <c r="N60" s="249"/>
      <c r="O60" s="251"/>
      <c r="P60" s="83">
        <f>J60+L62+N62+L63+L64+N64</f>
        <v>2.0612399999999997</v>
      </c>
    </row>
    <row r="61" spans="1:17" x14ac:dyDescent="0.25">
      <c r="C61" s="91" t="s">
        <v>286</v>
      </c>
      <c r="E61" s="87" t="s">
        <v>353</v>
      </c>
      <c r="F61" s="88"/>
      <c r="G61" s="88"/>
      <c r="H61" s="88"/>
      <c r="I61" s="88"/>
      <c r="J61" s="88"/>
      <c r="K61" s="88"/>
      <c r="L61" s="88">
        <v>0.28649999999999998</v>
      </c>
      <c r="M61" s="88"/>
      <c r="N61" s="252">
        <v>0.80176999999999998</v>
      </c>
      <c r="O61" s="253"/>
      <c r="P61" s="83">
        <f>J60+L61+N61+L63+L64+N64</f>
        <v>2.4324300000000001</v>
      </c>
      <c r="Q61" t="s">
        <v>354</v>
      </c>
    </row>
    <row r="62" spans="1:17" x14ac:dyDescent="0.25">
      <c r="C62" s="91" t="s">
        <v>289</v>
      </c>
      <c r="E62" s="87" t="s">
        <v>355</v>
      </c>
      <c r="F62" s="88"/>
      <c r="G62" s="88"/>
      <c r="H62" s="88"/>
      <c r="I62" s="88"/>
      <c r="J62" s="88"/>
      <c r="K62" s="88"/>
      <c r="L62" s="88">
        <v>0.20932000000000001</v>
      </c>
      <c r="M62" s="88"/>
      <c r="N62" s="252">
        <v>0.50775999999999999</v>
      </c>
      <c r="O62" s="253"/>
      <c r="P62" s="83"/>
    </row>
    <row r="63" spans="1:17" x14ac:dyDescent="0.25">
      <c r="C63" s="91" t="s">
        <v>291</v>
      </c>
      <c r="E63" s="87" t="s">
        <v>356</v>
      </c>
      <c r="F63" s="88"/>
      <c r="G63" s="88"/>
      <c r="H63" s="88"/>
      <c r="I63" s="88"/>
      <c r="J63" s="88"/>
      <c r="K63" s="88"/>
      <c r="L63" s="88">
        <v>0.14599000000000001</v>
      </c>
      <c r="M63" s="88"/>
      <c r="N63" s="252"/>
      <c r="O63" s="253"/>
      <c r="P63" s="83"/>
    </row>
    <row r="64" spans="1:17" ht="15.75" thickBot="1" x14ac:dyDescent="0.3">
      <c r="C64" s="91" t="s">
        <v>294</v>
      </c>
      <c r="E64" s="84" t="s">
        <v>357</v>
      </c>
      <c r="F64" s="85"/>
      <c r="G64" s="85"/>
      <c r="H64" s="85"/>
      <c r="I64" s="85"/>
      <c r="J64" s="85"/>
      <c r="K64" s="85"/>
      <c r="L64" s="85">
        <v>0.12414</v>
      </c>
      <c r="M64" s="85"/>
      <c r="N64" s="254">
        <v>0.61785000000000001</v>
      </c>
      <c r="O64" s="255"/>
      <c r="P64" s="83"/>
    </row>
    <row r="65" spans="3:17" x14ac:dyDescent="0.25">
      <c r="C65" s="91" t="s">
        <v>297</v>
      </c>
      <c r="E65" s="80" t="s">
        <v>358</v>
      </c>
      <c r="F65" s="81"/>
      <c r="G65" s="81"/>
      <c r="H65" s="81"/>
      <c r="I65" s="81"/>
      <c r="J65" s="81"/>
      <c r="K65" s="81"/>
      <c r="L65" s="81">
        <v>0.23763000000000001</v>
      </c>
      <c r="M65" s="81"/>
      <c r="N65" s="249">
        <v>1</v>
      </c>
      <c r="O65" s="251"/>
      <c r="P65" s="83">
        <f>L65+N65+L66+L67+N67</f>
        <v>1.8703959999999999</v>
      </c>
      <c r="Q65" s="83"/>
    </row>
    <row r="66" spans="3:17" x14ac:dyDescent="0.25">
      <c r="C66" s="91" t="s">
        <v>299</v>
      </c>
      <c r="E66" s="87" t="s">
        <v>359</v>
      </c>
      <c r="F66" s="88"/>
      <c r="G66" s="88"/>
      <c r="H66" s="88"/>
      <c r="I66" s="88"/>
      <c r="J66" s="88"/>
      <c r="K66" s="88"/>
      <c r="L66" s="88">
        <v>0.17316000000000001</v>
      </c>
      <c r="M66" s="88"/>
      <c r="N66" s="252"/>
      <c r="O66" s="253"/>
      <c r="P66" s="83"/>
      <c r="Q66" s="83"/>
    </row>
    <row r="67" spans="3:17" ht="15.75" thickBot="1" x14ac:dyDescent="0.3">
      <c r="C67" s="91" t="s">
        <v>302</v>
      </c>
      <c r="E67" s="84" t="s">
        <v>360</v>
      </c>
      <c r="F67" s="85"/>
      <c r="G67" s="85"/>
      <c r="H67" s="85"/>
      <c r="I67" s="85"/>
      <c r="J67" s="85"/>
      <c r="K67" s="85"/>
      <c r="L67" s="85">
        <v>0.12317</v>
      </c>
      <c r="M67" s="85"/>
      <c r="N67" s="254">
        <v>0.33643600000000001</v>
      </c>
      <c r="O67" s="255"/>
      <c r="P67" s="83"/>
      <c r="Q67" s="83"/>
    </row>
    <row r="68" spans="3:17" x14ac:dyDescent="0.25">
      <c r="C68" s="91" t="s">
        <v>304</v>
      </c>
      <c r="E68" s="80" t="s">
        <v>361</v>
      </c>
      <c r="F68" s="81"/>
      <c r="G68" s="81"/>
      <c r="H68" s="81"/>
      <c r="I68" s="81"/>
      <c r="J68" s="81"/>
      <c r="K68" s="81"/>
      <c r="L68" s="81">
        <v>0.20199</v>
      </c>
      <c r="M68" s="81"/>
      <c r="N68" s="249">
        <v>0.85</v>
      </c>
      <c r="O68" s="251"/>
      <c r="P68" s="83">
        <f>L68+N68+L69+L70+N70</f>
        <v>1.6197900000000001</v>
      </c>
    </row>
    <row r="69" spans="3:17" x14ac:dyDescent="0.25">
      <c r="C69" s="91" t="s">
        <v>306</v>
      </c>
      <c r="E69" s="87" t="s">
        <v>362</v>
      </c>
      <c r="F69" s="88"/>
      <c r="G69" s="88"/>
      <c r="H69" s="88"/>
      <c r="I69" s="88"/>
      <c r="J69" s="88"/>
      <c r="K69" s="88"/>
      <c r="L69" s="88">
        <v>0.17718999999999999</v>
      </c>
      <c r="M69" s="88"/>
      <c r="N69" s="252"/>
      <c r="O69" s="253"/>
      <c r="P69" s="83"/>
    </row>
    <row r="70" spans="3:17" ht="15.75" thickBot="1" x14ac:dyDescent="0.3">
      <c r="C70" s="91" t="s">
        <v>308</v>
      </c>
      <c r="E70" s="99" t="s">
        <v>363</v>
      </c>
      <c r="F70" s="100"/>
      <c r="G70" s="100"/>
      <c r="H70" s="100"/>
      <c r="I70" s="100"/>
      <c r="J70" s="100"/>
      <c r="K70" s="100"/>
      <c r="L70" s="100">
        <v>0.1047</v>
      </c>
      <c r="M70" s="100"/>
      <c r="N70" s="247">
        <v>0.28591</v>
      </c>
      <c r="O70" s="248"/>
      <c r="P70" s="83"/>
    </row>
  </sheetData>
  <mergeCells count="93">
    <mergeCell ref="N1:O1"/>
    <mergeCell ref="H2:I2"/>
    <mergeCell ref="J2:K2"/>
    <mergeCell ref="N2:O2"/>
    <mergeCell ref="J6:K6"/>
    <mergeCell ref="F1:G1"/>
    <mergeCell ref="H1:I1"/>
    <mergeCell ref="J1:K1"/>
    <mergeCell ref="L1:M1"/>
    <mergeCell ref="F3:G3"/>
    <mergeCell ref="H3:I3"/>
    <mergeCell ref="F4:G4"/>
    <mergeCell ref="H4:I4"/>
    <mergeCell ref="H5:I5"/>
    <mergeCell ref="H7:I7"/>
    <mergeCell ref="J8:K8"/>
    <mergeCell ref="H9:I9"/>
    <mergeCell ref="J10:K10"/>
    <mergeCell ref="F12:G12"/>
    <mergeCell ref="H12:I12"/>
    <mergeCell ref="J27:K27"/>
    <mergeCell ref="N27:O27"/>
    <mergeCell ref="J13:K13"/>
    <mergeCell ref="H14:I14"/>
    <mergeCell ref="J15:K15"/>
    <mergeCell ref="H17:I17"/>
    <mergeCell ref="J18:K18"/>
    <mergeCell ref="H20:I20"/>
    <mergeCell ref="J21:K21"/>
    <mergeCell ref="H23:I23"/>
    <mergeCell ref="J24:K24"/>
    <mergeCell ref="H26:I26"/>
    <mergeCell ref="N26:O26"/>
    <mergeCell ref="N28:O28"/>
    <mergeCell ref="H29:I29"/>
    <mergeCell ref="N29:O29"/>
    <mergeCell ref="N30:O30"/>
    <mergeCell ref="H31:I31"/>
    <mergeCell ref="N31:O31"/>
    <mergeCell ref="N32:O32"/>
    <mergeCell ref="J33:K33"/>
    <mergeCell ref="N33:O33"/>
    <mergeCell ref="F34:G34"/>
    <mergeCell ref="H34:I34"/>
    <mergeCell ref="N34:O34"/>
    <mergeCell ref="J35:K35"/>
    <mergeCell ref="N35:O35"/>
    <mergeCell ref="N36:O36"/>
    <mergeCell ref="F37:G37"/>
    <mergeCell ref="H37:I37"/>
    <mergeCell ref="N37:O37"/>
    <mergeCell ref="N47:O47"/>
    <mergeCell ref="H45:I45"/>
    <mergeCell ref="N45:O45"/>
    <mergeCell ref="J38:K38"/>
    <mergeCell ref="N38:O38"/>
    <mergeCell ref="N39:O39"/>
    <mergeCell ref="N40:O40"/>
    <mergeCell ref="H41:I41"/>
    <mergeCell ref="N41:O41"/>
    <mergeCell ref="J42:K42"/>
    <mergeCell ref="N42:O42"/>
    <mergeCell ref="N43:O43"/>
    <mergeCell ref="N44:O44"/>
    <mergeCell ref="N46:O46"/>
    <mergeCell ref="H48:I48"/>
    <mergeCell ref="N48:O48"/>
    <mergeCell ref="N49:O49"/>
    <mergeCell ref="N59:O59"/>
    <mergeCell ref="J51:K51"/>
    <mergeCell ref="N51:O51"/>
    <mergeCell ref="H52:I52"/>
    <mergeCell ref="N52:O52"/>
    <mergeCell ref="J53:K53"/>
    <mergeCell ref="N53:O53"/>
    <mergeCell ref="N54:O54"/>
    <mergeCell ref="N55:O55"/>
    <mergeCell ref="N56:O56"/>
    <mergeCell ref="N57:O57"/>
    <mergeCell ref="N58:O58"/>
    <mergeCell ref="N50:O50"/>
    <mergeCell ref="N70:O70"/>
    <mergeCell ref="J60:K60"/>
    <mergeCell ref="N60:O60"/>
    <mergeCell ref="N61:O61"/>
    <mergeCell ref="N62:O62"/>
    <mergeCell ref="N63:O63"/>
    <mergeCell ref="N64:O64"/>
    <mergeCell ref="N65:O65"/>
    <mergeCell ref="N66:O66"/>
    <mergeCell ref="N67:O67"/>
    <mergeCell ref="N68:O68"/>
    <mergeCell ref="N69:O69"/>
  </mergeCells>
  <conditionalFormatting sqref="F3:O70">
    <cfRule type="cellIs" dxfId="25" priority="1" operator="between">
      <formula>0.15</formula>
      <formula>0.3</formula>
    </cfRule>
    <cfRule type="cellIs" dxfId="24" priority="2" operator="between">
      <formula>0.3</formula>
      <formula>0.6</formula>
    </cfRule>
    <cfRule type="cellIs" dxfId="23" priority="3" operator="greaterThan">
      <formula>0.6</formula>
    </cfRule>
    <cfRule type="cellIs" dxfId="22" priority="4" operator="lessThan">
      <formula>0.15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TablasEntreno</vt:lpstr>
      <vt:lpstr>Sueldos</vt:lpstr>
      <vt:lpstr>EntrenamientoManual</vt:lpstr>
      <vt:lpstr>Entrenador</vt:lpstr>
      <vt:lpstr>Tarjetas</vt:lpstr>
      <vt:lpstr>BajarEntrenamiento</vt:lpstr>
      <vt:lpstr>Aficionados</vt:lpstr>
      <vt:lpstr>Calificaciones_POS&lt;T60</vt:lpstr>
      <vt:lpstr>Calificaciones_POS&gt;T60</vt:lpstr>
      <vt:lpstr>Posesion</vt:lpstr>
      <vt:lpstr>Logros</vt:lpstr>
      <vt:lpstr>Estadio_Destruccion</vt:lpstr>
      <vt:lpstr>Bepero_penalty</vt:lpstr>
      <vt:lpstr>Forma</vt:lpstr>
      <vt:lpstr>Confianza_Esperitu</vt:lpstr>
      <vt:lpstr>Sustituciones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2023-04-28T12:25:31Z</dcterms:modified>
</cp:coreProperties>
</file>