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0105D90-593E-4F88-B86C-A64FB0109208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352_BiCen" sheetId="18" r:id="rId5"/>
    <sheet name="Escola Jedi" sheetId="3" r:id="rId6"/>
    <sheet name="III.9" sheetId="5" r:id="rId7"/>
    <sheet name="Economia" sheetId="6" r:id="rId8"/>
    <sheet name="Ahch-To" sheetId="7" r:id="rId9"/>
    <sheet name="Banderas" sheetId="8" r:id="rId10"/>
    <sheet name="Generaciones" sheetId="9" r:id="rId11"/>
    <sheet name="POR" sheetId="10" r:id="rId12"/>
    <sheet name="DEF" sheetId="11" r:id="rId13"/>
    <sheet name="JUG" sheetId="12" r:id="rId14"/>
    <sheet name="LAT" sheetId="13" r:id="rId15"/>
    <sheet name="PAS" sheetId="14" r:id="rId16"/>
    <sheet name="ANO" sheetId="15" r:id="rId17"/>
  </sheets>
  <definedNames>
    <definedName name="_xlnm._FilterDatabase" localSheetId="1" hidden="1">PLANTILLA!$A$1:$BI$26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AE8" i="2" l="1"/>
  <c r="AE6" i="2"/>
  <c r="AE13" i="2"/>
  <c r="Y13" i="2"/>
  <c r="AE21" i="2"/>
  <c r="Y24" i="2"/>
  <c r="Y7" i="2"/>
  <c r="Y10" i="2"/>
  <c r="AR25" i="2"/>
  <c r="Y25" i="2"/>
  <c r="AR23" i="2"/>
  <c r="Y23" i="2"/>
  <c r="Y19" i="2"/>
  <c r="Y16" i="2"/>
  <c r="Y18" i="2"/>
  <c r="Y15" i="2"/>
  <c r="Y17" i="2"/>
  <c r="AR14" i="2"/>
  <c r="Y14" i="2"/>
  <c r="AR22" i="2"/>
  <c r="Y22" i="2"/>
  <c r="Y4" i="2"/>
  <c r="F16" i="3" l="1"/>
  <c r="F17" i="3"/>
  <c r="F10" i="3"/>
  <c r="O32" i="1" l="1"/>
  <c r="O27" i="1"/>
  <c r="O16" i="1"/>
  <c r="AW12" i="2" l="1"/>
  <c r="AX12" i="2"/>
  <c r="AY12" i="2"/>
  <c r="AZ12" i="2"/>
  <c r="BA12" i="2"/>
  <c r="BB12" i="2"/>
  <c r="BC12" i="2"/>
  <c r="BD12" i="2"/>
  <c r="BE12" i="2"/>
  <c r="BF12" i="2"/>
  <c r="BG12" i="2"/>
  <c r="AO12" i="2"/>
  <c r="AW9" i="2"/>
  <c r="AX9" i="2"/>
  <c r="AY9" i="2"/>
  <c r="AZ9" i="2"/>
  <c r="BA9" i="2"/>
  <c r="BB9" i="2"/>
  <c r="BC9" i="2"/>
  <c r="BD9" i="2"/>
  <c r="BE9" i="2"/>
  <c r="BF9" i="2"/>
  <c r="BG9" i="2"/>
  <c r="AO9" i="2"/>
  <c r="T12" i="2"/>
  <c r="C29" i="9" l="1"/>
  <c r="B29" i="9"/>
  <c r="C28" i="9"/>
  <c r="B28" i="9"/>
  <c r="C27" i="9"/>
  <c r="B27" i="9"/>
  <c r="B35" i="9"/>
  <c r="C35" i="9"/>
  <c r="AN12" i="2"/>
  <c r="AH12" i="2"/>
  <c r="AI12" i="2"/>
  <c r="V12" i="2"/>
  <c r="Q12" i="2"/>
  <c r="R12" i="2"/>
  <c r="N12" i="2"/>
  <c r="J12" i="2"/>
  <c r="AK12" i="2" s="1"/>
  <c r="K12" i="2"/>
  <c r="L12" i="2"/>
  <c r="AN9" i="2"/>
  <c r="AH9" i="2"/>
  <c r="AI9" i="2"/>
  <c r="V9" i="2"/>
  <c r="T9" i="2"/>
  <c r="Q9" i="2"/>
  <c r="R9" i="2"/>
  <c r="N9" i="2"/>
  <c r="K9" i="2"/>
  <c r="L9" i="2"/>
  <c r="J9" i="2"/>
  <c r="AF9" i="2" s="1"/>
  <c r="AJ12" i="2" l="1"/>
  <c r="AK9" i="2"/>
  <c r="AJ9" i="2"/>
  <c r="AG12" i="2"/>
  <c r="AF12" i="2"/>
  <c r="AG9" i="2"/>
  <c r="F8" i="3"/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I4" i="18"/>
  <c r="J4" i="18"/>
  <c r="K4" i="18"/>
  <c r="L4" i="18"/>
  <c r="M4" i="18"/>
  <c r="N4" i="18"/>
  <c r="H4" i="18"/>
  <c r="G4" i="18"/>
  <c r="C4" i="18"/>
  <c r="B4" i="18"/>
  <c r="A4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S4" i="18"/>
  <c r="L17" i="18" s="1"/>
  <c r="T4" i="18"/>
  <c r="M17" i="18" s="1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Q4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R4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O4" i="18"/>
  <c r="K17" i="18" s="1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P4" i="18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F12" i="3" l="1"/>
  <c r="O18" i="1" l="1"/>
  <c r="AC18" i="4" l="1"/>
  <c r="AC17" i="4"/>
  <c r="AC15" i="4"/>
  <c r="AC14" i="4"/>
  <c r="AC11" i="4"/>
  <c r="AC10" i="4"/>
  <c r="AC9" i="4"/>
  <c r="AC13" i="4"/>
  <c r="N13" i="4"/>
  <c r="O13" i="4"/>
  <c r="P13" i="4"/>
  <c r="Q13" i="4"/>
  <c r="R13" i="4"/>
  <c r="S13" i="4"/>
  <c r="M13" i="4"/>
  <c r="H13" i="4"/>
  <c r="I13" i="4"/>
  <c r="J13" i="4"/>
  <c r="K13" i="4"/>
  <c r="L13" i="4"/>
  <c r="G13" i="4"/>
  <c r="F13" i="4"/>
  <c r="C13" i="4"/>
  <c r="A13" i="4"/>
  <c r="V13" i="4" s="1"/>
  <c r="F21" i="3" l="1"/>
  <c r="C19" i="9" l="1"/>
  <c r="AO17" i="2"/>
  <c r="I6" i="17" s="1"/>
  <c r="AW17" i="2"/>
  <c r="Q6" i="17" s="1"/>
  <c r="AX17" i="2"/>
  <c r="R6" i="17" s="1"/>
  <c r="AY17" i="2"/>
  <c r="S6" i="17" s="1"/>
  <c r="AZ17" i="2"/>
  <c r="BA17" i="2"/>
  <c r="U6" i="17" s="1"/>
  <c r="BB17" i="2"/>
  <c r="V6" i="17" s="1"/>
  <c r="BC17" i="2"/>
  <c r="W6" i="17" s="1"/>
  <c r="BD17" i="2"/>
  <c r="X6" i="17" s="1"/>
  <c r="BE17" i="2"/>
  <c r="Y6" i="17" s="1"/>
  <c r="BF17" i="2"/>
  <c r="Z6" i="17" s="1"/>
  <c r="BG17" i="2"/>
  <c r="AA6" i="17" s="1"/>
  <c r="T17" i="2"/>
  <c r="AN17" i="2"/>
  <c r="AH17" i="2"/>
  <c r="AI17" i="2"/>
  <c r="V17" i="2"/>
  <c r="Q17" i="2"/>
  <c r="D7" i="18" s="1"/>
  <c r="R17" i="2"/>
  <c r="E7" i="18" s="1"/>
  <c r="N17" i="2"/>
  <c r="J17" i="2"/>
  <c r="AK17" i="2" s="1"/>
  <c r="K17" i="2"/>
  <c r="L17" i="2"/>
  <c r="L12" i="17"/>
  <c r="B14" i="17"/>
  <c r="C14" i="17"/>
  <c r="D14" i="17"/>
  <c r="F14" i="17"/>
  <c r="G14" i="17"/>
  <c r="H14" i="17"/>
  <c r="B21" i="17"/>
  <c r="C21" i="17"/>
  <c r="D21" i="17"/>
  <c r="F21" i="17"/>
  <c r="G21" i="17"/>
  <c r="H21" i="17"/>
  <c r="B20" i="17"/>
  <c r="C20" i="17"/>
  <c r="D20" i="17"/>
  <c r="F20" i="17"/>
  <c r="G20" i="17"/>
  <c r="H20" i="17"/>
  <c r="B13" i="17"/>
  <c r="C13" i="17"/>
  <c r="D13" i="17"/>
  <c r="F13" i="17"/>
  <c r="G13" i="17"/>
  <c r="H13" i="17"/>
  <c r="B19" i="17"/>
  <c r="C19" i="17"/>
  <c r="D19" i="17"/>
  <c r="F19" i="17"/>
  <c r="G19" i="17"/>
  <c r="H19" i="17"/>
  <c r="B4" i="17"/>
  <c r="C4" i="17"/>
  <c r="D4" i="17"/>
  <c r="F4" i="17"/>
  <c r="G4" i="17"/>
  <c r="H4" i="17"/>
  <c r="B3" i="17"/>
  <c r="C3" i="17"/>
  <c r="D3" i="17"/>
  <c r="F3" i="17"/>
  <c r="G3" i="17"/>
  <c r="H3" i="17"/>
  <c r="B5" i="17"/>
  <c r="C5" i="17"/>
  <c r="D5" i="17"/>
  <c r="F5" i="17"/>
  <c r="G5" i="17"/>
  <c r="H5" i="17"/>
  <c r="B6" i="17"/>
  <c r="C6" i="17"/>
  <c r="D6" i="17"/>
  <c r="F6" i="17"/>
  <c r="G6" i="17"/>
  <c r="H6" i="17"/>
  <c r="B8" i="17"/>
  <c r="C8" i="17"/>
  <c r="D8" i="17"/>
  <c r="F8" i="17"/>
  <c r="G8" i="17"/>
  <c r="H8" i="17"/>
  <c r="B17" i="17"/>
  <c r="C17" i="17"/>
  <c r="D17" i="17"/>
  <c r="F17" i="17"/>
  <c r="G17" i="17"/>
  <c r="H17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8" i="17"/>
  <c r="C18" i="17"/>
  <c r="D18" i="17"/>
  <c r="F18" i="17"/>
  <c r="G18" i="17"/>
  <c r="H18" i="17"/>
  <c r="B15" i="17"/>
  <c r="C15" i="17"/>
  <c r="D15" i="17"/>
  <c r="F15" i="17"/>
  <c r="G15" i="17"/>
  <c r="H15" i="17"/>
  <c r="B2" i="17"/>
  <c r="C2" i="17"/>
  <c r="D2" i="17"/>
  <c r="F2" i="17"/>
  <c r="G2" i="17"/>
  <c r="H2" i="17"/>
  <c r="B7" i="17"/>
  <c r="C7" i="17"/>
  <c r="D7" i="17"/>
  <c r="F7" i="17"/>
  <c r="G7" i="17"/>
  <c r="H7" i="17"/>
  <c r="B16" i="17"/>
  <c r="C16" i="17"/>
  <c r="D16" i="17"/>
  <c r="F16" i="17"/>
  <c r="G16" i="17"/>
  <c r="H16" i="17"/>
  <c r="B10" i="17"/>
  <c r="C10" i="17"/>
  <c r="D10" i="17"/>
  <c r="F10" i="17"/>
  <c r="G10" i="17"/>
  <c r="H10" i="17"/>
  <c r="A9" i="17"/>
  <c r="B9" i="17"/>
  <c r="C9" i="17"/>
  <c r="D9" i="17"/>
  <c r="F9" i="17"/>
  <c r="G9" i="17"/>
  <c r="H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21" i="17"/>
  <c r="J21" i="17"/>
  <c r="K21" i="17"/>
  <c r="L21" i="17"/>
  <c r="M21" i="17"/>
  <c r="N21" i="17"/>
  <c r="O21" i="17"/>
  <c r="P21" i="17"/>
  <c r="A20" i="17"/>
  <c r="J20" i="17"/>
  <c r="K20" i="17"/>
  <c r="L20" i="17"/>
  <c r="M20" i="17"/>
  <c r="N20" i="17"/>
  <c r="O20" i="17"/>
  <c r="P20" i="17"/>
  <c r="A13" i="17"/>
  <c r="J13" i="17"/>
  <c r="K13" i="17"/>
  <c r="L13" i="17"/>
  <c r="M13" i="17"/>
  <c r="N13" i="17"/>
  <c r="O13" i="17"/>
  <c r="P13" i="17"/>
  <c r="A19" i="17"/>
  <c r="J19" i="17"/>
  <c r="K19" i="17"/>
  <c r="L19" i="17"/>
  <c r="M19" i="17"/>
  <c r="N19" i="17"/>
  <c r="O19" i="17"/>
  <c r="P19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5" i="17"/>
  <c r="J5" i="17"/>
  <c r="K5" i="17"/>
  <c r="L5" i="17"/>
  <c r="M5" i="17"/>
  <c r="N5" i="17"/>
  <c r="O5" i="17"/>
  <c r="P5" i="17"/>
  <c r="A6" i="17"/>
  <c r="J6" i="17"/>
  <c r="K6" i="17"/>
  <c r="L6" i="17"/>
  <c r="M6" i="17"/>
  <c r="N6" i="17"/>
  <c r="O6" i="17"/>
  <c r="P6" i="17"/>
  <c r="T6" i="17"/>
  <c r="A8" i="17"/>
  <c r="J8" i="17"/>
  <c r="K8" i="17"/>
  <c r="L8" i="17"/>
  <c r="M8" i="17"/>
  <c r="N8" i="17"/>
  <c r="O8" i="17"/>
  <c r="P8" i="17"/>
  <c r="A17" i="17"/>
  <c r="J17" i="17"/>
  <c r="K17" i="17"/>
  <c r="L17" i="17"/>
  <c r="M17" i="17"/>
  <c r="N17" i="17"/>
  <c r="O17" i="17"/>
  <c r="P17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8" i="17"/>
  <c r="J18" i="17"/>
  <c r="K18" i="17"/>
  <c r="L18" i="17"/>
  <c r="M18" i="17"/>
  <c r="N18" i="17"/>
  <c r="O18" i="17"/>
  <c r="P18" i="17"/>
  <c r="A15" i="17"/>
  <c r="J15" i="17"/>
  <c r="K15" i="17"/>
  <c r="L15" i="17"/>
  <c r="M15" i="17"/>
  <c r="N15" i="17"/>
  <c r="O15" i="17"/>
  <c r="P15" i="17"/>
  <c r="A2" i="17"/>
  <c r="J2" i="17"/>
  <c r="K2" i="17"/>
  <c r="L2" i="17"/>
  <c r="M2" i="17"/>
  <c r="N2" i="17"/>
  <c r="O2" i="17"/>
  <c r="P2" i="17"/>
  <c r="A7" i="17"/>
  <c r="J7" i="17"/>
  <c r="K7" i="17"/>
  <c r="L7" i="17"/>
  <c r="M7" i="17"/>
  <c r="N7" i="17"/>
  <c r="O7" i="17"/>
  <c r="P7" i="17"/>
  <c r="A16" i="17"/>
  <c r="J16" i="17"/>
  <c r="K16" i="17"/>
  <c r="L16" i="17"/>
  <c r="M16" i="17"/>
  <c r="N16" i="17"/>
  <c r="O16" i="17"/>
  <c r="P16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J17" i="2" l="1"/>
  <c r="AG17" i="2"/>
  <c r="AF17" i="2"/>
  <c r="AB18" i="2"/>
  <c r="M10" i="18" s="1"/>
  <c r="AB19" i="2"/>
  <c r="AB16" i="2"/>
  <c r="M11" i="18" s="1"/>
  <c r="AB25" i="2"/>
  <c r="AB23" i="2"/>
  <c r="M13" i="18" s="1"/>
  <c r="AB22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E37" i="4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2" i="4"/>
  <c r="AC36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AC30" i="4" s="1"/>
  <c r="O30" i="4"/>
  <c r="B31" i="4"/>
  <c r="H31" i="4"/>
  <c r="AC31" i="4" s="1"/>
  <c r="B32" i="4"/>
  <c r="W32" i="4" s="1"/>
  <c r="H32" i="4"/>
  <c r="O32" i="4"/>
  <c r="A33" i="4"/>
  <c r="B33" i="4"/>
  <c r="E33" i="4"/>
  <c r="B34" i="4"/>
  <c r="W34" i="4" s="1"/>
  <c r="H34" i="4"/>
  <c r="AC34" i="4" s="1"/>
  <c r="B35" i="4"/>
  <c r="E35" i="4"/>
  <c r="H35" i="4"/>
  <c r="AC35" i="4" s="1"/>
  <c r="B36" i="4"/>
  <c r="H36" i="4"/>
  <c r="B37" i="4"/>
  <c r="W37" i="4" s="1"/>
  <c r="H37" i="4"/>
  <c r="AC37" i="4" s="1"/>
  <c r="O37" i="4"/>
  <c r="B38" i="4"/>
  <c r="H38" i="4"/>
  <c r="AC38" i="4" s="1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2" i="4"/>
  <c r="AC7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H33" i="4"/>
  <c r="AC33" i="4" s="1"/>
  <c r="AE13" i="4"/>
  <c r="J33" i="4" s="1"/>
  <c r="AE33" i="4" s="1"/>
  <c r="AF13" i="4"/>
  <c r="K33" i="4" s="1"/>
  <c r="AF33" i="4" s="1"/>
  <c r="AJ13" i="4"/>
  <c r="O33" i="4" s="1"/>
  <c r="AJ33" i="4" s="1"/>
  <c r="AK13" i="4"/>
  <c r="P33" i="4" s="1"/>
  <c r="AK33" i="4" s="1"/>
  <c r="AL13" i="4"/>
  <c r="Q33" i="4" s="1"/>
  <c r="AL33" i="4" s="1"/>
  <c r="AM13" i="4"/>
  <c r="R33" i="4" s="1"/>
  <c r="AM33" i="4" s="1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AI13" i="4"/>
  <c r="N33" i="4" s="1"/>
  <c r="AI33" i="4" s="1"/>
  <c r="AN13" i="4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AH13" i="4"/>
  <c r="M33" i="4" s="1"/>
  <c r="AH33" i="4" s="1"/>
  <c r="M19" i="4"/>
  <c r="T19" i="4" s="1"/>
  <c r="M6" i="4"/>
  <c r="AH6" i="4" s="1"/>
  <c r="CK12" i="18" l="1"/>
  <c r="J25" i="18" s="1"/>
  <c r="H25" i="18"/>
  <c r="T17" i="4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AA13" i="4"/>
  <c r="F33" i="4" s="1"/>
  <c r="AA33" i="4" s="1"/>
  <c r="AB13" i="4"/>
  <c r="G33" i="4" s="1"/>
  <c r="AB33" i="4" s="1"/>
  <c r="AD13" i="4"/>
  <c r="I33" i="4" s="1"/>
  <c r="AD33" i="4" s="1"/>
  <c r="AG13" i="4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J8" i="7" s="1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F4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U26" i="2"/>
  <c r="S26" i="2"/>
  <c r="BG25" i="2"/>
  <c r="AA10" i="17" s="1"/>
  <c r="BF25" i="2"/>
  <c r="Z10" i="17" s="1"/>
  <c r="BE25" i="2"/>
  <c r="Y10" i="17" s="1"/>
  <c r="BD25" i="2"/>
  <c r="X10" i="17" s="1"/>
  <c r="BC25" i="2"/>
  <c r="W10" i="17" s="1"/>
  <c r="BB25" i="2"/>
  <c r="V10" i="17" s="1"/>
  <c r="BA25" i="2"/>
  <c r="U10" i="17" s="1"/>
  <c r="AZ25" i="2"/>
  <c r="T10" i="17" s="1"/>
  <c r="AY25" i="2"/>
  <c r="S10" i="17" s="1"/>
  <c r="AX25" i="2"/>
  <c r="R10" i="17" s="1"/>
  <c r="AW25" i="2"/>
  <c r="Q10" i="17" s="1"/>
  <c r="AO25" i="2"/>
  <c r="I10" i="17" s="1"/>
  <c r="AN25" i="2"/>
  <c r="AI25" i="2"/>
  <c r="AH25" i="2"/>
  <c r="K18" i="4"/>
  <c r="AF18" i="4" s="1"/>
  <c r="K38" i="4" s="1"/>
  <c r="AF38" i="4" s="1"/>
  <c r="H18" i="4"/>
  <c r="V25" i="2"/>
  <c r="T25" i="2"/>
  <c r="R25" i="2"/>
  <c r="Q25" i="2"/>
  <c r="N25" i="2"/>
  <c r="L25" i="2"/>
  <c r="K25" i="2"/>
  <c r="J25" i="2"/>
  <c r="AK25" i="2" s="1"/>
  <c r="BG24" i="2"/>
  <c r="AA16" i="17" s="1"/>
  <c r="BF24" i="2"/>
  <c r="Z16" i="17" s="1"/>
  <c r="BE24" i="2"/>
  <c r="Y16" i="17" s="1"/>
  <c r="BD24" i="2"/>
  <c r="X16" i="17" s="1"/>
  <c r="BC24" i="2"/>
  <c r="W16" i="17" s="1"/>
  <c r="BB24" i="2"/>
  <c r="V16" i="17" s="1"/>
  <c r="BA24" i="2"/>
  <c r="U16" i="17" s="1"/>
  <c r="AZ24" i="2"/>
  <c r="T16" i="17" s="1"/>
  <c r="AY24" i="2"/>
  <c r="S16" i="17" s="1"/>
  <c r="AX24" i="2"/>
  <c r="R16" i="17" s="1"/>
  <c r="AW24" i="2"/>
  <c r="Q16" i="17" s="1"/>
  <c r="AO24" i="2"/>
  <c r="I16" i="17" s="1"/>
  <c r="AN24" i="2"/>
  <c r="AI24" i="2"/>
  <c r="AH24" i="2"/>
  <c r="V24" i="2"/>
  <c r="T24" i="2"/>
  <c r="R24" i="2"/>
  <c r="Q24" i="2"/>
  <c r="N24" i="2"/>
  <c r="L24" i="2"/>
  <c r="K24" i="2"/>
  <c r="J24" i="2"/>
  <c r="AJ24" i="2" s="1"/>
  <c r="BG23" i="2"/>
  <c r="AA7" i="17" s="1"/>
  <c r="BF23" i="2"/>
  <c r="Z7" i="17" s="1"/>
  <c r="BE23" i="2"/>
  <c r="Y7" i="17" s="1"/>
  <c r="BD23" i="2"/>
  <c r="X7" i="17" s="1"/>
  <c r="BC23" i="2"/>
  <c r="W7" i="17" s="1"/>
  <c r="BB23" i="2"/>
  <c r="V7" i="17" s="1"/>
  <c r="BA23" i="2"/>
  <c r="U7" i="17" s="1"/>
  <c r="AZ23" i="2"/>
  <c r="T7" i="17" s="1"/>
  <c r="AY23" i="2"/>
  <c r="S7" i="17" s="1"/>
  <c r="AX23" i="2"/>
  <c r="R7" i="17" s="1"/>
  <c r="AW23" i="2"/>
  <c r="Q7" i="17" s="1"/>
  <c r="AO23" i="2"/>
  <c r="I7" i="17" s="1"/>
  <c r="AN23" i="2"/>
  <c r="AI23" i="2"/>
  <c r="AH23" i="2"/>
  <c r="K17" i="4"/>
  <c r="AF17" i="4" s="1"/>
  <c r="K37" i="4" s="1"/>
  <c r="AF37" i="4" s="1"/>
  <c r="AA23" i="2"/>
  <c r="V23" i="2"/>
  <c r="T23" i="2"/>
  <c r="R23" i="2"/>
  <c r="E13" i="18" s="1"/>
  <c r="Q23" i="2"/>
  <c r="D13" i="18" s="1"/>
  <c r="N23" i="2"/>
  <c r="L23" i="2"/>
  <c r="K23" i="2"/>
  <c r="J23" i="2"/>
  <c r="BG21" i="2"/>
  <c r="AA15" i="17" s="1"/>
  <c r="BF21" i="2"/>
  <c r="Z15" i="17" s="1"/>
  <c r="BE21" i="2"/>
  <c r="Y15" i="17" s="1"/>
  <c r="BD21" i="2"/>
  <c r="X15" i="17" s="1"/>
  <c r="BC21" i="2"/>
  <c r="W15" i="17" s="1"/>
  <c r="BB21" i="2"/>
  <c r="V15" i="17" s="1"/>
  <c r="BA21" i="2"/>
  <c r="U15" i="17" s="1"/>
  <c r="AZ21" i="2"/>
  <c r="T15" i="17" s="1"/>
  <c r="AY21" i="2"/>
  <c r="S15" i="17" s="1"/>
  <c r="AX21" i="2"/>
  <c r="R15" i="17" s="1"/>
  <c r="AW21" i="2"/>
  <c r="Q15" i="17" s="1"/>
  <c r="AO21" i="2"/>
  <c r="I15" i="17" s="1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AA18" i="17" s="1"/>
  <c r="BF20" i="2"/>
  <c r="Z18" i="17" s="1"/>
  <c r="BE20" i="2"/>
  <c r="Y18" i="17" s="1"/>
  <c r="BD20" i="2"/>
  <c r="X18" i="17" s="1"/>
  <c r="BC20" i="2"/>
  <c r="W18" i="17" s="1"/>
  <c r="BB20" i="2"/>
  <c r="V18" i="17" s="1"/>
  <c r="BA20" i="2"/>
  <c r="U18" i="17" s="1"/>
  <c r="AZ20" i="2"/>
  <c r="T18" i="17" s="1"/>
  <c r="AY20" i="2"/>
  <c r="S18" i="17" s="1"/>
  <c r="AX20" i="2"/>
  <c r="R18" i="17" s="1"/>
  <c r="AW20" i="2"/>
  <c r="Q18" i="17" s="1"/>
  <c r="AO20" i="2"/>
  <c r="I18" i="17" s="1"/>
  <c r="AN20" i="2"/>
  <c r="AI20" i="2"/>
  <c r="AH20" i="2"/>
  <c r="V20" i="2"/>
  <c r="T20" i="2"/>
  <c r="R20" i="2"/>
  <c r="Q20" i="2"/>
  <c r="N20" i="2"/>
  <c r="L20" i="2"/>
  <c r="K20" i="2"/>
  <c r="J20" i="2"/>
  <c r="AJ20" i="2" s="1"/>
  <c r="E4" i="18"/>
  <c r="D4" i="18"/>
  <c r="BG22" i="2"/>
  <c r="AA2" i="17" s="1"/>
  <c r="BF22" i="2"/>
  <c r="Z2" i="17" s="1"/>
  <c r="BE22" i="2"/>
  <c r="Y2" i="17" s="1"/>
  <c r="BD22" i="2"/>
  <c r="X2" i="17" s="1"/>
  <c r="BC22" i="2"/>
  <c r="W2" i="17" s="1"/>
  <c r="BB22" i="2"/>
  <c r="V2" i="17" s="1"/>
  <c r="BA22" i="2"/>
  <c r="U2" i="17" s="1"/>
  <c r="AZ22" i="2"/>
  <c r="T2" i="17" s="1"/>
  <c r="AY22" i="2"/>
  <c r="S2" i="17" s="1"/>
  <c r="AX22" i="2"/>
  <c r="R2" i="17" s="1"/>
  <c r="AW22" i="2"/>
  <c r="Q2" i="17" s="1"/>
  <c r="AO22" i="2"/>
  <c r="I2" i="17" s="1"/>
  <c r="AN22" i="2"/>
  <c r="AI22" i="2"/>
  <c r="AH22" i="2"/>
  <c r="K16" i="4"/>
  <c r="AF16" i="4" s="1"/>
  <c r="K36" i="4" s="1"/>
  <c r="AF36" i="4" s="1"/>
  <c r="H16" i="4"/>
  <c r="V22" i="2"/>
  <c r="T22" i="2"/>
  <c r="R22" i="2"/>
  <c r="E12" i="18" s="1"/>
  <c r="Q22" i="2"/>
  <c r="D12" i="18" s="1"/>
  <c r="N22" i="2"/>
  <c r="L22" i="2"/>
  <c r="K22" i="2"/>
  <c r="J22" i="2"/>
  <c r="AJ22" i="2" s="1"/>
  <c r="BG13" i="2"/>
  <c r="AA17" i="17" s="1"/>
  <c r="BF13" i="2"/>
  <c r="Z17" i="17" s="1"/>
  <c r="BE13" i="2"/>
  <c r="Y17" i="17" s="1"/>
  <c r="BD13" i="2"/>
  <c r="X17" i="17" s="1"/>
  <c r="BC13" i="2"/>
  <c r="W17" i="17" s="1"/>
  <c r="BB13" i="2"/>
  <c r="V17" i="17" s="1"/>
  <c r="BA13" i="2"/>
  <c r="U17" i="17" s="1"/>
  <c r="AZ13" i="2"/>
  <c r="T17" i="17" s="1"/>
  <c r="AY13" i="2"/>
  <c r="S17" i="17" s="1"/>
  <c r="AX13" i="2"/>
  <c r="R17" i="17" s="1"/>
  <c r="AW13" i="2"/>
  <c r="Q17" i="17" s="1"/>
  <c r="AO13" i="2"/>
  <c r="I17" i="17" s="1"/>
  <c r="AN13" i="2"/>
  <c r="AI13" i="2"/>
  <c r="AH13" i="2"/>
  <c r="V13" i="2"/>
  <c r="T13" i="2"/>
  <c r="R13" i="2"/>
  <c r="Q13" i="2"/>
  <c r="N13" i="2"/>
  <c r="L13" i="2"/>
  <c r="K13" i="2"/>
  <c r="J13" i="2"/>
  <c r="AG13" i="2" s="1"/>
  <c r="BG11" i="2"/>
  <c r="AA19" i="17" s="1"/>
  <c r="BF11" i="2"/>
  <c r="Z19" i="17" s="1"/>
  <c r="BE11" i="2"/>
  <c r="Y19" i="17" s="1"/>
  <c r="BD11" i="2"/>
  <c r="X19" i="17" s="1"/>
  <c r="BC11" i="2"/>
  <c r="W19" i="17" s="1"/>
  <c r="BB11" i="2"/>
  <c r="V19" i="17" s="1"/>
  <c r="BA11" i="2"/>
  <c r="U19" i="17" s="1"/>
  <c r="AZ11" i="2"/>
  <c r="T19" i="17" s="1"/>
  <c r="AY11" i="2"/>
  <c r="S19" i="17" s="1"/>
  <c r="AX11" i="2"/>
  <c r="R19" i="17" s="1"/>
  <c r="AW11" i="2"/>
  <c r="Q19" i="17" s="1"/>
  <c r="AO11" i="2"/>
  <c r="I19" i="17" s="1"/>
  <c r="AN11" i="2"/>
  <c r="AI11" i="2"/>
  <c r="AH11" i="2"/>
  <c r="K7" i="4"/>
  <c r="AF7" i="4" s="1"/>
  <c r="K27" i="4" s="1"/>
  <c r="AF27" i="4" s="1"/>
  <c r="H7" i="4"/>
  <c r="V11" i="2"/>
  <c r="T11" i="2"/>
  <c r="R11" i="2"/>
  <c r="Q11" i="2"/>
  <c r="N11" i="2"/>
  <c r="L11" i="2"/>
  <c r="K11" i="2"/>
  <c r="J11" i="2"/>
  <c r="AJ11" i="2" s="1"/>
  <c r="BG18" i="2"/>
  <c r="AA8" i="17" s="1"/>
  <c r="BF18" i="2"/>
  <c r="Z8" i="17" s="1"/>
  <c r="BE18" i="2"/>
  <c r="Y8" i="17" s="1"/>
  <c r="BD18" i="2"/>
  <c r="X8" i="17" s="1"/>
  <c r="BC18" i="2"/>
  <c r="W8" i="17" s="1"/>
  <c r="BB18" i="2"/>
  <c r="V8" i="17" s="1"/>
  <c r="BA18" i="2"/>
  <c r="U8" i="17" s="1"/>
  <c r="AZ18" i="2"/>
  <c r="T8" i="17" s="1"/>
  <c r="AY18" i="2"/>
  <c r="S8" i="17" s="1"/>
  <c r="AX18" i="2"/>
  <c r="R8" i="17" s="1"/>
  <c r="AW18" i="2"/>
  <c r="Q8" i="17" s="1"/>
  <c r="AO18" i="2"/>
  <c r="I8" i="17" s="1"/>
  <c r="AN18" i="2"/>
  <c r="AI18" i="2"/>
  <c r="AH18" i="2"/>
  <c r="H9" i="4"/>
  <c r="V18" i="2"/>
  <c r="T18" i="2"/>
  <c r="R18" i="2"/>
  <c r="E10" i="18" s="1"/>
  <c r="Q18" i="2"/>
  <c r="D10" i="18" s="1"/>
  <c r="N18" i="2"/>
  <c r="L18" i="2"/>
  <c r="K18" i="2"/>
  <c r="J18" i="2"/>
  <c r="AJ18" i="2" s="1"/>
  <c r="BG19" i="2"/>
  <c r="AA11" i="17" s="1"/>
  <c r="BF19" i="2"/>
  <c r="Z11" i="17" s="1"/>
  <c r="BE19" i="2"/>
  <c r="Y11" i="17" s="1"/>
  <c r="BD19" i="2"/>
  <c r="X11" i="17" s="1"/>
  <c r="BC19" i="2"/>
  <c r="W11" i="17" s="1"/>
  <c r="BB19" i="2"/>
  <c r="V11" i="17" s="1"/>
  <c r="BA19" i="2"/>
  <c r="U11" i="17" s="1"/>
  <c r="AZ19" i="2"/>
  <c r="T11" i="17" s="1"/>
  <c r="AY19" i="2"/>
  <c r="S11" i="17" s="1"/>
  <c r="AX19" i="2"/>
  <c r="R11" i="17" s="1"/>
  <c r="AW19" i="2"/>
  <c r="Q11" i="17" s="1"/>
  <c r="AO19" i="2"/>
  <c r="I11" i="17" s="1"/>
  <c r="AN19" i="2"/>
  <c r="AI19" i="2"/>
  <c r="AH19" i="2"/>
  <c r="K14" i="4"/>
  <c r="AF14" i="4" s="1"/>
  <c r="K34" i="4" s="1"/>
  <c r="AF34" i="4" s="1"/>
  <c r="H14" i="4"/>
  <c r="V19" i="2"/>
  <c r="T19" i="2"/>
  <c r="R19" i="2"/>
  <c r="Q19" i="2"/>
  <c r="N19" i="2"/>
  <c r="L19" i="2"/>
  <c r="K19" i="2"/>
  <c r="J19" i="2"/>
  <c r="BG16" i="2"/>
  <c r="AA5" i="17" s="1"/>
  <c r="BF16" i="2"/>
  <c r="Z5" i="17" s="1"/>
  <c r="BE16" i="2"/>
  <c r="Y5" i="17" s="1"/>
  <c r="BD16" i="2"/>
  <c r="X5" i="17" s="1"/>
  <c r="BC16" i="2"/>
  <c r="W5" i="17" s="1"/>
  <c r="BB16" i="2"/>
  <c r="V5" i="17" s="1"/>
  <c r="BA16" i="2"/>
  <c r="U5" i="17" s="1"/>
  <c r="AZ16" i="2"/>
  <c r="T5" i="17" s="1"/>
  <c r="AY16" i="2"/>
  <c r="S5" i="17" s="1"/>
  <c r="AX16" i="2"/>
  <c r="R5" i="17" s="1"/>
  <c r="AW16" i="2"/>
  <c r="Q5" i="17" s="1"/>
  <c r="AO16" i="2"/>
  <c r="I5" i="17" s="1"/>
  <c r="AN16" i="2"/>
  <c r="AI16" i="2"/>
  <c r="AH16" i="2"/>
  <c r="K10" i="4"/>
  <c r="AF10" i="4" s="1"/>
  <c r="K30" i="4" s="1"/>
  <c r="AF30" i="4" s="1"/>
  <c r="AA16" i="2"/>
  <c r="H10" i="4"/>
  <c r="V16" i="2"/>
  <c r="T16" i="2"/>
  <c r="R16" i="2"/>
  <c r="E11" i="18" s="1"/>
  <c r="Q16" i="2"/>
  <c r="D11" i="18" s="1"/>
  <c r="N16" i="2"/>
  <c r="L16" i="2"/>
  <c r="K16" i="2"/>
  <c r="J16" i="2"/>
  <c r="BG15" i="2"/>
  <c r="AA3" i="17" s="1"/>
  <c r="BF15" i="2"/>
  <c r="Z3" i="17" s="1"/>
  <c r="BE15" i="2"/>
  <c r="Y3" i="17" s="1"/>
  <c r="BD15" i="2"/>
  <c r="X3" i="17" s="1"/>
  <c r="BC15" i="2"/>
  <c r="W3" i="17" s="1"/>
  <c r="BB15" i="2"/>
  <c r="V3" i="17" s="1"/>
  <c r="BA15" i="2"/>
  <c r="U3" i="17" s="1"/>
  <c r="AZ15" i="2"/>
  <c r="T3" i="17" s="1"/>
  <c r="AY15" i="2"/>
  <c r="S3" i="17" s="1"/>
  <c r="AX15" i="2"/>
  <c r="R3" i="17" s="1"/>
  <c r="AW15" i="2"/>
  <c r="Q3" i="17" s="1"/>
  <c r="AO15" i="2"/>
  <c r="I3" i="17" s="1"/>
  <c r="AN15" i="2"/>
  <c r="AI15" i="2"/>
  <c r="AH15" i="2"/>
  <c r="AB15" i="2"/>
  <c r="H12" i="4"/>
  <c r="V15" i="2"/>
  <c r="T15" i="2"/>
  <c r="R15" i="2"/>
  <c r="E8" i="18" s="1"/>
  <c r="Q15" i="2"/>
  <c r="D8" i="18" s="1"/>
  <c r="N15" i="2"/>
  <c r="L15" i="2"/>
  <c r="K15" i="2"/>
  <c r="J15" i="2"/>
  <c r="AJ15" i="2" s="1"/>
  <c r="BG8" i="2"/>
  <c r="AA21" i="17" s="1"/>
  <c r="BF8" i="2"/>
  <c r="Z21" i="17" s="1"/>
  <c r="BE8" i="2"/>
  <c r="Y21" i="17" s="1"/>
  <c r="BD8" i="2"/>
  <c r="X21" i="17" s="1"/>
  <c r="BC8" i="2"/>
  <c r="W21" i="17" s="1"/>
  <c r="BB8" i="2"/>
  <c r="V21" i="17" s="1"/>
  <c r="BA8" i="2"/>
  <c r="U21" i="17" s="1"/>
  <c r="AZ8" i="2"/>
  <c r="T21" i="17" s="1"/>
  <c r="AY8" i="2"/>
  <c r="S21" i="17" s="1"/>
  <c r="AX8" i="2"/>
  <c r="R21" i="17" s="1"/>
  <c r="AW8" i="2"/>
  <c r="Q21" i="17" s="1"/>
  <c r="AO8" i="2"/>
  <c r="I21" i="17" s="1"/>
  <c r="AN8" i="2"/>
  <c r="AI8" i="2"/>
  <c r="AH8" i="2"/>
  <c r="V8" i="2"/>
  <c r="T8" i="2"/>
  <c r="R8" i="2"/>
  <c r="Q8" i="2"/>
  <c r="N8" i="2"/>
  <c r="L8" i="2"/>
  <c r="K8" i="2"/>
  <c r="J8" i="2"/>
  <c r="AJ8" i="2" s="1"/>
  <c r="BG10" i="2"/>
  <c r="AA13" i="17" s="1"/>
  <c r="BF10" i="2"/>
  <c r="Z13" i="17" s="1"/>
  <c r="BE10" i="2"/>
  <c r="Y13" i="17" s="1"/>
  <c r="BD10" i="2"/>
  <c r="X13" i="17" s="1"/>
  <c r="BC10" i="2"/>
  <c r="W13" i="17" s="1"/>
  <c r="BB10" i="2"/>
  <c r="V13" i="17" s="1"/>
  <c r="BA10" i="2"/>
  <c r="U13" i="17" s="1"/>
  <c r="AZ10" i="2"/>
  <c r="T13" i="17" s="1"/>
  <c r="AY10" i="2"/>
  <c r="S13" i="17" s="1"/>
  <c r="AX10" i="2"/>
  <c r="R13" i="17" s="1"/>
  <c r="AW10" i="2"/>
  <c r="Q13" i="17" s="1"/>
  <c r="AO10" i="2"/>
  <c r="I13" i="17" s="1"/>
  <c r="AN10" i="2"/>
  <c r="AI10" i="2"/>
  <c r="AH10" i="2"/>
  <c r="V10" i="2"/>
  <c r="T10" i="2"/>
  <c r="R10" i="2"/>
  <c r="E5" i="18" s="1"/>
  <c r="Q10" i="2"/>
  <c r="D5" i="18" s="1"/>
  <c r="N10" i="2"/>
  <c r="L10" i="2"/>
  <c r="K10" i="2"/>
  <c r="J10" i="2"/>
  <c r="AJ10" i="2" s="1"/>
  <c r="BG14" i="2"/>
  <c r="AA4" i="17" s="1"/>
  <c r="BF14" i="2"/>
  <c r="Z4" i="17" s="1"/>
  <c r="BE14" i="2"/>
  <c r="Y4" i="17" s="1"/>
  <c r="BD14" i="2"/>
  <c r="X4" i="17" s="1"/>
  <c r="BC14" i="2"/>
  <c r="W4" i="17" s="1"/>
  <c r="BB14" i="2"/>
  <c r="V4" i="17" s="1"/>
  <c r="BA14" i="2"/>
  <c r="U4" i="17" s="1"/>
  <c r="AZ14" i="2"/>
  <c r="T4" i="17" s="1"/>
  <c r="AY14" i="2"/>
  <c r="S4" i="17" s="1"/>
  <c r="AX14" i="2"/>
  <c r="R4" i="17" s="1"/>
  <c r="AW14" i="2"/>
  <c r="Q4" i="17" s="1"/>
  <c r="AO14" i="2"/>
  <c r="I4" i="17" s="1"/>
  <c r="AN14" i="2"/>
  <c r="AI14" i="2"/>
  <c r="AH14" i="2"/>
  <c r="AB14" i="2"/>
  <c r="AA14" i="2"/>
  <c r="H11" i="4"/>
  <c r="V14" i="2"/>
  <c r="T14" i="2"/>
  <c r="R14" i="2"/>
  <c r="E9" i="18" s="1"/>
  <c r="Q14" i="2"/>
  <c r="D9" i="18" s="1"/>
  <c r="N14" i="2"/>
  <c r="L14" i="2"/>
  <c r="K14" i="2"/>
  <c r="J14" i="2"/>
  <c r="BG6" i="2"/>
  <c r="AA20" i="17" s="1"/>
  <c r="BF6" i="2"/>
  <c r="Z20" i="17" s="1"/>
  <c r="BE6" i="2"/>
  <c r="Y20" i="17" s="1"/>
  <c r="BD6" i="2"/>
  <c r="X20" i="17" s="1"/>
  <c r="BC6" i="2"/>
  <c r="W20" i="17" s="1"/>
  <c r="BB6" i="2"/>
  <c r="V20" i="17" s="1"/>
  <c r="BA6" i="2"/>
  <c r="U20" i="17" s="1"/>
  <c r="AZ6" i="2"/>
  <c r="T20" i="17" s="1"/>
  <c r="AY6" i="2"/>
  <c r="S20" i="17" s="1"/>
  <c r="AX6" i="2"/>
  <c r="R20" i="17" s="1"/>
  <c r="AW6" i="2"/>
  <c r="Q20" i="17" s="1"/>
  <c r="AO6" i="2"/>
  <c r="I20" i="17" s="1"/>
  <c r="AN6" i="2"/>
  <c r="AI6" i="2"/>
  <c r="AH6" i="2"/>
  <c r="V6" i="2"/>
  <c r="T6" i="2"/>
  <c r="R6" i="2"/>
  <c r="Q6" i="2"/>
  <c r="N6" i="2"/>
  <c r="L6" i="2"/>
  <c r="K6" i="2"/>
  <c r="J6" i="2"/>
  <c r="AG6" i="2" s="1"/>
  <c r="BG7" i="2"/>
  <c r="AA12" i="17" s="1"/>
  <c r="BF7" i="2"/>
  <c r="Z12" i="17" s="1"/>
  <c r="BE7" i="2"/>
  <c r="Y12" i="17" s="1"/>
  <c r="BD7" i="2"/>
  <c r="X12" i="17" s="1"/>
  <c r="BC7" i="2"/>
  <c r="W12" i="17" s="1"/>
  <c r="BB7" i="2"/>
  <c r="V12" i="17" s="1"/>
  <c r="BA7" i="2"/>
  <c r="U12" i="17" s="1"/>
  <c r="AZ7" i="2"/>
  <c r="T12" i="17" s="1"/>
  <c r="AY7" i="2"/>
  <c r="S12" i="17" s="1"/>
  <c r="AX7" i="2"/>
  <c r="R12" i="17" s="1"/>
  <c r="AW7" i="2"/>
  <c r="Q12" i="17" s="1"/>
  <c r="AO7" i="2"/>
  <c r="I12" i="17" s="1"/>
  <c r="AN7" i="2"/>
  <c r="AI7" i="2"/>
  <c r="AH7" i="2"/>
  <c r="AB7" i="2"/>
  <c r="V7" i="2"/>
  <c r="T7" i="2"/>
  <c r="R7" i="2"/>
  <c r="E6" i="18" s="1"/>
  <c r="Q7" i="2"/>
  <c r="D6" i="18" s="1"/>
  <c r="N7" i="2"/>
  <c r="L7" i="2"/>
  <c r="K7" i="2"/>
  <c r="J7" i="2"/>
  <c r="AJ7" i="2" s="1"/>
  <c r="BG5" i="2"/>
  <c r="AA14" i="17" s="1"/>
  <c r="BF5" i="2"/>
  <c r="Z14" i="17" s="1"/>
  <c r="BE5" i="2"/>
  <c r="Y14" i="17" s="1"/>
  <c r="BD5" i="2"/>
  <c r="X14" i="17" s="1"/>
  <c r="BC5" i="2"/>
  <c r="W14" i="17" s="1"/>
  <c r="BB5" i="2"/>
  <c r="V14" i="17" s="1"/>
  <c r="BA5" i="2"/>
  <c r="U14" i="17" s="1"/>
  <c r="AZ5" i="2"/>
  <c r="T14" i="17" s="1"/>
  <c r="AY5" i="2"/>
  <c r="S14" i="17" s="1"/>
  <c r="AX5" i="2"/>
  <c r="R14" i="17" s="1"/>
  <c r="AW5" i="2"/>
  <c r="Q14" i="17" s="1"/>
  <c r="AO5" i="2"/>
  <c r="I14" i="17" s="1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AA9" i="17" s="1"/>
  <c r="BF4" i="2"/>
  <c r="Z9" i="17" s="1"/>
  <c r="BE4" i="2"/>
  <c r="Y9" i="17" s="1"/>
  <c r="BD4" i="2"/>
  <c r="X9" i="17" s="1"/>
  <c r="BC4" i="2"/>
  <c r="W9" i="17" s="1"/>
  <c r="BB4" i="2"/>
  <c r="V9" i="17" s="1"/>
  <c r="BA4" i="2"/>
  <c r="U9" i="17" s="1"/>
  <c r="AZ4" i="2"/>
  <c r="T9" i="17" s="1"/>
  <c r="AY4" i="2"/>
  <c r="S9" i="17" s="1"/>
  <c r="AX4" i="2"/>
  <c r="R9" i="17" s="1"/>
  <c r="AW4" i="2"/>
  <c r="Q9" i="17" s="1"/>
  <c r="AO4" i="2"/>
  <c r="I9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F11" i="2" s="1"/>
  <c r="O29" i="1"/>
  <c r="O31" i="1"/>
  <c r="B27" i="1"/>
  <c r="O26" i="1"/>
  <c r="O30" i="1"/>
  <c r="O14" i="1"/>
  <c r="O22" i="1"/>
  <c r="O28" i="1"/>
  <c r="O21" i="1"/>
  <c r="O8" i="1"/>
  <c r="O10" i="1"/>
  <c r="O23" i="1"/>
  <c r="O25" i="1"/>
  <c r="O24" i="1"/>
  <c r="O20" i="1"/>
  <c r="O15" i="1"/>
  <c r="O19" i="1"/>
  <c r="O17" i="1"/>
  <c r="O11" i="1"/>
  <c r="O13" i="1"/>
  <c r="O12" i="1"/>
  <c r="O7" i="1"/>
  <c r="O9" i="1"/>
  <c r="O6" i="1"/>
  <c r="F12" i="2" l="1"/>
  <c r="F9" i="2"/>
  <c r="D27" i="9" s="1"/>
  <c r="F13" i="2"/>
  <c r="F20" i="2"/>
  <c r="F24" i="2"/>
  <c r="F21" i="2"/>
  <c r="F23" i="2"/>
  <c r="F7" i="2"/>
  <c r="F18" i="2"/>
  <c r="F16" i="2"/>
  <c r="F22" i="2"/>
  <c r="F14" i="2"/>
  <c r="D15" i="3"/>
  <c r="D24" i="9" s="1"/>
  <c r="E24" i="9" s="1"/>
  <c r="F24" i="9" s="1"/>
  <c r="D18" i="3"/>
  <c r="D16" i="3"/>
  <c r="D21" i="3"/>
  <c r="D17" i="3"/>
  <c r="D4" i="3"/>
  <c r="D17" i="9" s="1"/>
  <c r="E17" i="9" s="1"/>
  <c r="F17" i="9" s="1"/>
  <c r="D14" i="3"/>
  <c r="D23" i="9" s="1"/>
  <c r="E23" i="9" s="1"/>
  <c r="F23" i="9" s="1"/>
  <c r="D12" i="3"/>
  <c r="D11" i="3"/>
  <c r="D8" i="3"/>
  <c r="D21" i="9" s="1"/>
  <c r="E21" i="9" s="1"/>
  <c r="F21" i="9" s="1"/>
  <c r="D10" i="3"/>
  <c r="D5" i="3"/>
  <c r="D9" i="3"/>
  <c r="D16" i="9" s="1"/>
  <c r="E16" i="9" s="1"/>
  <c r="F16" i="9" s="1"/>
  <c r="D3" i="3"/>
  <c r="D22" i="9" s="1"/>
  <c r="E22" i="9" s="1"/>
  <c r="F22" i="9" s="1"/>
  <c r="D7" i="3"/>
  <c r="F6" i="2"/>
  <c r="F8" i="2"/>
  <c r="D28" i="9"/>
  <c r="F10" i="2"/>
  <c r="F25" i="2"/>
  <c r="F19" i="2"/>
  <c r="F17" i="2"/>
  <c r="F15" i="2"/>
  <c r="F4" i="2"/>
  <c r="F5" i="2"/>
  <c r="K11" i="4"/>
  <c r="AF11" i="4" s="1"/>
  <c r="K31" i="4" s="1"/>
  <c r="AF31" i="4" s="1"/>
  <c r="M9" i="18"/>
  <c r="J10" i="4"/>
  <c r="AE10" i="4" s="1"/>
  <c r="J30" i="4" s="1"/>
  <c r="L11" i="18"/>
  <c r="J17" i="4"/>
  <c r="AE17" i="4" s="1"/>
  <c r="J37" i="4" s="1"/>
  <c r="L13" i="18"/>
  <c r="F4" i="4"/>
  <c r="AA4" i="4" s="1"/>
  <c r="F24" i="4" s="1"/>
  <c r="AA24" i="4" s="1"/>
  <c r="H3" i="18"/>
  <c r="K15" i="4"/>
  <c r="AF15" i="4" s="1"/>
  <c r="K35" i="4" s="1"/>
  <c r="AF35" i="4" s="1"/>
  <c r="M6" i="18"/>
  <c r="J11" i="4"/>
  <c r="AE11" i="4" s="1"/>
  <c r="J31" i="4" s="1"/>
  <c r="L9" i="18"/>
  <c r="K12" i="4"/>
  <c r="AF12" i="4" s="1"/>
  <c r="K32" i="4" s="1"/>
  <c r="AF32" i="4" s="1"/>
  <c r="M8" i="18"/>
  <c r="D6" i="3"/>
  <c r="D20" i="9" s="1"/>
  <c r="E20" i="9" s="1"/>
  <c r="F20" i="9" s="1"/>
  <c r="C8" i="7"/>
  <c r="C9" i="7"/>
  <c r="K8" i="7"/>
  <c r="B12" i="7"/>
  <c r="D20" i="3"/>
  <c r="D19" i="3"/>
  <c r="D18" i="9" s="1"/>
  <c r="E18" i="9" s="1"/>
  <c r="F18" i="9" s="1"/>
  <c r="B25" i="3"/>
  <c r="AG24" i="2"/>
  <c r="T2" i="2"/>
  <c r="AK24" i="2"/>
  <c r="AG15" i="2"/>
  <c r="AG7" i="2"/>
  <c r="AF19" i="2"/>
  <c r="AF23" i="2"/>
  <c r="AK6" i="2"/>
  <c r="AG14" i="2"/>
  <c r="AG18" i="2"/>
  <c r="AG11" i="2"/>
  <c r="AK8" i="2"/>
  <c r="AF15" i="2"/>
  <c r="H17" i="4"/>
  <c r="H15" i="4"/>
  <c r="AG25" i="2"/>
  <c r="AJ16" i="2"/>
  <c r="AG16" i="2"/>
  <c r="V26" i="2"/>
  <c r="AK7" i="2"/>
  <c r="AJ6" i="2"/>
  <c r="AK13" i="2"/>
  <c r="AJ25" i="2"/>
  <c r="AK11" i="2"/>
  <c r="AK22" i="2"/>
  <c r="AG20" i="2"/>
  <c r="AF7" i="2"/>
  <c r="AK18" i="2"/>
  <c r="AF11" i="2"/>
  <c r="AG21" i="2"/>
  <c r="AJ4" i="2"/>
  <c r="Q2" i="2"/>
  <c r="AK10" i="2"/>
  <c r="AG8" i="2"/>
  <c r="AF16" i="2"/>
  <c r="AF25" i="2"/>
  <c r="R2" i="2"/>
  <c r="AK20" i="2"/>
  <c r="AG23" i="2"/>
  <c r="AG10" i="2"/>
  <c r="AG22" i="2"/>
  <c r="AJ21" i="2"/>
  <c r="T26" i="2"/>
  <c r="AJ13" i="2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23" i="7"/>
  <c r="L13" i="10"/>
  <c r="L15" i="11"/>
  <c r="K11" i="11"/>
  <c r="K9" i="10"/>
  <c r="E9" i="15"/>
  <c r="E19" i="13"/>
  <c r="E14" i="10"/>
  <c r="E19" i="14"/>
  <c r="E16" i="11"/>
  <c r="E21" i="12"/>
  <c r="AF13" i="2"/>
  <c r="L25" i="11"/>
  <c r="L23" i="10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5" i="2"/>
  <c r="K19" i="13"/>
  <c r="K19" i="14"/>
  <c r="K16" i="11"/>
  <c r="K21" i="12"/>
  <c r="K9" i="15"/>
  <c r="K14" i="10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5" i="7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6" i="2"/>
  <c r="E9" i="10"/>
  <c r="E11" i="11"/>
  <c r="I11" i="11"/>
  <c r="I9" i="10"/>
  <c r="AK14" i="2"/>
  <c r="E8" i="15"/>
  <c r="E17" i="11"/>
  <c r="E14" i="13"/>
  <c r="E15" i="10"/>
  <c r="E10" i="14"/>
  <c r="E11" i="12"/>
  <c r="I14" i="13"/>
  <c r="I11" i="12"/>
  <c r="I15" i="10"/>
  <c r="I10" i="14"/>
  <c r="I17" i="11"/>
  <c r="I8" i="15"/>
  <c r="K25" i="11"/>
  <c r="K23" i="10"/>
  <c r="AF4" i="2"/>
  <c r="I19" i="14"/>
  <c r="I16" i="11"/>
  <c r="I21" i="12"/>
  <c r="I14" i="10"/>
  <c r="I9" i="15"/>
  <c r="I19" i="13"/>
  <c r="AK16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4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9" i="2"/>
  <c r="E17" i="10"/>
  <c r="E19" i="11"/>
  <c r="I19" i="11"/>
  <c r="I17" i="10"/>
  <c r="E22" i="11"/>
  <c r="E20" i="10"/>
  <c r="E20" i="15"/>
  <c r="E11" i="13"/>
  <c r="E22" i="12"/>
  <c r="E21" i="14"/>
  <c r="E12" i="12"/>
  <c r="E15" i="15"/>
  <c r="E8" i="13"/>
  <c r="E22" i="10"/>
  <c r="E12" i="14"/>
  <c r="E24" i="11"/>
  <c r="AF21" i="2"/>
  <c r="E23" i="12"/>
  <c r="E21" i="15"/>
  <c r="E27" i="11"/>
  <c r="E21" i="13"/>
  <c r="E22" i="14"/>
  <c r="I21" i="13"/>
  <c r="I21" i="15"/>
  <c r="I23" i="12"/>
  <c r="I27" i="11"/>
  <c r="I22" i="14"/>
  <c r="P14" i="6"/>
  <c r="M16" i="6"/>
  <c r="H24" i="6"/>
  <c r="E32" i="6"/>
  <c r="H67" i="6"/>
  <c r="C11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E19" i="10"/>
  <c r="E21" i="11"/>
  <c r="I21" i="11"/>
  <c r="I19" i="10"/>
  <c r="AK4" i="2"/>
  <c r="AF5" i="2"/>
  <c r="AJ19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AJ23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AJ14" i="2"/>
  <c r="E12" i="11"/>
  <c r="E10" i="10"/>
  <c r="AF10" i="2"/>
  <c r="E17" i="14"/>
  <c r="E14" i="11"/>
  <c r="E17" i="13"/>
  <c r="E18" i="15"/>
  <c r="E12" i="10"/>
  <c r="E19" i="12"/>
  <c r="AF8" i="2"/>
  <c r="AK19" i="2"/>
  <c r="AF18" i="2"/>
  <c r="AF22" i="2"/>
  <c r="E6" i="13"/>
  <c r="E9" i="14"/>
  <c r="E8" i="12"/>
  <c r="E21" i="10"/>
  <c r="E14" i="15"/>
  <c r="E23" i="11"/>
  <c r="AF20" i="2"/>
  <c r="E25" i="11"/>
  <c r="E23" i="10"/>
  <c r="I23" i="10"/>
  <c r="I25" i="11"/>
  <c r="AK23" i="2"/>
  <c r="AF24" i="2"/>
  <c r="W7" i="15"/>
  <c r="W7" i="14"/>
  <c r="W8" i="12"/>
  <c r="W6" i="15"/>
  <c r="W6" i="11"/>
  <c r="T9" i="14"/>
  <c r="U9" i="14"/>
  <c r="W9" i="14" s="1"/>
  <c r="P4" i="10"/>
  <c r="Q4" i="10"/>
  <c r="O5" i="10"/>
  <c r="V5" i="10" s="1"/>
  <c r="D29" i="9" l="1"/>
  <c r="E29" i="9" s="1"/>
  <c r="F29" i="9" s="1"/>
  <c r="E18" i="17"/>
  <c r="E15" i="17"/>
  <c r="E11" i="17"/>
  <c r="E28" i="9"/>
  <c r="F28" i="9" s="1"/>
  <c r="E10" i="17"/>
  <c r="E17" i="17"/>
  <c r="E27" i="9"/>
  <c r="F27" i="9" s="1"/>
  <c r="E16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7" i="17"/>
  <c r="E2" i="17"/>
  <c r="E8" i="17"/>
  <c r="E12" i="17"/>
  <c r="E20" i="17"/>
  <c r="E21" i="17"/>
  <c r="E13" i="17"/>
  <c r="E14" i="17"/>
  <c r="E3" i="17"/>
  <c r="E4" i="17"/>
  <c r="E19" i="17"/>
  <c r="E9" i="17"/>
  <c r="D19" i="9"/>
  <c r="E19" i="9" s="1"/>
  <c r="F19" i="9" s="1"/>
  <c r="D13" i="4"/>
  <c r="E5" i="17"/>
  <c r="E6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4" i="7"/>
  <c r="D28" i="7" s="1"/>
  <c r="D25" i="7"/>
  <c r="D29" i="7" s="1"/>
  <c r="E16" i="7"/>
  <c r="D23" i="7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CK13" i="18" l="1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Y13" i="4"/>
  <c r="D33" i="4" s="1"/>
  <c r="X13" i="4"/>
  <c r="C33" i="4" s="1"/>
  <c r="Y4" i="4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4" i="7"/>
  <c r="E25" i="7"/>
  <c r="F16" i="7"/>
  <c r="E23" i="7"/>
  <c r="AA58" i="6"/>
  <c r="Z65" i="6"/>
  <c r="E31" i="7"/>
  <c r="F30" i="7"/>
  <c r="G30" i="7" s="1"/>
  <c r="E10" i="6"/>
  <c r="AB50" i="6"/>
  <c r="AA54" i="6"/>
  <c r="H27" i="18" l="1"/>
  <c r="H28" i="18" s="1"/>
  <c r="H30" i="18" s="1"/>
  <c r="J27" i="18"/>
  <c r="J28" i="18" s="1"/>
  <c r="J30" i="18" s="1"/>
  <c r="F30" i="18"/>
  <c r="F29" i="18"/>
  <c r="I30" i="18"/>
  <c r="I29" i="18"/>
  <c r="D30" i="18"/>
  <c r="D29" i="18"/>
  <c r="Y30" i="4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25" i="7"/>
  <c r="F29" i="7" s="1"/>
  <c r="G16" i="7"/>
  <c r="F23" i="7"/>
  <c r="F27" i="7" s="1"/>
  <c r="F24" i="7"/>
  <c r="F28" i="7" s="1"/>
  <c r="AE56" i="6"/>
  <c r="T15" i="6"/>
  <c r="S25" i="6"/>
  <c r="Y3" i="6"/>
  <c r="H29" i="18" l="1"/>
  <c r="J29" i="18"/>
  <c r="E34" i="6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25" i="7"/>
  <c r="H16" i="7"/>
  <c r="G23" i="7"/>
  <c r="G24" i="7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5" i="7"/>
  <c r="H29" i="7" s="1"/>
  <c r="I16" i="7"/>
  <c r="H23" i="7"/>
  <c r="H27" i="7" s="1"/>
  <c r="H24" i="7"/>
  <c r="H28" i="7" s="1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23" i="7"/>
  <c r="I24" i="7"/>
  <c r="I25" i="7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23" i="7"/>
  <c r="J27" i="7" s="1"/>
  <c r="J24" i="7"/>
  <c r="J28" i="7" s="1"/>
  <c r="J25" i="7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4" i="7"/>
  <c r="K25" i="7"/>
  <c r="L16" i="7"/>
  <c r="K23" i="7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4" i="7"/>
  <c r="L28" i="7" s="1"/>
  <c r="L25" i="7"/>
  <c r="L29" i="7" s="1"/>
  <c r="M16" i="7"/>
  <c r="L23" i="7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4" i="7"/>
  <c r="M25" i="7"/>
  <c r="N16" i="7"/>
  <c r="M23" i="7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25" i="7"/>
  <c r="N29" i="7" s="1"/>
  <c r="O16" i="7"/>
  <c r="N23" i="7"/>
  <c r="N27" i="7" s="1"/>
  <c r="N24" i="7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25" i="7" l="1"/>
  <c r="P16" i="7"/>
  <c r="O23" i="7"/>
  <c r="O24" i="7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5" i="7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P22" i="7" l="1"/>
  <c r="P26" i="7" s="1"/>
  <c r="P31" i="7" s="1"/>
  <c r="P17" i="7"/>
  <c r="Q23" i="7"/>
  <c r="Q24" i="7"/>
  <c r="Q25" i="7"/>
  <c r="R16" i="7"/>
  <c r="AC31" i="7"/>
  <c r="AD30" i="7"/>
  <c r="H27" i="6"/>
  <c r="B24" i="6"/>
  <c r="B33" i="6" s="1"/>
  <c r="A35" i="6"/>
  <c r="M26" i="6"/>
  <c r="O32" i="7"/>
  <c r="N33" i="7"/>
  <c r="Q22" i="7" l="1"/>
  <c r="Q17" i="7"/>
  <c r="R23" i="7"/>
  <c r="R27" i="7" s="1"/>
  <c r="R24" i="7"/>
  <c r="R28" i="7" s="1"/>
  <c r="R25" i="7"/>
  <c r="R29" i="7" s="1"/>
  <c r="S16" i="7"/>
  <c r="P32" i="7"/>
  <c r="O33" i="7"/>
  <c r="I27" i="6"/>
  <c r="H26" i="6"/>
  <c r="S24" i="7" l="1"/>
  <c r="S25" i="7"/>
  <c r="T16" i="7"/>
  <c r="S23" i="7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4" i="7"/>
  <c r="T28" i="7" s="1"/>
  <c r="T25" i="7"/>
  <c r="T29" i="7" s="1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I10" i="6"/>
  <c r="H35" i="6"/>
  <c r="R33" i="7"/>
  <c r="S32" i="7"/>
  <c r="I35" i="6" l="1"/>
  <c r="H36" i="6"/>
  <c r="V25" i="7"/>
  <c r="V29" i="7" s="1"/>
  <c r="W16" i="7"/>
  <c r="V23" i="7"/>
  <c r="V27" i="7" s="1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W32" i="7" l="1"/>
  <c r="V33" i="7"/>
  <c r="X17" i="7"/>
  <c r="X22" i="7"/>
  <c r="X26" i="7" s="1"/>
  <c r="X31" i="7" s="1"/>
  <c r="Y23" i="7"/>
  <c r="Y24" i="7"/>
  <c r="Y25" i="7"/>
  <c r="Z16" i="7"/>
  <c r="Y22" i="7" l="1"/>
  <c r="Y17" i="7"/>
  <c r="Z23" i="7"/>
  <c r="Z27" i="7" s="1"/>
  <c r="Z24" i="7"/>
  <c r="Z28" i="7" s="1"/>
  <c r="Z25" i="7"/>
  <c r="Z29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Z33" i="7" l="1"/>
  <c r="AA32" i="7"/>
  <c r="AC24" i="7"/>
  <c r="AC25" i="7"/>
  <c r="AD16" i="7"/>
  <c r="AC23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<sst xmlns="http://schemas.openxmlformats.org/spreadsheetml/2006/main" count="1234" uniqueCount="469">
  <si>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</si>
  <si>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</si>
  <si>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</si>
  <si>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</si>
  <si>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</si>
  <si>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</si>
  <si>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</si>
  <si>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</si>
  <si>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</si>
  <si>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</si>
  <si>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</si>
  <si>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</si>
  <si>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</si>
  <si>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</si>
  <si>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</si>
  <si>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</si>
  <si>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</si>
  <si>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</si>
  <si>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</si>
  <si>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</si>
  <si>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</si>
  <si>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</si>
  <si>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</si>
  <si>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</si>
  <si>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</si>
  <si>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</si>
  <si>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</si>
  <si>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</si>
  <si>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</si>
  <si>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</si>
  <si>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</si>
  <si>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</si>
  <si>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</si>
  <si>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</si>
  <si>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</si>
  <si>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</si>
  <si>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</si>
  <si>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</si>
  <si>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</si>
  <si>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</si>
  <si>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</si>
  <si>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</si>
  <si>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</si>
  <si>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</si>
  <si>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</si>
  <si>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</si>
  <si>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</si>
  <si>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</si>
  <si>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</si>
  <si>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</si>
  <si>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</si>
  <si>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</si>
  <si>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</si>
  <si>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</si>
  <si>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</si>
  <si>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</si>
  <si>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</si>
  <si>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</si>
  <si>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</si>
  <si>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</si>
  <si>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</si>
  <si>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</si>
  <si>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</si>
  <si>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</si>
  <si>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</si>
  <si>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</si>
  <si>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</si>
  <si>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</si>
  <si>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</si>
  <si>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</si>
  <si>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</si>
  <si>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</si>
  <si>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</si>
  <si>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</si>
  <si>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</si>
  <si>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</si>
  <si>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</si>
  <si>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</si>
  <si>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</si>
  <si>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</si>
  <si>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</si>
  <si>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</si>
  <si>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</si>
  <si>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</si>
  <si>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</si>
  <si>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</si>
  <si>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</si>
  <si>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</si>
  <si>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</si>
  <si>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</si>
  <si>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</si>
  <si>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</si>
  <si>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</si>
  <si>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</si>
  <si>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</si>
  <si>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</si>
  <si>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</si>
  <si>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</si>
  <si>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</si>
  <si>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</si>
  <si>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</si>
  <si>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</si>
  <si>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</si>
  <si>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</si>
  <si>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</si>
  <si>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</si>
  <si>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</si>
  <si>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</si>
  <si>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</si>
  <si>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</si>
  <si>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</si>
  <si>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</si>
  <si>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</si>
  <si>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</si>
  <si>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</si>
  <si>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</si>
  <si>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</si>
  <si>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</si>
  <si>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</si>
  <si>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</si>
  <si>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</si>
  <si>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</si>
  <si>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</si>
  <si>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</si>
  <si>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</si>
  <si>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</si>
  <si>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</si>
  <si>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</si>
  <si>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</si>
  <si>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</si>
  <si>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2/13/2020</t>
  </si>
  <si>
    <t>#10</t>
  </si>
  <si>
    <t>I. Escuder</t>
  </si>
  <si>
    <t>#7</t>
  </si>
  <si>
    <t>A. Baldoví</t>
  </si>
  <si>
    <t>#14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</si>
  <si>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</si>
  <si>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</si>
  <si>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</si>
  <si>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</si>
  <si>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</si>
  <si>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</si>
  <si>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</si>
  <si>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</si>
  <si>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</si>
  <si>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</si>
  <si>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</si>
  <si>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</si>
  <si>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</si>
  <si>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</si>
  <si>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</si>
  <si>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</si>
  <si>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</si>
  <si>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</si>
  <si>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</si>
  <si>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</si>
  <si>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</si>
  <si>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</si>
  <si>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</si>
  <si>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</si>
  <si>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</si>
  <si>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</si>
  <si>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</si>
  <si>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</si>
  <si>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</si>
  <si>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no</t>
  </si>
  <si>
    <t>L. Cabistany</t>
  </si>
  <si>
    <t>FF+5</t>
  </si>
  <si>
    <t>P. Recatalà</t>
  </si>
  <si>
    <t>FF+2</t>
  </si>
  <si>
    <t>P. Benaiges</t>
  </si>
  <si>
    <t>G. Gasque</t>
  </si>
  <si>
    <t>R. Fernández</t>
  </si>
  <si>
    <t>T. Vallcaneras</t>
  </si>
  <si>
    <t>FF</t>
  </si>
  <si>
    <t>Malintencionat i no Infame</t>
  </si>
  <si>
    <t>FC-4</t>
  </si>
  <si>
    <t>A. Machado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</si>
  <si>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</si>
  <si>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</si>
  <si>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</si>
  <si>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</si>
  <si>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</si>
  <si>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</si>
  <si>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</si>
  <si>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</si>
  <si>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</si>
  <si>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</si>
  <si>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</si>
  <si>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</si>
  <si>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</si>
  <si>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</si>
  <si>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</si>
  <si>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</si>
  <si>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</si>
  <si>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</si>
  <si>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</si>
  <si>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</si>
  <si>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</si>
  <si>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</si>
  <si>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</si>
  <si>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</si>
  <si>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</si>
  <si>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</si>
  <si>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</si>
  <si>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</si>
  <si>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</si>
  <si>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</si>
  <si>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</si>
  <si>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</si>
  <si>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</si>
  <si>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</si>
  <si>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</si>
  <si>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</si>
  <si>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</si>
  <si>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</si>
  <si>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</si>
  <si>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</si>
  <si>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</si>
  <si>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</si>
  <si>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</si>
  <si>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</si>
  <si>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</si>
  <si>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</si>
  <si>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</si>
  <si>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</si>
  <si>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</si>
  <si>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</si>
  <si>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</si>
  <si>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</si>
  <si>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</si>
  <si>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</si>
  <si>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</si>
  <si>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</si>
  <si>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</si>
  <si>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</si>
  <si>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</si>
  <si>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</si>
  <si>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</si>
  <si>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</si>
  <si>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</si>
  <si>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</si>
  <si>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</si>
  <si>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</si>
  <si>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</si>
  <si>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</si>
  <si>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</si>
  <si>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</si>
  <si>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</si>
  <si>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</si>
  <si>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</si>
  <si>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</si>
  <si>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</si>
  <si>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</si>
  <si>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</si>
  <si>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</si>
  <si>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</si>
  <si>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</si>
  <si>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</si>
  <si>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</si>
  <si>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</si>
  <si>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</si>
  <si>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</si>
  <si>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</si>
  <si>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</si>
  <si>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</si>
  <si>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</si>
  <si>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</si>
  <si>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</si>
  <si>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</si>
  <si>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</si>
  <si>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</si>
  <si>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</si>
  <si>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</si>
  <si>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</si>
  <si>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</si>
  <si>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</si>
  <si>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</si>
  <si>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</si>
  <si>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</si>
  <si>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</si>
  <si>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</si>
  <si>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</si>
  <si>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</si>
  <si>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</si>
  <si>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</si>
  <si>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</si>
  <si>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</si>
  <si>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</si>
  <si>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</si>
  <si>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</si>
  <si>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</si>
  <si>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</si>
  <si>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</si>
  <si>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</si>
  <si>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</si>
  <si>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</si>
  <si>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</si>
  <si>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</si>
  <si>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</si>
  <si>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</si>
  <si>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</si>
  <si>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</si>
  <si>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</si>
  <si>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</si>
  <si>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</si>
  <si>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</si>
  <si>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</si>
  <si>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</si>
  <si>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</si>
  <si>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</si>
  <si>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</si>
  <si>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</si>
  <si>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</si>
  <si>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</si>
  <si>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</si>
  <si>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</si>
  <si>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</si>
  <si>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</si>
  <si>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</si>
  <si>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</si>
  <si>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</si>
  <si>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</si>
  <si>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</si>
  <si>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</si>
  <si>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</si>
  <si>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</si>
  <si>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</si>
  <si>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</si>
  <si>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</si>
  <si>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</si>
  <si>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</si>
  <si>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</si>
  <si>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</si>
  <si>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</si>
  <si>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</si>
  <si>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</si>
  <si>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</si>
  <si>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</si>
  <si>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</si>
  <si>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</si>
  <si>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</si>
  <si>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</si>
  <si>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</si>
  <si>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</si>
  <si>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</si>
  <si>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</si>
  <si>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</si>
  <si>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</si>
  <si>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</si>
  <si>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</si>
  <si>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</si>
  <si>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</si>
  <si>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</si>
  <si>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</si>
  <si>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</si>
  <si>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</si>
  <si>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</si>
  <si>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</si>
  <si>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</si>
  <si>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</si>
  <si>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</si>
  <si>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</si>
  <si>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</si>
  <si>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</si>
  <si>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</si>
  <si>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</si>
  <si>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</si>
  <si>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</si>
  <si>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</si>
  <si>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</si>
  <si>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</si>
  <si>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</si>
  <si>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</si>
  <si>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</si>
  <si>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</si>
  <si>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</si>
  <si>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</si>
  <si>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</si>
  <si>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</si>
  <si>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</si>
  <si>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</si>
  <si>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</si>
  <si>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</si>
  <si>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</si>
  <si>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</si>
  <si>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</si>
  <si>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</si>
  <si>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</si>
  <si>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</si>
  <si>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</si>
  <si>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</si>
  <si>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</si>
  <si>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</si>
  <si>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</si>
  <si>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</si>
  <si>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</si>
  <si>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</si>
  <si>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</si>
  <si>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</si>
  <si>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</si>
  <si>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</si>
  <si>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</si>
  <si>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</si>
  <si>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</si>
  <si>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</si>
  <si>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</si>
  <si>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</si>
  <si>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</si>
  <si>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</si>
  <si>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</si>
  <si>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</si>
  <si>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</si>
  <si>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</si>
  <si>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</si>
  <si>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</si>
  <si>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</si>
  <si>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</si>
  <si>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</si>
  <si>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</si>
  <si>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</si>
  <si>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</si>
  <si>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</si>
  <si>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</si>
  <si>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</si>
  <si>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</si>
  <si>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</si>
  <si>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</si>
  <si>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</si>
  <si>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</si>
  <si>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</si>
  <si>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</si>
  <si>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</si>
  <si>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</si>
  <si>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</si>
  <si>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</si>
  <si>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</si>
  <si>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</si>
  <si>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</si>
  <si>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</si>
  <si>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</si>
  <si>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</si>
  <si>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</si>
  <si>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</si>
  <si>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</si>
  <si>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</si>
  <si>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</si>
  <si>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</si>
  <si>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H. Condis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</si>
  <si>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</si>
  <si>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</si>
  <si>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</si>
  <si>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</si>
  <si>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</si>
  <si>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</si>
  <si>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</si>
  <si>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E. Mosoll</t>
  </si>
  <si>
    <t>J. Monzo</t>
  </si>
  <si>
    <t>L. Müller</t>
  </si>
  <si>
    <t>O. Bothorel</t>
  </si>
  <si>
    <t>K. Mazurier</t>
  </si>
  <si>
    <t>A. Ribatallada</t>
  </si>
  <si>
    <t>H. Girona</t>
  </si>
  <si>
    <t>#3</t>
  </si>
  <si>
    <t>G. Gasqué</t>
  </si>
  <si>
    <t>298 hts</t>
  </si>
  <si>
    <t>Luke JC - FC Pinkman</t>
  </si>
  <si>
    <t>279 hts</t>
  </si>
  <si>
    <t>gabirux FC - Luke 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</si>
</sst>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\ %"/>
    <numFmt numFmtId="178" formatCode="0.000"/>
    <numFmt numFmtId="179" formatCode="[$-C0A]d\ mmmm\ yyyy;@"/>
  </numFmts>
  <fonts count="48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</fonts>
  <fills count="102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8" tint="0.79998168889431442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7" fillId="0" borderId="0" applyBorder="0" applyProtection="0"/>
    <xf numFmtId="164" fontId="1" fillId="0" borderId="0" applyBorder="0" applyAlignment="0" applyProtection="0"/>
    <xf numFmtId="173" fontId="37" fillId="0" borderId="0" applyBorder="0" applyProtection="0"/>
    <xf numFmtId="42" fontId="1" fillId="0" borderId="0" applyBorder="0" applyAlignment="0" applyProtection="0"/>
    <xf numFmtId="166" fontId="37" fillId="0" borderId="0" applyBorder="0" applyProtection="0"/>
    <xf numFmtId="0" fontId="37" fillId="0" borderId="0"/>
  </cellStyleXfs>
  <cellXfs count="466">
    <xf numFmtId="0" fontId="0" fillId="0" borderId="0" xfId="0"/>
    <xf numFmtId="0" fontId="3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7" fillId="0" borderId="0" xfId="6" applyNumberFormat="1"/>
    <xf numFmtId="1" fontId="18" fillId="0" borderId="0" xfId="6" applyNumberFormat="1" applyFont="1" applyAlignment="1">
      <alignment horizontal="right"/>
    </xf>
    <xf numFmtId="172" fontId="37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7" fillId="0" borderId="0" xfId="6" applyNumberFormat="1" applyAlignment="1">
      <alignment horizontal="center"/>
    </xf>
    <xf numFmtId="0" fontId="37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7" fillId="0" borderId="24" xfId="6" applyNumberFormat="1" applyBorder="1" applyAlignment="1">
      <alignment horizontal="center"/>
    </xf>
    <xf numFmtId="2" fontId="37" fillId="0" borderId="25" xfId="6" applyNumberFormat="1" applyBorder="1" applyAlignment="1">
      <alignment horizontal="center"/>
    </xf>
    <xf numFmtId="2" fontId="37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7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7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7" fillId="0" borderId="29" xfId="6" applyNumberFormat="1" applyBorder="1" applyAlignment="1">
      <alignment horizontal="center"/>
    </xf>
    <xf numFmtId="2" fontId="37" fillId="0" borderId="30" xfId="6" applyNumberFormat="1" applyBorder="1" applyAlignment="1">
      <alignment horizontal="center"/>
    </xf>
    <xf numFmtId="2" fontId="37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7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37" fillId="22" borderId="32" xfId="6" applyFill="1" applyBorder="1" applyAlignment="1">
      <alignment horizontal="center"/>
    </xf>
    <xf numFmtId="0" fontId="37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7" fillId="5" borderId="4" xfId="6" applyFill="1" applyBorder="1" applyAlignment="1">
      <alignment horizontal="right"/>
    </xf>
    <xf numFmtId="0" fontId="37" fillId="5" borderId="4" xfId="6" applyFill="1" applyBorder="1"/>
    <xf numFmtId="1" fontId="37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7" fillId="24" borderId="34" xfId="6" applyNumberFormat="1" applyFill="1" applyBorder="1" applyAlignment="1">
      <alignment horizontal="center"/>
    </xf>
    <xf numFmtId="165" fontId="37" fillId="5" borderId="4" xfId="6" applyNumberFormat="1" applyFill="1" applyBorder="1" applyAlignment="1">
      <alignment horizontal="center"/>
    </xf>
    <xf numFmtId="0" fontId="37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7" fillId="26" borderId="36" xfId="6" applyNumberFormat="1" applyFill="1" applyBorder="1" applyAlignment="1">
      <alignment horizontal="center"/>
    </xf>
    <xf numFmtId="2" fontId="37" fillId="27" borderId="37" xfId="6" applyNumberFormat="1" applyFill="1" applyBorder="1" applyAlignment="1">
      <alignment horizontal="center"/>
    </xf>
    <xf numFmtId="2" fontId="37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7" fillId="28" borderId="38" xfId="6" applyFill="1" applyBorder="1" applyAlignment="1">
      <alignment horizontal="center"/>
    </xf>
    <xf numFmtId="0" fontId="37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7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7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7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7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5" fontId="0" fillId="0" borderId="47" xfId="0" applyNumberFormat="1" applyBorder="1"/>
    <xf numFmtId="175" fontId="0" fillId="0" borderId="48" xfId="0" applyNumberFormat="1" applyBorder="1"/>
    <xf numFmtId="175" fontId="0" fillId="0" borderId="49" xfId="0" applyNumberFormat="1" applyBorder="1"/>
    <xf numFmtId="0" fontId="17" fillId="36" borderId="50" xfId="0" applyFont="1" applyFill="1" applyBorder="1"/>
    <xf numFmtId="175" fontId="17" fillId="36" borderId="50" xfId="0" applyNumberFormat="1" applyFont="1" applyFill="1" applyBorder="1"/>
    <xf numFmtId="175" fontId="17" fillId="37" borderId="51" xfId="0" applyNumberFormat="1" applyFont="1" applyFill="1" applyBorder="1"/>
    <xf numFmtId="0" fontId="2" fillId="0" borderId="23" xfId="0" applyFont="1" applyBorder="1"/>
    <xf numFmtId="175" fontId="2" fillId="0" borderId="22" xfId="0" applyNumberFormat="1" applyFont="1" applyBorder="1"/>
    <xf numFmtId="167" fontId="2" fillId="0" borderId="0" xfId="5" applyNumberFormat="1" applyFont="1"/>
    <xf numFmtId="175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5" fontId="17" fillId="38" borderId="52" xfId="0" applyNumberFormat="1" applyFont="1" applyFill="1" applyBorder="1"/>
    <xf numFmtId="175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5" fontId="0" fillId="42" borderId="56" xfId="0" applyNumberFormat="1" applyFill="1" applyBorder="1"/>
    <xf numFmtId="167" fontId="37" fillId="0" borderId="0" xfId="5" applyNumberFormat="1"/>
    <xf numFmtId="0" fontId="0" fillId="43" borderId="57" xfId="0" applyFill="1" applyBorder="1" applyAlignment="1">
      <alignment horizontal="right"/>
    </xf>
    <xf numFmtId="175" fontId="0" fillId="44" borderId="58" xfId="0" applyNumberFormat="1" applyFill="1" applyBorder="1"/>
    <xf numFmtId="167" fontId="37" fillId="0" borderId="28" xfId="5" applyNumberFormat="1" applyBorder="1"/>
    <xf numFmtId="175" fontId="2" fillId="45" borderId="59" xfId="0" applyNumberFormat="1" applyFont="1" applyFill="1" applyBorder="1"/>
    <xf numFmtId="175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5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0" xfId="0" applyNumberFormat="1"/>
    <xf numFmtId="0" fontId="0" fillId="0" borderId="23" xfId="0" applyBorder="1"/>
    <xf numFmtId="175" fontId="0" fillId="0" borderId="22" xfId="0" applyNumberFormat="1" applyBorder="1"/>
    <xf numFmtId="175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5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5" fontId="0" fillId="2" borderId="1" xfId="0" applyNumberFormat="1" applyFill="1" applyBorder="1" applyAlignment="1">
      <alignment horizontal="right"/>
    </xf>
    <xf numFmtId="0" fontId="27" fillId="0" borderId="0" xfId="0" applyFont="1"/>
    <xf numFmtId="0" fontId="28" fillId="0" borderId="0" xfId="0" applyFont="1"/>
    <xf numFmtId="167" fontId="27" fillId="0" borderId="5" xfId="0" applyNumberFormat="1" applyFont="1" applyBorder="1"/>
    <xf numFmtId="0" fontId="0" fillId="0" borderId="22" xfId="0" applyBorder="1"/>
    <xf numFmtId="0" fontId="27" fillId="40" borderId="54" xfId="0" applyFont="1" applyFill="1" applyBorder="1"/>
    <xf numFmtId="0" fontId="27" fillId="40" borderId="54" xfId="0" applyFont="1" applyFill="1" applyBorder="1" applyAlignment="1">
      <alignment wrapText="1"/>
    </xf>
    <xf numFmtId="175" fontId="27" fillId="45" borderId="59" xfId="0" applyNumberFormat="1" applyFont="1" applyFill="1" applyBorder="1"/>
    <xf numFmtId="175" fontId="27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5" fontId="2" fillId="52" borderId="66" xfId="0" applyNumberFormat="1" applyFont="1" applyFill="1" applyBorder="1"/>
    <xf numFmtId="175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5" fontId="0" fillId="54" borderId="68" xfId="0" applyNumberFormat="1" applyFill="1" applyBorder="1"/>
    <xf numFmtId="175" fontId="0" fillId="0" borderId="28" xfId="0" applyNumberFormat="1" applyBorder="1"/>
    <xf numFmtId="175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5" fontId="0" fillId="5" borderId="4" xfId="0" applyNumberFormat="1" applyFill="1" applyBorder="1" applyAlignment="1">
      <alignment horizontal="right"/>
    </xf>
    <xf numFmtId="175" fontId="2" fillId="0" borderId="22" xfId="0" applyNumberFormat="1" applyFont="1" applyBorder="1" applyAlignment="1">
      <alignment horizontal="right"/>
    </xf>
    <xf numFmtId="0" fontId="30" fillId="0" borderId="0" xfId="0" applyFont="1"/>
    <xf numFmtId="175" fontId="0" fillId="5" borderId="4" xfId="0" applyNumberFormat="1" applyFill="1" applyBorder="1"/>
    <xf numFmtId="167" fontId="2" fillId="51" borderId="65" xfId="5" applyNumberFormat="1" applyFont="1" applyFill="1" applyBorder="1"/>
    <xf numFmtId="175" fontId="0" fillId="55" borderId="69" xfId="0" applyNumberFormat="1" applyFill="1" applyBorder="1"/>
    <xf numFmtId="0" fontId="30" fillId="51" borderId="65" xfId="0" applyFont="1" applyFill="1" applyBorder="1" applyAlignment="1">
      <alignment wrapText="1"/>
    </xf>
    <xf numFmtId="0" fontId="30" fillId="51" borderId="65" xfId="0" applyFont="1" applyFill="1" applyBorder="1"/>
    <xf numFmtId="175" fontId="30" fillId="52" borderId="66" xfId="0" applyNumberFormat="1" applyFont="1" applyFill="1" applyBorder="1"/>
    <xf numFmtId="175" fontId="30" fillId="51" borderId="65" xfId="0" applyNumberFormat="1" applyFont="1" applyFill="1" applyBorder="1"/>
    <xf numFmtId="0" fontId="17" fillId="39" borderId="53" xfId="0" applyFont="1" applyFill="1" applyBorder="1"/>
    <xf numFmtId="0" fontId="25" fillId="0" borderId="0" xfId="0" applyFont="1" applyAlignment="1">
      <alignment wrapText="1"/>
    </xf>
    <xf numFmtId="165" fontId="25" fillId="0" borderId="0" xfId="0" applyNumberFormat="1" applyFont="1" applyAlignment="1">
      <alignment wrapText="1"/>
    </xf>
    <xf numFmtId="175" fontId="0" fillId="0" borderId="22" xfId="0" applyNumberFormat="1" applyBorder="1" applyAlignment="1">
      <alignment horizontal="right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0" fillId="0" borderId="5" xfId="5" applyNumberFormat="1" applyFont="1" applyBorder="1"/>
    <xf numFmtId="167" fontId="30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5" fontId="0" fillId="58" borderId="73" xfId="0" applyNumberFormat="1" applyFill="1" applyBorder="1"/>
    <xf numFmtId="0" fontId="0" fillId="0" borderId="74" xfId="0" applyBorder="1" applyAlignment="1">
      <alignment horizontal="right"/>
    </xf>
    <xf numFmtId="175" fontId="0" fillId="0" borderId="75" xfId="0" applyNumberFormat="1" applyBorder="1"/>
    <xf numFmtId="167" fontId="37" fillId="0" borderId="76" xfId="5" applyNumberFormat="1" applyBorder="1"/>
    <xf numFmtId="174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5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75" fontId="31" fillId="0" borderId="0" xfId="0" applyNumberFormat="1" applyFont="1"/>
    <xf numFmtId="0" fontId="15" fillId="0" borderId="0" xfId="0" applyFont="1" applyAlignment="1">
      <alignment horizontal="right"/>
    </xf>
    <xf numFmtId="175" fontId="15" fillId="0" borderId="0" xfId="0" applyNumberFormat="1" applyFont="1"/>
    <xf numFmtId="2" fontId="32" fillId="0" borderId="0" xfId="0" applyNumberFormat="1" applyFont="1"/>
    <xf numFmtId="0" fontId="33" fillId="0" borderId="0" xfId="0" applyFont="1"/>
    <xf numFmtId="177" fontId="37" fillId="0" borderId="0" xfId="5" applyNumberFormat="1"/>
    <xf numFmtId="170" fontId="0" fillId="0" borderId="0" xfId="0" applyNumberFormat="1"/>
    <xf numFmtId="165" fontId="25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5" fontId="2" fillId="40" borderId="54" xfId="0" applyNumberFormat="1" applyFont="1" applyFill="1" applyBorder="1"/>
    <xf numFmtId="175" fontId="2" fillId="51" borderId="65" xfId="0" applyNumberFormat="1" applyFont="1" applyFill="1" applyBorder="1"/>
    <xf numFmtId="175" fontId="33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4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5" fillId="62" borderId="81" xfId="0" applyFont="1" applyFill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6" fillId="63" borderId="83" xfId="0" applyFont="1" applyFill="1" applyBorder="1" applyAlignment="1">
      <alignment horizontal="center" wrapText="1"/>
    </xf>
    <xf numFmtId="0" fontId="35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6" fillId="0" borderId="71" xfId="0" applyFont="1" applyBorder="1" applyAlignment="1">
      <alignment horizontal="center" wrapText="1"/>
    </xf>
    <xf numFmtId="174" fontId="37" fillId="0" borderId="5" xfId="3" applyNumberFormat="1" applyBorder="1"/>
    <xf numFmtId="0" fontId="36" fillId="0" borderId="5" xfId="0" applyFont="1" applyBorder="1" applyAlignment="1">
      <alignment horizontal="center" wrapText="1"/>
    </xf>
    <xf numFmtId="174" fontId="37" fillId="0" borderId="82" xfId="3" applyNumberFormat="1" applyBorder="1"/>
    <xf numFmtId="1" fontId="0" fillId="65" borderId="85" xfId="0" applyNumberFormat="1" applyFill="1" applyBorder="1"/>
    <xf numFmtId="0" fontId="36" fillId="66" borderId="86" xfId="0" applyFont="1" applyFill="1" applyBorder="1" applyAlignment="1">
      <alignment horizontal="center" wrapText="1"/>
    </xf>
    <xf numFmtId="0" fontId="36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7" fillId="69" borderId="89" xfId="5" applyNumberFormat="1" applyFill="1" applyBorder="1"/>
    <xf numFmtId="167" fontId="37" fillId="70" borderId="90" xfId="5" applyNumberFormat="1" applyFill="1" applyBorder="1"/>
    <xf numFmtId="1" fontId="0" fillId="0" borderId="0" xfId="0" applyNumberFormat="1"/>
    <xf numFmtId="167" fontId="37" fillId="71" borderId="91" xfId="5" applyNumberFormat="1" applyFill="1" applyBorder="1"/>
    <xf numFmtId="175" fontId="0" fillId="71" borderId="91" xfId="0" applyNumberFormat="1" applyFill="1" applyBorder="1" applyAlignment="1">
      <alignment wrapText="1"/>
    </xf>
    <xf numFmtId="175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5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6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6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6" fontId="25" fillId="75" borderId="95" xfId="0" applyNumberFormat="1" applyFont="1" applyFill="1" applyBorder="1"/>
    <xf numFmtId="0" fontId="25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7" fillId="21" borderId="21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1" fillId="6" borderId="6" xfId="1" applyNumberFormat="1" applyFont="1" applyFill="1" applyBorder="1" applyAlignment="1">
      <alignment horizontal="right" vertical="center"/>
    </xf>
    <xf numFmtId="0" fontId="37" fillId="86" borderId="106" xfId="6" applyFont="1" applyFill="1" applyBorder="1" applyAlignment="1">
      <alignment horizontal="right"/>
    </xf>
    <xf numFmtId="0" fontId="37" fillId="91" borderId="106" xfId="6" applyFont="1" applyFill="1" applyBorder="1" applyAlignment="1">
      <alignment horizontal="right"/>
    </xf>
    <xf numFmtId="0" fontId="37" fillId="92" borderId="106" xfId="6" applyFont="1" applyFill="1" applyBorder="1" applyAlignment="1">
      <alignment horizontal="right"/>
    </xf>
    <xf numFmtId="1" fontId="40" fillId="0" borderId="0" xfId="0" applyNumberFormat="1" applyFont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2" fontId="40" fillId="0" borderId="25" xfId="6" applyNumberFormat="1" applyFont="1" applyBorder="1" applyAlignment="1">
      <alignment horizontal="center"/>
    </xf>
    <xf numFmtId="2" fontId="40" fillId="0" borderId="26" xfId="6" applyNumberFormat="1" applyFont="1" applyBorder="1" applyAlignment="1">
      <alignment horizontal="center"/>
    </xf>
    <xf numFmtId="1" fontId="0" fillId="33" borderId="1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100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4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3" borderId="2" xfId="0" applyFill="1" applyBorder="1" applyAlignment="1">
      <alignment horizontal="center"/>
    </xf>
    <xf numFmtId="0" fontId="0" fillId="93" borderId="2" xfId="0" applyFill="1" applyBorder="1"/>
    <xf numFmtId="165" fontId="0" fillId="93" borderId="2" xfId="0" applyNumberFormat="1" applyFill="1" applyBorder="1"/>
    <xf numFmtId="0" fontId="0" fillId="88" borderId="108" xfId="0" applyFont="1" applyFill="1" applyBorder="1"/>
    <xf numFmtId="0" fontId="45" fillId="0" borderId="0" xfId="0" applyFont="1" applyAlignment="1">
      <alignment horizontal="center"/>
    </xf>
    <xf numFmtId="178" fontId="45" fillId="0" borderId="111" xfId="0" applyNumberFormat="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111" xfId="0" applyFont="1" applyBorder="1" applyAlignment="1">
      <alignment horizontal="center"/>
    </xf>
    <xf numFmtId="0" fontId="0" fillId="0" borderId="111" xfId="0" applyBorder="1" applyAlignment="1">
      <alignment horizontal="center"/>
    </xf>
    <xf numFmtId="168" fontId="0" fillId="0" borderId="111" xfId="0" applyNumberFormat="1" applyBorder="1" applyAlignment="1">
      <alignment horizontal="center"/>
    </xf>
    <xf numFmtId="168" fontId="44" fillId="0" borderId="111" xfId="0" applyNumberFormat="1" applyFont="1" applyBorder="1" applyAlignment="1">
      <alignment horizontal="center"/>
    </xf>
    <xf numFmtId="168" fontId="44" fillId="94" borderId="111" xfId="0" applyNumberFormat="1" applyFont="1" applyFill="1" applyBorder="1" applyAlignment="1">
      <alignment horizontal="center"/>
    </xf>
    <xf numFmtId="168" fontId="46" fillId="95" borderId="0" xfId="0" applyNumberFormat="1" applyFont="1" applyFill="1" applyAlignment="1">
      <alignment horizontal="center"/>
    </xf>
    <xf numFmtId="0" fontId="4" fillId="96" borderId="110" xfId="0" applyFont="1" applyFill="1" applyBorder="1" applyAlignment="1">
      <alignment horizontal="center"/>
    </xf>
    <xf numFmtId="0" fontId="4" fillId="97" borderId="110" xfId="0" applyFont="1" applyFill="1" applyBorder="1" applyAlignment="1">
      <alignment horizontal="center"/>
    </xf>
    <xf numFmtId="0" fontId="4" fillId="98" borderId="110" xfId="0" applyFont="1" applyFill="1" applyBorder="1" applyAlignment="1">
      <alignment horizontal="center"/>
    </xf>
    <xf numFmtId="0" fontId="4" fillId="99" borderId="110" xfId="0" applyFont="1" applyFill="1" applyBorder="1" applyAlignment="1">
      <alignment horizontal="center"/>
    </xf>
    <xf numFmtId="0" fontId="4" fillId="100" borderId="110" xfId="0" applyFont="1" applyFill="1" applyBorder="1" applyAlignment="1">
      <alignment horizontal="center"/>
    </xf>
    <xf numFmtId="0" fontId="4" fillId="16" borderId="110" xfId="0" applyFont="1" applyFill="1" applyBorder="1"/>
    <xf numFmtId="0" fontId="4" fillId="100" borderId="110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96" borderId="110" xfId="0" applyFont="1" applyFill="1" applyBorder="1" applyAlignment="1">
      <alignment horizontal="right"/>
    </xf>
    <xf numFmtId="170" fontId="47" fillId="6" borderId="6" xfId="1" applyNumberFormat="1" applyFont="1" applyFill="1" applyBorder="1" applyAlignment="1">
      <alignment horizontal="right" vertical="center"/>
    </xf>
    <xf numFmtId="0" fontId="2" fillId="0" borderId="106" xfId="0" applyFont="1" applyBorder="1" applyAlignment="1">
      <alignment horizontal="center"/>
    </xf>
    <xf numFmtId="0" fontId="10" fillId="0" borderId="106" xfId="0" applyFont="1" applyBorder="1" applyAlignment="1">
      <alignment horizontal="center" vertical="center"/>
    </xf>
    <xf numFmtId="0" fontId="0" fillId="93" borderId="2" xfId="0" applyFont="1" applyFill="1" applyBorder="1" applyAlignment="1">
      <alignment horizontal="center"/>
    </xf>
    <xf numFmtId="0" fontId="0" fillId="93" borderId="2" xfId="0" applyFont="1" applyFill="1" applyBorder="1"/>
    <xf numFmtId="0" fontId="0" fillId="0" borderId="110" xfId="0" applyFont="1" applyFill="1" applyBorder="1"/>
    <xf numFmtId="0" fontId="0" fillId="3" borderId="110" xfId="0" applyFill="1" applyBorder="1" applyAlignment="1">
      <alignment horizontal="center"/>
    </xf>
    <xf numFmtId="0" fontId="0" fillId="3" borderId="110" xfId="0" applyFill="1" applyBorder="1"/>
    <xf numFmtId="165" fontId="0" fillId="3" borderId="110" xfId="0" applyNumberFormat="1" applyFill="1" applyBorder="1"/>
    <xf numFmtId="0" fontId="0" fillId="93" borderId="110" xfId="0" applyFill="1" applyBorder="1" applyAlignment="1">
      <alignment horizontal="center"/>
    </xf>
    <xf numFmtId="2" fontId="40" fillId="0" borderId="31" xfId="6" applyNumberFormat="1" applyFont="1" applyBorder="1" applyAlignment="1">
      <alignment horizontal="center"/>
    </xf>
    <xf numFmtId="0" fontId="37" fillId="101" borderId="21" xfId="6" applyFill="1" applyBorder="1" applyAlignment="1">
      <alignment horizontal="right"/>
    </xf>
    <xf numFmtId="0" fontId="37" fillId="101" borderId="21" xfId="6" applyFont="1" applyFill="1" applyBorder="1" applyAlignment="1">
      <alignment horizontal="right"/>
    </xf>
    <xf numFmtId="0" fontId="40" fillId="86" borderId="106" xfId="6" applyFont="1" applyFill="1" applyBorder="1" applyAlignment="1">
      <alignment horizontal="right"/>
    </xf>
    <xf numFmtId="0" fontId="2" fillId="93" borderId="2" xfId="0" applyFont="1" applyFill="1" applyBorder="1"/>
    <xf numFmtId="2" fontId="2" fillId="93" borderId="3" xfId="0" applyNumberFormat="1" applyFont="1" applyFill="1" applyBorder="1"/>
    <xf numFmtId="2" fontId="0" fillId="93" borderId="3" xfId="0" applyNumberFormat="1" applyFill="1" applyBorder="1"/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6" fillId="31" borderId="41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5" fontId="29" fillId="40" borderId="54" xfId="0" applyNumberFormat="1" applyFont="1" applyFill="1" applyBorder="1" applyAlignment="1">
      <alignment horizontal="center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5" fontId="30" fillId="51" borderId="6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5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57150</xdr:rowOff>
    </xdr:from>
    <xdr:to>
      <xdr:col>8</xdr:col>
      <xdr:colOff>572350</xdr:colOff>
      <xdr:row>20</xdr:row>
      <xdr:rowOff>105287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1CD8EA-E999-4007-97EC-016CEEE39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47650"/>
          <a:ext cx="6087325" cy="366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0"/>
  <sheetViews>
    <sheetView topLeftCell="A4" workbookViewId="0">
      <selection activeCell="L32" sqref="L32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396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49" t="s">
        <v>0</v>
      </c>
      <c r="B1" s="449"/>
      <c r="C1" s="449"/>
      <c r="E1" s="450" t="s">
        <v>1</v>
      </c>
      <c r="F1" s="450"/>
      <c r="G1" s="450"/>
      <c r="H1" s="450"/>
    </row>
    <row r="2" spans="1:23" x14ac:dyDescent="0.25">
      <c r="A2" s="451">
        <v>44244</v>
      </c>
      <c r="B2" s="451"/>
      <c r="C2" s="451"/>
      <c r="D2" t="s">
        <v>2</v>
      </c>
      <c r="E2" s="2" t="s">
        <v>3</v>
      </c>
      <c r="F2" s="4" t="s">
        <v>465</v>
      </c>
      <c r="G2" s="327">
        <v>44192</v>
      </c>
      <c r="H2" t="s">
        <v>466</v>
      </c>
    </row>
    <row r="3" spans="1:23" x14ac:dyDescent="0.25">
      <c r="E3" s="2" t="s">
        <v>4</v>
      </c>
      <c r="F3" s="4" t="s">
        <v>467</v>
      </c>
      <c r="G3" s="327">
        <v>44223</v>
      </c>
      <c r="H3" t="s">
        <v>468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97"/>
      <c r="R4" s="6"/>
      <c r="S4" s="6"/>
      <c r="T4" s="6"/>
      <c r="U4" s="6"/>
    </row>
    <row r="5" spans="1:23" ht="18.75" x14ac:dyDescent="0.3">
      <c r="A5" s="6"/>
      <c r="B5" s="448" t="s">
        <v>5</v>
      </c>
      <c r="C5" s="448"/>
      <c r="E5" s="6"/>
      <c r="F5" s="6"/>
      <c r="G5" s="448" t="s">
        <v>6</v>
      </c>
      <c r="H5" s="448"/>
      <c r="I5" s="448"/>
      <c r="J5" s="8"/>
      <c r="K5" s="8"/>
      <c r="L5" s="448" t="s">
        <v>7</v>
      </c>
      <c r="M5" s="448"/>
      <c r="O5" s="9" t="s">
        <v>8</v>
      </c>
      <c r="P5" s="6"/>
      <c r="Q5" s="397"/>
      <c r="R5" s="448" t="s">
        <v>9</v>
      </c>
      <c r="S5" s="448"/>
      <c r="T5" s="6"/>
      <c r="U5" s="6"/>
    </row>
    <row r="6" spans="1:23" x14ac:dyDescent="0.25">
      <c r="A6">
        <v>1</v>
      </c>
      <c r="B6" s="10">
        <v>38</v>
      </c>
      <c r="C6" s="11" t="s">
        <v>10</v>
      </c>
      <c r="D6" s="12" t="s">
        <v>11</v>
      </c>
      <c r="F6" s="332">
        <v>1</v>
      </c>
      <c r="G6" s="10">
        <v>102</v>
      </c>
      <c r="H6" s="11" t="s">
        <v>10</v>
      </c>
      <c r="I6" s="12" t="s">
        <v>11</v>
      </c>
      <c r="K6" s="347">
        <v>1</v>
      </c>
      <c r="L6" s="10">
        <v>43</v>
      </c>
      <c r="M6" s="445" t="s">
        <v>12</v>
      </c>
      <c r="N6" s="445" t="s">
        <v>13</v>
      </c>
      <c r="O6" s="446">
        <f>L6/G16</f>
        <v>0.82692307692307687</v>
      </c>
      <c r="Q6" s="398">
        <v>1</v>
      </c>
      <c r="R6" s="10">
        <v>9</v>
      </c>
      <c r="S6" s="11" t="s">
        <v>10</v>
      </c>
      <c r="T6" s="12" t="s">
        <v>11</v>
      </c>
    </row>
    <row r="7" spans="1:23" x14ac:dyDescent="0.25">
      <c r="A7">
        <v>2</v>
      </c>
      <c r="B7" s="16">
        <v>18</v>
      </c>
      <c r="C7" s="15" t="s">
        <v>14</v>
      </c>
      <c r="D7" s="17" t="s">
        <v>11</v>
      </c>
      <c r="F7" s="332">
        <v>2</v>
      </c>
      <c r="G7" s="10">
        <v>77</v>
      </c>
      <c r="H7" s="11" t="s">
        <v>15</v>
      </c>
      <c r="I7" s="11" t="s">
        <v>16</v>
      </c>
      <c r="K7" s="347">
        <v>2</v>
      </c>
      <c r="L7" s="10">
        <v>35</v>
      </c>
      <c r="M7" s="11" t="s">
        <v>22</v>
      </c>
      <c r="N7" s="11" t="s">
        <v>13</v>
      </c>
      <c r="O7" s="13">
        <f>L7/G15</f>
        <v>0.660377358490566</v>
      </c>
      <c r="Q7" s="398">
        <v>2</v>
      </c>
      <c r="R7" s="10">
        <v>7.5</v>
      </c>
      <c r="S7" s="11" t="s">
        <v>18</v>
      </c>
      <c r="T7" s="12" t="s">
        <v>19</v>
      </c>
    </row>
    <row r="8" spans="1:23" x14ac:dyDescent="0.25">
      <c r="A8" s="328">
        <v>3</v>
      </c>
      <c r="B8" s="329">
        <v>5</v>
      </c>
      <c r="C8" s="328" t="s">
        <v>20</v>
      </c>
      <c r="D8" s="330" t="s">
        <v>11</v>
      </c>
      <c r="F8" s="332">
        <v>3</v>
      </c>
      <c r="G8" s="10">
        <v>66</v>
      </c>
      <c r="H8" s="11" t="s">
        <v>29</v>
      </c>
      <c r="I8" s="12" t="s">
        <v>16</v>
      </c>
      <c r="K8" s="347">
        <v>3</v>
      </c>
      <c r="L8" s="16">
        <v>27</v>
      </c>
      <c r="M8" s="15" t="s">
        <v>18</v>
      </c>
      <c r="N8" s="17" t="s">
        <v>19</v>
      </c>
      <c r="O8" s="19">
        <f>L8/G13</f>
        <v>0.4576271186440678</v>
      </c>
      <c r="Q8" s="400">
        <v>2</v>
      </c>
      <c r="R8" s="402">
        <v>7.5</v>
      </c>
      <c r="S8" s="403" t="s">
        <v>14</v>
      </c>
      <c r="T8" s="404" t="s">
        <v>11</v>
      </c>
    </row>
    <row r="9" spans="1:23" ht="18.75" x14ac:dyDescent="0.3">
      <c r="A9">
        <v>4</v>
      </c>
      <c r="E9" s="6"/>
      <c r="F9" s="332">
        <v>4</v>
      </c>
      <c r="G9" s="16">
        <v>66</v>
      </c>
      <c r="H9" s="15" t="s">
        <v>35</v>
      </c>
      <c r="I9" s="15" t="s">
        <v>16</v>
      </c>
      <c r="J9" s="6"/>
      <c r="K9" s="411">
        <v>4</v>
      </c>
      <c r="L9" s="334">
        <v>22</v>
      </c>
      <c r="M9" s="333" t="s">
        <v>17</v>
      </c>
      <c r="N9" s="335" t="s">
        <v>13</v>
      </c>
      <c r="O9" s="336">
        <f>L9/G25</f>
        <v>0.6875</v>
      </c>
      <c r="P9" s="6"/>
      <c r="Q9" s="400">
        <v>2</v>
      </c>
      <c r="R9" s="16">
        <v>7.5</v>
      </c>
      <c r="S9" s="15" t="s">
        <v>35</v>
      </c>
      <c r="T9" s="15" t="s">
        <v>16</v>
      </c>
      <c r="U9" s="405"/>
      <c r="V9" s="406"/>
      <c r="W9" s="406"/>
    </row>
    <row r="10" spans="1:23" x14ac:dyDescent="0.25">
      <c r="A10">
        <v>5</v>
      </c>
      <c r="B10" s="2"/>
      <c r="F10" s="332">
        <v>5</v>
      </c>
      <c r="G10" s="16">
        <v>65</v>
      </c>
      <c r="H10" s="15" t="s">
        <v>34</v>
      </c>
      <c r="I10" s="17" t="s">
        <v>24</v>
      </c>
      <c r="K10" s="411">
        <v>5</v>
      </c>
      <c r="L10" s="16">
        <v>22</v>
      </c>
      <c r="M10" s="15" t="s">
        <v>26</v>
      </c>
      <c r="N10" s="17" t="s">
        <v>13</v>
      </c>
      <c r="O10" s="19">
        <f>L10/G11</f>
        <v>0.36065573770491804</v>
      </c>
      <c r="Q10" s="400">
        <v>5</v>
      </c>
      <c r="R10" s="402">
        <v>7</v>
      </c>
      <c r="S10" s="403" t="s">
        <v>22</v>
      </c>
      <c r="T10" s="403" t="s">
        <v>13</v>
      </c>
      <c r="U10" s="407"/>
      <c r="V10" s="406"/>
      <c r="W10" s="406"/>
    </row>
    <row r="11" spans="1:23" x14ac:dyDescent="0.25">
      <c r="A11">
        <v>6</v>
      </c>
      <c r="B11" s="2"/>
      <c r="F11" s="332">
        <v>5</v>
      </c>
      <c r="G11" s="16">
        <v>61</v>
      </c>
      <c r="H11" s="15" t="s">
        <v>26</v>
      </c>
      <c r="I11" s="17" t="s">
        <v>13</v>
      </c>
      <c r="K11" s="411">
        <v>6</v>
      </c>
      <c r="L11" s="16">
        <v>19</v>
      </c>
      <c r="M11" s="15" t="s">
        <v>15</v>
      </c>
      <c r="N11" s="15" t="s">
        <v>16</v>
      </c>
      <c r="O11" s="19">
        <f>L11/G7</f>
        <v>0.24675324675324675</v>
      </c>
      <c r="Q11" s="400">
        <v>5</v>
      </c>
      <c r="R11" s="434">
        <v>7</v>
      </c>
      <c r="S11" s="435" t="s">
        <v>12</v>
      </c>
      <c r="T11" s="435" t="s">
        <v>13</v>
      </c>
      <c r="U11" s="407"/>
      <c r="V11" s="406"/>
      <c r="W11" s="406"/>
    </row>
    <row r="12" spans="1:23" x14ac:dyDescent="0.25">
      <c r="B12" s="2"/>
      <c r="F12" s="332">
        <v>7</v>
      </c>
      <c r="G12" s="16">
        <v>60</v>
      </c>
      <c r="H12" s="15" t="s">
        <v>23</v>
      </c>
      <c r="I12" s="17" t="s">
        <v>24</v>
      </c>
      <c r="K12" s="411">
        <v>6</v>
      </c>
      <c r="L12" s="16">
        <v>18</v>
      </c>
      <c r="M12" s="15" t="s">
        <v>21</v>
      </c>
      <c r="N12" s="15" t="s">
        <v>19</v>
      </c>
      <c r="O12" s="19">
        <f>L12/G14</f>
        <v>0.31034482758620691</v>
      </c>
      <c r="Q12" s="401">
        <v>5</v>
      </c>
      <c r="R12" s="402">
        <v>7</v>
      </c>
      <c r="S12" s="403" t="s">
        <v>26</v>
      </c>
      <c r="T12" s="404" t="s">
        <v>13</v>
      </c>
    </row>
    <row r="13" spans="1:23" ht="18.75" x14ac:dyDescent="0.3">
      <c r="B13" s="2"/>
      <c r="E13" s="6"/>
      <c r="F13" s="332">
        <v>8</v>
      </c>
      <c r="G13" s="16">
        <v>59</v>
      </c>
      <c r="H13" s="15" t="s">
        <v>18</v>
      </c>
      <c r="I13" s="17" t="s">
        <v>19</v>
      </c>
      <c r="J13" s="6"/>
      <c r="K13" s="411">
        <v>6</v>
      </c>
      <c r="L13" s="337">
        <v>18</v>
      </c>
      <c r="M13" s="338" t="s">
        <v>25</v>
      </c>
      <c r="N13" s="339" t="s">
        <v>16</v>
      </c>
      <c r="O13" s="340">
        <f>L13/G18</f>
        <v>0.36734693877551022</v>
      </c>
      <c r="P13" s="6"/>
      <c r="Q13" s="400">
        <v>8</v>
      </c>
      <c r="R13" s="16">
        <v>7</v>
      </c>
      <c r="S13" s="15" t="s">
        <v>34</v>
      </c>
      <c r="T13" s="17" t="s">
        <v>24</v>
      </c>
    </row>
    <row r="14" spans="1:23" ht="18.75" x14ac:dyDescent="0.3">
      <c r="A14" s="6"/>
      <c r="B14" s="7" t="s">
        <v>31</v>
      </c>
      <c r="C14" s="7"/>
      <c r="F14" s="332">
        <v>9</v>
      </c>
      <c r="G14" s="402">
        <v>58</v>
      </c>
      <c r="H14" s="403" t="s">
        <v>21</v>
      </c>
      <c r="I14" s="403" t="s">
        <v>19</v>
      </c>
      <c r="K14" s="411">
        <v>9</v>
      </c>
      <c r="L14" s="16">
        <v>17</v>
      </c>
      <c r="M14" s="15" t="s">
        <v>34</v>
      </c>
      <c r="N14" s="17" t="s">
        <v>24</v>
      </c>
      <c r="O14" s="19">
        <f>L14/G10</f>
        <v>0.26153846153846155</v>
      </c>
      <c r="Q14" s="401">
        <v>8</v>
      </c>
      <c r="R14" s="16">
        <v>7</v>
      </c>
      <c r="S14" s="15" t="s">
        <v>38</v>
      </c>
      <c r="T14" s="17" t="s">
        <v>24</v>
      </c>
    </row>
    <row r="15" spans="1:23" x14ac:dyDescent="0.25">
      <c r="A15">
        <v>1</v>
      </c>
      <c r="B15" s="10">
        <v>69</v>
      </c>
      <c r="C15" s="11" t="s">
        <v>15</v>
      </c>
      <c r="D15" s="11" t="s">
        <v>16</v>
      </c>
      <c r="F15" s="332">
        <v>10</v>
      </c>
      <c r="G15" s="16">
        <v>53</v>
      </c>
      <c r="H15" s="15" t="s">
        <v>22</v>
      </c>
      <c r="I15" s="15" t="s">
        <v>13</v>
      </c>
      <c r="K15" s="411">
        <v>10</v>
      </c>
      <c r="L15" s="16">
        <v>15</v>
      </c>
      <c r="M15" s="15" t="s">
        <v>23</v>
      </c>
      <c r="N15" s="17" t="s">
        <v>24</v>
      </c>
      <c r="O15" s="19">
        <f>L15/G12</f>
        <v>0.25</v>
      </c>
      <c r="Q15" s="400">
        <v>8</v>
      </c>
      <c r="R15" s="437">
        <v>7</v>
      </c>
      <c r="S15" s="438" t="s">
        <v>42</v>
      </c>
      <c r="T15" s="439" t="s">
        <v>24</v>
      </c>
    </row>
    <row r="16" spans="1:23" x14ac:dyDescent="0.25">
      <c r="A16" s="328">
        <v>2</v>
      </c>
      <c r="B16" s="16">
        <v>11</v>
      </c>
      <c r="C16" s="15" t="s">
        <v>23</v>
      </c>
      <c r="D16" s="17" t="s">
        <v>24</v>
      </c>
      <c r="F16" s="332">
        <v>10</v>
      </c>
      <c r="G16" s="408">
        <v>52</v>
      </c>
      <c r="H16" s="409" t="s">
        <v>12</v>
      </c>
      <c r="I16" s="409" t="s">
        <v>13</v>
      </c>
      <c r="K16" s="411">
        <v>10</v>
      </c>
      <c r="L16" s="16">
        <v>15</v>
      </c>
      <c r="M16" s="15" t="s">
        <v>412</v>
      </c>
      <c r="N16" s="17" t="s">
        <v>24</v>
      </c>
      <c r="O16" s="349">
        <f>L16/G26</f>
        <v>0.57692307692307687</v>
      </c>
      <c r="Q16" s="401">
        <v>8</v>
      </c>
      <c r="R16" s="437">
        <v>7</v>
      </c>
      <c r="S16" s="438" t="s">
        <v>412</v>
      </c>
      <c r="T16" s="439" t="s">
        <v>24</v>
      </c>
    </row>
    <row r="17" spans="1:21" x14ac:dyDescent="0.25">
      <c r="A17">
        <v>3</v>
      </c>
      <c r="B17" s="329">
        <v>10</v>
      </c>
      <c r="C17" s="328" t="s">
        <v>25</v>
      </c>
      <c r="D17" s="330" t="s">
        <v>16</v>
      </c>
      <c r="F17" s="332">
        <v>12</v>
      </c>
      <c r="G17" s="16">
        <v>50</v>
      </c>
      <c r="H17" s="409" t="s">
        <v>27</v>
      </c>
      <c r="I17" s="410" t="s">
        <v>19</v>
      </c>
      <c r="K17" s="411">
        <v>12</v>
      </c>
      <c r="L17" s="16">
        <v>14</v>
      </c>
      <c r="M17" s="409" t="s">
        <v>27</v>
      </c>
      <c r="N17" s="410" t="s">
        <v>19</v>
      </c>
      <c r="O17" s="447">
        <f>L17/G17</f>
        <v>0.28000000000000003</v>
      </c>
      <c r="Q17" s="400">
        <v>12</v>
      </c>
      <c r="R17" s="437">
        <v>6.5</v>
      </c>
      <c r="S17" s="438" t="s">
        <v>44</v>
      </c>
      <c r="T17" s="439" t="s">
        <v>19</v>
      </c>
    </row>
    <row r="18" spans="1:21" x14ac:dyDescent="0.25">
      <c r="A18" s="328">
        <v>4</v>
      </c>
      <c r="B18" s="331">
        <v>10</v>
      </c>
      <c r="C18" s="332" t="s">
        <v>29</v>
      </c>
      <c r="D18" s="17" t="s">
        <v>16</v>
      </c>
      <c r="F18" s="332">
        <v>13</v>
      </c>
      <c r="G18" s="329">
        <v>49</v>
      </c>
      <c r="H18" s="328" t="s">
        <v>25</v>
      </c>
      <c r="I18" s="330" t="s">
        <v>16</v>
      </c>
      <c r="K18" s="411">
        <v>12</v>
      </c>
      <c r="L18" s="16">
        <v>14</v>
      </c>
      <c r="M18" s="332" t="s">
        <v>44</v>
      </c>
      <c r="N18" s="17" t="s">
        <v>19</v>
      </c>
      <c r="O18" s="19">
        <f>L18/G24</f>
        <v>0.36842105263157893</v>
      </c>
      <c r="Q18" s="401">
        <v>13</v>
      </c>
      <c r="R18" s="437">
        <v>6</v>
      </c>
      <c r="S18" s="438" t="s">
        <v>452</v>
      </c>
      <c r="T18" s="439" t="s">
        <v>13</v>
      </c>
    </row>
    <row r="19" spans="1:21" x14ac:dyDescent="0.25">
      <c r="A19">
        <v>4</v>
      </c>
      <c r="B19" s="2">
        <v>4</v>
      </c>
      <c r="C19" s="332" t="s">
        <v>26</v>
      </c>
      <c r="D19" s="17" t="s">
        <v>13</v>
      </c>
      <c r="F19" s="332">
        <v>14</v>
      </c>
      <c r="G19" s="16">
        <v>45</v>
      </c>
      <c r="H19" s="15" t="s">
        <v>33</v>
      </c>
      <c r="I19" s="15" t="s">
        <v>19</v>
      </c>
      <c r="K19" s="411">
        <v>14</v>
      </c>
      <c r="L19" s="329">
        <v>13</v>
      </c>
      <c r="M19" s="328" t="s">
        <v>30</v>
      </c>
      <c r="N19" s="330" t="s">
        <v>24</v>
      </c>
      <c r="O19" s="341">
        <f>L19/G29</f>
        <v>0.61904761904761907</v>
      </c>
      <c r="Q19" s="400">
        <v>14</v>
      </c>
      <c r="R19" s="329">
        <v>5.5</v>
      </c>
      <c r="S19" s="328" t="s">
        <v>28</v>
      </c>
      <c r="T19" s="330" t="s">
        <v>13</v>
      </c>
    </row>
    <row r="20" spans="1:21" x14ac:dyDescent="0.25">
      <c r="A20">
        <v>4</v>
      </c>
      <c r="B20" s="329">
        <v>2</v>
      </c>
      <c r="C20" s="328" t="s">
        <v>17</v>
      </c>
      <c r="D20" s="330" t="s">
        <v>13</v>
      </c>
      <c r="F20" s="332">
        <v>15</v>
      </c>
      <c r="G20" s="16">
        <v>45</v>
      </c>
      <c r="H20" s="15" t="s">
        <v>39</v>
      </c>
      <c r="I20" s="17" t="s">
        <v>16</v>
      </c>
      <c r="K20" s="411">
        <v>15</v>
      </c>
      <c r="L20" s="16">
        <v>13</v>
      </c>
      <c r="M20" s="343" t="s">
        <v>32</v>
      </c>
      <c r="N20" s="344" t="s">
        <v>24</v>
      </c>
      <c r="O20" s="349">
        <f>L20/G22</f>
        <v>0.31707317073170732</v>
      </c>
      <c r="Q20" s="400">
        <v>14</v>
      </c>
      <c r="R20" s="16">
        <v>5.5</v>
      </c>
      <c r="S20" s="15" t="s">
        <v>23</v>
      </c>
      <c r="T20" s="17" t="s">
        <v>24</v>
      </c>
    </row>
    <row r="21" spans="1:21" x14ac:dyDescent="0.25">
      <c r="A21" s="328">
        <v>8</v>
      </c>
      <c r="B21" s="16">
        <v>2</v>
      </c>
      <c r="C21" s="15" t="s">
        <v>33</v>
      </c>
      <c r="D21" s="15" t="s">
        <v>19</v>
      </c>
      <c r="F21" s="332">
        <v>16</v>
      </c>
      <c r="G21" s="16">
        <v>45</v>
      </c>
      <c r="H21" s="15" t="s">
        <v>38</v>
      </c>
      <c r="I21" s="17" t="s">
        <v>24</v>
      </c>
      <c r="K21" s="411">
        <v>16</v>
      </c>
      <c r="L21" s="16">
        <v>12</v>
      </c>
      <c r="M21" s="15" t="s">
        <v>35</v>
      </c>
      <c r="N21" s="15" t="s">
        <v>16</v>
      </c>
      <c r="O21" s="19">
        <f>L21/G9</f>
        <v>0.18181818181818182</v>
      </c>
      <c r="Q21" s="400">
        <v>14</v>
      </c>
      <c r="R21" s="329">
        <v>5.5</v>
      </c>
      <c r="S21" s="328" t="s">
        <v>20</v>
      </c>
      <c r="T21" s="330" t="s">
        <v>11</v>
      </c>
    </row>
    <row r="22" spans="1:21" x14ac:dyDescent="0.25">
      <c r="A22" s="328">
        <v>8</v>
      </c>
      <c r="B22" s="16">
        <v>1</v>
      </c>
      <c r="C22" s="15" t="s">
        <v>14</v>
      </c>
      <c r="D22" s="17" t="s">
        <v>11</v>
      </c>
      <c r="F22" s="332">
        <v>17</v>
      </c>
      <c r="G22" s="16">
        <v>41</v>
      </c>
      <c r="H22" s="343" t="s">
        <v>32</v>
      </c>
      <c r="I22" s="344" t="s">
        <v>24</v>
      </c>
      <c r="K22" s="411">
        <v>16</v>
      </c>
      <c r="L22" s="16">
        <v>12</v>
      </c>
      <c r="M22" s="15" t="s">
        <v>38</v>
      </c>
      <c r="N22" s="17" t="s">
        <v>24</v>
      </c>
      <c r="O22" s="74">
        <f>L22/G21</f>
        <v>0.26666666666666666</v>
      </c>
      <c r="Q22" s="400">
        <v>14</v>
      </c>
      <c r="R22" s="16">
        <v>5.5</v>
      </c>
      <c r="S22" s="15" t="s">
        <v>21</v>
      </c>
      <c r="T22" s="15" t="s">
        <v>19</v>
      </c>
    </row>
    <row r="23" spans="1:21" x14ac:dyDescent="0.25">
      <c r="A23">
        <v>8</v>
      </c>
      <c r="B23" s="329">
        <v>1</v>
      </c>
      <c r="C23" s="328" t="s">
        <v>28</v>
      </c>
      <c r="D23" s="330" t="s">
        <v>13</v>
      </c>
      <c r="F23" s="332">
        <v>18</v>
      </c>
      <c r="G23" s="16">
        <v>38</v>
      </c>
      <c r="H23" s="15" t="s">
        <v>14</v>
      </c>
      <c r="I23" s="17" t="s">
        <v>11</v>
      </c>
      <c r="K23" s="411">
        <v>16</v>
      </c>
      <c r="L23" s="16">
        <v>11</v>
      </c>
      <c r="M23" s="15" t="s">
        <v>29</v>
      </c>
      <c r="N23" s="17" t="s">
        <v>16</v>
      </c>
      <c r="O23" s="19">
        <f>L23/G8</f>
        <v>0.16666666666666666</v>
      </c>
      <c r="Q23" s="436">
        <v>14</v>
      </c>
      <c r="R23" s="329">
        <v>5.5</v>
      </c>
      <c r="S23" s="328" t="s">
        <v>17</v>
      </c>
      <c r="T23" s="330" t="s">
        <v>13</v>
      </c>
    </row>
    <row r="24" spans="1:21" x14ac:dyDescent="0.25">
      <c r="A24">
        <v>8</v>
      </c>
      <c r="B24" s="329">
        <v>1</v>
      </c>
      <c r="C24" s="328" t="s">
        <v>30</v>
      </c>
      <c r="D24" s="330" t="s">
        <v>24</v>
      </c>
      <c r="F24" s="332">
        <v>18</v>
      </c>
      <c r="G24" s="16">
        <v>38</v>
      </c>
      <c r="H24" s="15" t="s">
        <v>44</v>
      </c>
      <c r="I24" s="17" t="s">
        <v>19</v>
      </c>
      <c r="K24" s="411">
        <v>19</v>
      </c>
      <c r="L24" s="16">
        <v>10</v>
      </c>
      <c r="M24" s="15" t="s">
        <v>33</v>
      </c>
      <c r="N24" s="15" t="s">
        <v>19</v>
      </c>
      <c r="O24" s="19">
        <f>L24/G19</f>
        <v>0.22222222222222221</v>
      </c>
      <c r="Q24" s="401">
        <v>14</v>
      </c>
      <c r="R24" s="16">
        <v>5.5</v>
      </c>
      <c r="S24" s="409" t="s">
        <v>27</v>
      </c>
      <c r="T24" s="410" t="s">
        <v>19</v>
      </c>
    </row>
    <row r="25" spans="1:21" x14ac:dyDescent="0.25">
      <c r="A25">
        <v>10</v>
      </c>
      <c r="B25" s="2"/>
      <c r="F25" s="332">
        <v>20</v>
      </c>
      <c r="G25" s="329">
        <v>32</v>
      </c>
      <c r="H25" s="328" t="s">
        <v>17</v>
      </c>
      <c r="I25" s="330" t="s">
        <v>13</v>
      </c>
      <c r="K25" s="411">
        <v>19</v>
      </c>
      <c r="L25" s="16">
        <v>9</v>
      </c>
      <c r="M25" s="343" t="s">
        <v>36</v>
      </c>
      <c r="N25" s="344" t="s">
        <v>24</v>
      </c>
      <c r="O25" s="349">
        <f>L25/G32</f>
        <v>0.47368421052631576</v>
      </c>
      <c r="Q25" s="400">
        <v>14</v>
      </c>
      <c r="R25" s="437">
        <v>5.5</v>
      </c>
      <c r="S25" s="332" t="s">
        <v>39</v>
      </c>
      <c r="T25" s="17" t="s">
        <v>16</v>
      </c>
      <c r="U25" s="2"/>
    </row>
    <row r="26" spans="1:21" x14ac:dyDescent="0.25">
      <c r="A26">
        <v>10</v>
      </c>
      <c r="B26" s="2"/>
      <c r="D26" s="5"/>
      <c r="F26" s="332">
        <v>21</v>
      </c>
      <c r="G26" s="437">
        <v>26</v>
      </c>
      <c r="H26" s="438" t="s">
        <v>412</v>
      </c>
      <c r="I26" s="439" t="s">
        <v>24</v>
      </c>
      <c r="K26" s="411">
        <v>21</v>
      </c>
      <c r="L26" s="16">
        <v>9</v>
      </c>
      <c r="M26" s="15" t="s">
        <v>39</v>
      </c>
      <c r="N26" s="17" t="s">
        <v>16</v>
      </c>
      <c r="O26" s="19">
        <f>L26/G20</f>
        <v>0.2</v>
      </c>
      <c r="Q26" s="399">
        <v>21</v>
      </c>
      <c r="R26" s="16">
        <v>5</v>
      </c>
      <c r="S26" s="15" t="s">
        <v>29</v>
      </c>
      <c r="T26" s="17" t="s">
        <v>16</v>
      </c>
      <c r="U26" s="2"/>
    </row>
    <row r="27" spans="1:21" x14ac:dyDescent="0.25">
      <c r="B27" s="4">
        <f>SUM(B15:B26)</f>
        <v>111</v>
      </c>
      <c r="F27" s="332">
        <v>22</v>
      </c>
      <c r="G27" s="16">
        <v>25</v>
      </c>
      <c r="H27" s="15" t="s">
        <v>42</v>
      </c>
      <c r="I27" s="17" t="s">
        <v>24</v>
      </c>
      <c r="K27" s="411">
        <v>21</v>
      </c>
      <c r="L27" s="437">
        <v>9</v>
      </c>
      <c r="M27" s="438" t="s">
        <v>453</v>
      </c>
      <c r="N27" s="439" t="s">
        <v>24</v>
      </c>
      <c r="O27" s="19">
        <f>L27/G30</f>
        <v>0.45</v>
      </c>
      <c r="Q27" s="399">
        <v>21</v>
      </c>
      <c r="R27" s="16">
        <v>5</v>
      </c>
      <c r="S27" s="15" t="s">
        <v>33</v>
      </c>
      <c r="T27" s="15" t="s">
        <v>19</v>
      </c>
      <c r="U27" s="2"/>
    </row>
    <row r="28" spans="1:21" x14ac:dyDescent="0.25">
      <c r="B28" s="2"/>
      <c r="F28" s="332">
        <v>23</v>
      </c>
      <c r="G28" s="329">
        <v>22</v>
      </c>
      <c r="H28" s="328" t="s">
        <v>28</v>
      </c>
      <c r="I28" s="330" t="s">
        <v>13</v>
      </c>
      <c r="K28" s="411">
        <v>23</v>
      </c>
      <c r="L28" s="329">
        <v>7</v>
      </c>
      <c r="M28" s="328" t="s">
        <v>37</v>
      </c>
      <c r="N28" s="330" t="s">
        <v>24</v>
      </c>
      <c r="O28" s="341">
        <f>L28/G33</f>
        <v>0.3888888888888889</v>
      </c>
      <c r="Q28" s="399">
        <v>21</v>
      </c>
      <c r="R28" s="329">
        <v>5</v>
      </c>
      <c r="S28" s="328" t="s">
        <v>30</v>
      </c>
      <c r="T28" s="330" t="s">
        <v>24</v>
      </c>
      <c r="U28" s="2"/>
    </row>
    <row r="29" spans="1:21" x14ac:dyDescent="0.25">
      <c r="B29" s="2"/>
      <c r="F29" s="332">
        <v>23</v>
      </c>
      <c r="G29" s="329">
        <v>21</v>
      </c>
      <c r="H29" s="328" t="s">
        <v>30</v>
      </c>
      <c r="I29" s="330" t="s">
        <v>24</v>
      </c>
      <c r="K29" s="411">
        <v>24</v>
      </c>
      <c r="L29" s="345">
        <v>7</v>
      </c>
      <c r="M29" s="332" t="s">
        <v>42</v>
      </c>
      <c r="N29" s="346" t="s">
        <v>24</v>
      </c>
      <c r="O29" s="74">
        <f>L29/G27</f>
        <v>0.28000000000000003</v>
      </c>
      <c r="Q29" s="399">
        <v>21</v>
      </c>
      <c r="R29" s="16">
        <v>5</v>
      </c>
      <c r="S29" s="343" t="s">
        <v>32</v>
      </c>
      <c r="T29" s="344" t="s">
        <v>24</v>
      </c>
      <c r="U29" s="2"/>
    </row>
    <row r="30" spans="1:21" x14ac:dyDescent="0.25">
      <c r="B30" s="2"/>
      <c r="F30" s="332">
        <v>25</v>
      </c>
      <c r="G30" s="437">
        <v>20</v>
      </c>
      <c r="H30" s="438" t="s">
        <v>453</v>
      </c>
      <c r="I30" s="439" t="s">
        <v>24</v>
      </c>
      <c r="K30" s="411">
        <v>25</v>
      </c>
      <c r="L30" s="16">
        <v>5</v>
      </c>
      <c r="M30" s="15" t="s">
        <v>10</v>
      </c>
      <c r="N30" s="17" t="s">
        <v>11</v>
      </c>
      <c r="O30" s="19">
        <f>L30/G6</f>
        <v>4.9019607843137254E-2</v>
      </c>
      <c r="Q30" s="399"/>
      <c r="R30" s="2"/>
      <c r="S30" s="2"/>
      <c r="T30" s="2"/>
      <c r="U30" s="2"/>
    </row>
    <row r="31" spans="1:21" x14ac:dyDescent="0.25">
      <c r="B31" s="2"/>
      <c r="F31" s="332">
        <v>25</v>
      </c>
      <c r="G31" s="329">
        <v>19</v>
      </c>
      <c r="H31" s="328" t="s">
        <v>40</v>
      </c>
      <c r="I31" s="330" t="s">
        <v>16</v>
      </c>
      <c r="K31" s="411">
        <v>25</v>
      </c>
      <c r="L31" s="16">
        <v>3</v>
      </c>
      <c r="M31" s="409" t="s">
        <v>41</v>
      </c>
      <c r="N31" s="410" t="s">
        <v>24</v>
      </c>
      <c r="O31" s="19">
        <f>L31/G37</f>
        <v>0.6</v>
      </c>
      <c r="Q31" s="399"/>
      <c r="R31" s="2"/>
      <c r="S31" s="2"/>
      <c r="T31" s="2"/>
      <c r="U31" s="2"/>
    </row>
    <row r="32" spans="1:21" x14ac:dyDescent="0.25">
      <c r="B32" s="2"/>
      <c r="F32" s="332">
        <v>25</v>
      </c>
      <c r="G32" s="16">
        <v>19</v>
      </c>
      <c r="H32" s="343" t="s">
        <v>36</v>
      </c>
      <c r="I32" s="344" t="s">
        <v>24</v>
      </c>
      <c r="K32" s="411">
        <v>27</v>
      </c>
      <c r="L32" s="16">
        <v>3</v>
      </c>
      <c r="M32" s="15" t="s">
        <v>452</v>
      </c>
      <c r="N32" s="17" t="s">
        <v>13</v>
      </c>
      <c r="O32" s="19">
        <f>L32/G35</f>
        <v>0.3</v>
      </c>
      <c r="Q32" s="399"/>
      <c r="R32" s="2"/>
      <c r="S32" s="2"/>
      <c r="T32" s="2"/>
      <c r="U32" s="2"/>
    </row>
    <row r="33" spans="2:21" x14ac:dyDescent="0.25">
      <c r="B33" s="2"/>
      <c r="F33" s="332">
        <v>28</v>
      </c>
      <c r="G33" s="329">
        <v>18</v>
      </c>
      <c r="H33" s="328" t="s">
        <v>37</v>
      </c>
      <c r="I33" s="330" t="s">
        <v>24</v>
      </c>
      <c r="K33" s="348"/>
      <c r="L33" s="329"/>
      <c r="M33" s="328"/>
      <c r="N33" s="330"/>
      <c r="O33" s="19"/>
      <c r="Q33" s="399"/>
      <c r="R33" s="2"/>
      <c r="S33" s="2"/>
      <c r="T33" s="2"/>
      <c r="U33" s="2"/>
    </row>
    <row r="34" spans="2:21" x14ac:dyDescent="0.25">
      <c r="B34" s="2"/>
      <c r="F34" s="332">
        <v>29</v>
      </c>
      <c r="G34" s="16">
        <v>17</v>
      </c>
      <c r="H34" s="409" t="s">
        <v>41</v>
      </c>
      <c r="I34" s="410" t="s">
        <v>24</v>
      </c>
      <c r="K34" s="348"/>
      <c r="L34" s="329"/>
      <c r="M34" s="328"/>
      <c r="N34" s="330"/>
      <c r="O34" s="19"/>
      <c r="Q34" s="399"/>
      <c r="R34" s="2"/>
      <c r="S34" s="2"/>
      <c r="T34" s="2"/>
      <c r="U34" s="2"/>
    </row>
    <row r="35" spans="2:21" x14ac:dyDescent="0.25">
      <c r="B35" s="2"/>
      <c r="F35" s="332">
        <v>30</v>
      </c>
      <c r="G35" s="440">
        <v>10</v>
      </c>
      <c r="H35" s="438" t="s">
        <v>452</v>
      </c>
      <c r="I35" s="439" t="s">
        <v>13</v>
      </c>
      <c r="K35" s="348"/>
      <c r="L35" s="329"/>
      <c r="M35" s="328"/>
      <c r="N35" s="330"/>
      <c r="O35" s="19"/>
      <c r="Q35" s="399"/>
      <c r="R35" s="2"/>
      <c r="S35" s="2"/>
      <c r="T35" s="2"/>
      <c r="U35" s="2"/>
    </row>
    <row r="36" spans="2:21" x14ac:dyDescent="0.25">
      <c r="B36" s="2"/>
      <c r="F36" s="332">
        <v>31</v>
      </c>
      <c r="G36" s="329">
        <v>9</v>
      </c>
      <c r="H36" s="328" t="s">
        <v>20</v>
      </c>
      <c r="I36" s="330" t="s">
        <v>11</v>
      </c>
      <c r="Q36" s="399"/>
      <c r="R36" s="2"/>
      <c r="S36" s="2"/>
      <c r="T36" s="2"/>
    </row>
    <row r="37" spans="2:21" x14ac:dyDescent="0.25">
      <c r="B37" s="2"/>
      <c r="F37" s="332">
        <v>32</v>
      </c>
      <c r="G37" s="408">
        <v>5</v>
      </c>
      <c r="H37" s="409" t="s">
        <v>43</v>
      </c>
      <c r="I37" s="410" t="s">
        <v>16</v>
      </c>
      <c r="R37" s="2"/>
      <c r="S37" s="2"/>
      <c r="T37" s="2"/>
    </row>
    <row r="38" spans="2:21" x14ac:dyDescent="0.25">
      <c r="F38" s="332">
        <v>32</v>
      </c>
      <c r="G38" s="408">
        <v>4</v>
      </c>
      <c r="H38" s="409" t="s">
        <v>45</v>
      </c>
      <c r="I38" s="410" t="s">
        <v>16</v>
      </c>
      <c r="R38" s="2"/>
      <c r="S38" s="2"/>
      <c r="T38" s="2"/>
    </row>
    <row r="39" spans="2:21" x14ac:dyDescent="0.25">
      <c r="G39" s="408">
        <v>3</v>
      </c>
      <c r="H39" s="438" t="s">
        <v>454</v>
      </c>
      <c r="I39" s="439" t="s">
        <v>16</v>
      </c>
      <c r="R39" s="2"/>
      <c r="S39" s="2"/>
      <c r="T39" s="2"/>
    </row>
    <row r="40" spans="2:21" x14ac:dyDescent="0.25">
      <c r="G40" s="408">
        <v>1</v>
      </c>
      <c r="H40" s="438" t="s">
        <v>168</v>
      </c>
      <c r="I40" s="439" t="s">
        <v>16</v>
      </c>
      <c r="R40" s="2"/>
      <c r="S40" s="2"/>
      <c r="T40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1">
      <colorScale>
        <cfvo type="min"/>
        <cfvo type="max"/>
        <color rgb="FFFFEF9C"/>
        <color rgb="FF63BE7B"/>
      </colorScale>
    </cfRule>
  </conditionalFormatting>
  <conditionalFormatting sqref="R6:R29">
    <cfRule type="colorScale" priority="934">
      <colorScale>
        <cfvo type="min"/>
        <cfvo type="max"/>
        <color rgb="FFFFEF9C"/>
        <color rgb="FF63BE7B"/>
      </colorScale>
    </cfRule>
  </conditionalFormatting>
  <conditionalFormatting sqref="G6:G4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5:B24">
    <cfRule type="colorScale" priority="936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955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957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/>
  </sheetViews>
  <sheetFormatPr baseColWidth="10" defaultColWidth="10.7109375" defaultRowHeight="15" x14ac:dyDescent="0.25"/>
  <sheetData>
    <row r="1" spans="1:1" x14ac:dyDescent="0.25">
      <c r="A1" s="317">
        <v>44189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topLeftCell="A10" workbookViewId="0">
      <selection activeCell="B35" sqref="B35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386</v>
      </c>
      <c r="F1" s="34" t="s">
        <v>387</v>
      </c>
      <c r="M1" s="9" t="s">
        <v>388</v>
      </c>
      <c r="N1" s="9" t="s">
        <v>389</v>
      </c>
      <c r="O1" s="9" t="s">
        <v>390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21</v>
      </c>
      <c r="D2" s="62">
        <f ca="1">PLANTILLA!F25</f>
        <v>106</v>
      </c>
      <c r="E2" s="165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PLANTILLA!C7</f>
        <v>LAT</v>
      </c>
      <c r="B3" s="2" t="str">
        <f>PLANTILLA!D7</f>
        <v>D. Juliol</v>
      </c>
      <c r="C3" s="2">
        <f>PLANTILLA!E7</f>
        <v>20</v>
      </c>
      <c r="D3" s="62">
        <f ca="1">PLANTILLA!F7</f>
        <v>24</v>
      </c>
      <c r="E3" s="165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PLANTILLA!C8</f>
        <v>CEN</v>
      </c>
      <c r="B4" s="2" t="str">
        <f>PLANTILLA!D8</f>
        <v>J-L. Grellier</v>
      </c>
      <c r="C4" s="2">
        <f>PLANTILLA!E8</f>
        <v>33</v>
      </c>
      <c r="D4" s="62">
        <f ca="1">PLANTILLA!F8</f>
        <v>111</v>
      </c>
      <c r="E4" s="165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62" t="e">
        <f>PLANTILLA!#REF!</f>
        <v>#REF!</v>
      </c>
      <c r="E5" s="165" t="e">
        <f t="shared" ca="1" si="0"/>
        <v>#REF!</v>
      </c>
      <c r="F5" s="20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PLANTILLA!C6</f>
        <v>LAT</v>
      </c>
      <c r="B6" s="2" t="str">
        <f>PLANTILLA!D6</f>
        <v>M. Teixé</v>
      </c>
      <c r="C6" s="2">
        <f>PLANTILLA!E6</f>
        <v>31</v>
      </c>
      <c r="D6" s="62">
        <f ca="1">PLANTILLA!F6</f>
        <v>108</v>
      </c>
      <c r="E6" s="165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PLANTILLA!C16</f>
        <v>MED</v>
      </c>
      <c r="B7" s="2" t="str">
        <f>PLANTILLA!D16</f>
        <v>T. Lebon</v>
      </c>
      <c r="C7" s="2">
        <f>PLANTILLA!E16</f>
        <v>20</v>
      </c>
      <c r="D7" s="62">
        <f ca="1">PLANTILLA!F16</f>
        <v>47</v>
      </c>
      <c r="E7" s="165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PLANTILLA!C13</f>
        <v>CEN</v>
      </c>
      <c r="B8" s="2" t="str">
        <f>PLANTILLA!D13</f>
        <v>I. Escuder</v>
      </c>
      <c r="C8" s="2">
        <f>PLANTILLA!E13</f>
        <v>28</v>
      </c>
      <c r="D8" s="62">
        <f ca="1">PLANTILLA!F13</f>
        <v>51</v>
      </c>
      <c r="E8" s="165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28</v>
      </c>
      <c r="D9" s="62">
        <f ca="1">PLANTILLA!F21</f>
        <v>7</v>
      </c>
      <c r="E9" s="165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PLANTILLA!C19</f>
        <v>EXT</v>
      </c>
      <c r="B10" s="2" t="str">
        <f>PLANTILLA!D19</f>
        <v>L. Grière</v>
      </c>
      <c r="C10" s="2">
        <f>PLANTILLA!E19</f>
        <v>19</v>
      </c>
      <c r="D10" s="62">
        <f ca="1">PLANTILLA!F19</f>
        <v>66</v>
      </c>
      <c r="E10" s="165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62">
        <f ca="1">PLANTILLA!F5</f>
        <v>70</v>
      </c>
      <c r="E11" s="165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PLANTILLA!C20</f>
        <v>EXT</v>
      </c>
      <c r="B12" s="2" t="str">
        <f>PLANTILLA!D20</f>
        <v>A. Aguilella</v>
      </c>
      <c r="C12" s="2">
        <f>PLANTILLA!E20</f>
        <v>26</v>
      </c>
      <c r="D12" s="62">
        <f ca="1">PLANTILLA!F20</f>
        <v>25</v>
      </c>
      <c r="E12" s="165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PLANTILLA!C18</f>
        <v>MED</v>
      </c>
      <c r="B13" s="2" t="str">
        <f>PLANTILLA!D18</f>
        <v>A. Balsebre</v>
      </c>
      <c r="C13" s="2">
        <f>PLANTILLA!E18</f>
        <v>19</v>
      </c>
      <c r="D13" s="62">
        <f ca="1">PLANTILLA!F18</f>
        <v>45</v>
      </c>
      <c r="E13" s="165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23</v>
      </c>
      <c r="D14" s="62">
        <f ca="1">PLANTILLA!F4</f>
        <v>79</v>
      </c>
      <c r="E14" s="165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PLANTILLA!C24</f>
        <v>DAV</v>
      </c>
      <c r="B15" s="2" t="str">
        <f>PLANTILLA!D24</f>
        <v>L. Cabistany</v>
      </c>
      <c r="C15" s="2">
        <f>PLANTILLA!E24</f>
        <v>18</v>
      </c>
      <c r="D15" s="62">
        <f ca="1">PLANTILLA!F24</f>
        <v>53</v>
      </c>
      <c r="E15" s="165">
        <f t="shared" ca="1" si="0"/>
        <v>42176</v>
      </c>
      <c r="F15" s="20">
        <f t="shared" ca="1" si="1"/>
        <v>34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Jedi'!B9</f>
        <v>T. Vallcaneras</v>
      </c>
      <c r="C16" s="2">
        <f>'Escola Jedi'!C9</f>
        <v>17</v>
      </c>
      <c r="D16" s="62">
        <f ca="1">'Escola Jedi'!D9</f>
        <v>123</v>
      </c>
      <c r="E16" s="165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Jedi'!B4</f>
        <v>P. Benaiges</v>
      </c>
      <c r="C17" s="2">
        <f>'Escola Jedi'!C4</f>
        <v>18</v>
      </c>
      <c r="D17" s="62">
        <f ca="1">'Escola Jedi'!D4</f>
        <v>67</v>
      </c>
      <c r="E17" s="165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>
        <f>'Escola Jedi'!B19</f>
        <v>0</v>
      </c>
      <c r="C18" s="2">
        <f>'Escola Jedi'!C19</f>
        <v>17</v>
      </c>
      <c r="D18" s="62">
        <f ca="1">'Escola Jedi'!D19</f>
        <v>197</v>
      </c>
      <c r="E18" s="165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Jedi'!B18</f>
        <v>H. Girona</v>
      </c>
      <c r="C19" s="2">
        <f>PLANTILLA!E17</f>
        <v>18</v>
      </c>
      <c r="D19" s="350">
        <f ca="1">PLANTILLA!F17</f>
        <v>84</v>
      </c>
      <c r="E19" s="165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Jedi'!B6</f>
        <v>F. Ginestar</v>
      </c>
      <c r="C20" s="2">
        <f>'Escola Jedi'!C6</f>
        <v>16</v>
      </c>
      <c r="D20" s="62">
        <f ca="1">'Escola Jedi'!D6</f>
        <v>156</v>
      </c>
      <c r="E20" s="165">
        <f t="shared" ca="1" si="0"/>
        <v>42297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Jedi'!B8</f>
        <v>H. Condis</v>
      </c>
      <c r="C21" s="2">
        <f>'Escola Jedi'!C8</f>
        <v>17</v>
      </c>
      <c r="D21" s="62">
        <f ca="1">'Escola Jedi'!D8</f>
        <v>101</v>
      </c>
      <c r="E21" s="165">
        <f t="shared" ca="1" si="0"/>
        <v>42240</v>
      </c>
      <c r="F21" s="20">
        <f t="shared" ca="1" si="1"/>
        <v>35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Jedi'!B3</f>
        <v>D. Alemany</v>
      </c>
      <c r="C22" s="2">
        <f>'Escola Jedi'!C3</f>
        <v>17</v>
      </c>
      <c r="D22" s="62">
        <f ca="1">'Escola Jedi'!D3</f>
        <v>73</v>
      </c>
      <c r="E22" s="165">
        <f t="shared" ca="1" si="0"/>
        <v>42268</v>
      </c>
      <c r="F22" s="20">
        <f t="shared" ca="1" si="1"/>
        <v>35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Jedi'!B14</f>
        <v>J. Monzo</v>
      </c>
      <c r="C23" s="2">
        <f>'Escola Jedi'!C14</f>
        <v>16</v>
      </c>
      <c r="D23" s="62">
        <f ca="1">'Escola Jedi'!D14</f>
        <v>83</v>
      </c>
      <c r="E23" s="165">
        <f t="shared" ca="1" si="0"/>
        <v>42370</v>
      </c>
      <c r="F23" s="20">
        <f t="shared" ca="1" si="1"/>
        <v>36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Jedi'!B15</f>
        <v>A. Ribatallada</v>
      </c>
      <c r="C24" s="2">
        <f>'Escola Jedi'!C15</f>
        <v>16</v>
      </c>
      <c r="D24" s="62">
        <f ca="1">'Escola Jedi'!D15</f>
        <v>128</v>
      </c>
      <c r="E24" s="165">
        <f t="shared" ca="1" si="0"/>
        <v>42325</v>
      </c>
      <c r="F24" s="20">
        <f t="shared" ca="1" si="1"/>
        <v>36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PLANTILLA!D10</f>
        <v>G. Durand</v>
      </c>
      <c r="C25" s="2">
        <f>PLANTILLA!E10</f>
        <v>20</v>
      </c>
      <c r="D25" s="350">
        <f ca="1">PLANTILLA!F10</f>
        <v>94</v>
      </c>
      <c r="E25" s="165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PLANTILLA!D18</f>
        <v>A. Balsebre</v>
      </c>
      <c r="C26" s="2">
        <f>PLANTILLA!E18</f>
        <v>19</v>
      </c>
      <c r="D26" s="350">
        <f ca="1">PLANTILLA!F18</f>
        <v>45</v>
      </c>
      <c r="E26" s="165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B27" s="2" t="str">
        <f>PLANTILLA!D9</f>
        <v>P. Recatalà</v>
      </c>
      <c r="C27" s="2">
        <f>PLANTILLA!E9</f>
        <v>19</v>
      </c>
      <c r="D27" s="350">
        <f ca="1">PLANTILLA!F9</f>
        <v>22</v>
      </c>
      <c r="E27" s="165">
        <f t="shared" ref="E27:E35" ca="1" si="2">TODAY()-(C27*112)-D27</f>
        <v>42095</v>
      </c>
      <c r="F27" s="20">
        <f t="shared" ref="F27:F35" ca="1" si="3">VLOOKUP(E27,M:O,3,0)</f>
        <v>34</v>
      </c>
      <c r="M27" s="5">
        <v>43723</v>
      </c>
      <c r="N27">
        <f t="shared" ref="N27:N58" si="4">N20-1</f>
        <v>11</v>
      </c>
      <c r="O27">
        <v>48</v>
      </c>
    </row>
    <row r="28" spans="2:15" x14ac:dyDescent="0.25">
      <c r="B28" s="2" t="str">
        <f>PLANTILLA!D12</f>
        <v>D. Alemany</v>
      </c>
      <c r="C28" s="2">
        <f>PLANTILLA!E12</f>
        <v>17</v>
      </c>
      <c r="D28" s="350">
        <f ca="1">PLANTILLA!F12</f>
        <v>73</v>
      </c>
      <c r="E28" s="165">
        <f t="shared" ca="1" si="2"/>
        <v>42268</v>
      </c>
      <c r="F28" s="20">
        <f t="shared" ca="1" si="3"/>
        <v>35</v>
      </c>
      <c r="M28" s="5">
        <v>43722</v>
      </c>
      <c r="N28">
        <f t="shared" si="4"/>
        <v>11</v>
      </c>
      <c r="O28">
        <v>48</v>
      </c>
    </row>
    <row r="29" spans="2:15" x14ac:dyDescent="0.25">
      <c r="B29" s="2" t="e">
        <f>PLANTILLA!#REF!</f>
        <v>#REF!</v>
      </c>
      <c r="C29" s="2" t="e">
        <f>PLANTILLA!#REF!</f>
        <v>#REF!</v>
      </c>
      <c r="D29" s="350" t="e">
        <f>PLANTILLA!#REF!</f>
        <v>#REF!</v>
      </c>
      <c r="E29" s="165" t="e">
        <f t="shared" ca="1" si="2"/>
        <v>#REF!</v>
      </c>
      <c r="F29" s="20" t="e">
        <f t="shared" ca="1" si="3"/>
        <v>#REF!</v>
      </c>
      <c r="M29" s="5">
        <v>43721</v>
      </c>
      <c r="N29">
        <f t="shared" si="4"/>
        <v>11</v>
      </c>
      <c r="O29">
        <v>48</v>
      </c>
    </row>
    <row r="30" spans="2:15" x14ac:dyDescent="0.25">
      <c r="D30" s="350"/>
      <c r="E30" s="165"/>
      <c r="F30" s="20"/>
      <c r="M30" s="5">
        <v>43720</v>
      </c>
      <c r="N30">
        <f t="shared" si="4"/>
        <v>11</v>
      </c>
      <c r="O30">
        <v>48</v>
      </c>
    </row>
    <row r="31" spans="2:15" x14ac:dyDescent="0.25">
      <c r="D31" s="350"/>
      <c r="E31" s="165"/>
      <c r="F31" s="20"/>
      <c r="M31" s="5">
        <v>43719</v>
      </c>
      <c r="N31">
        <f t="shared" si="4"/>
        <v>11</v>
      </c>
      <c r="O31">
        <v>48</v>
      </c>
    </row>
    <row r="32" spans="2:15" x14ac:dyDescent="0.25">
      <c r="D32" s="350"/>
      <c r="E32" s="165"/>
      <c r="F32" s="20"/>
      <c r="M32" s="5">
        <v>43718</v>
      </c>
      <c r="N32">
        <f t="shared" si="4"/>
        <v>11</v>
      </c>
      <c r="O32">
        <v>48</v>
      </c>
    </row>
    <row r="33" spans="2:15" x14ac:dyDescent="0.25">
      <c r="D33" s="350"/>
      <c r="E33" s="165"/>
      <c r="F33" s="20"/>
      <c r="M33" s="5">
        <v>43717</v>
      </c>
      <c r="N33">
        <f t="shared" si="4"/>
        <v>11</v>
      </c>
      <c r="O33">
        <v>48</v>
      </c>
    </row>
    <row r="34" spans="2:15" x14ac:dyDescent="0.25">
      <c r="D34" s="350"/>
      <c r="E34" s="165"/>
      <c r="F34" s="20"/>
      <c r="M34" s="5">
        <v>43716</v>
      </c>
      <c r="N34">
        <f t="shared" si="4"/>
        <v>10</v>
      </c>
      <c r="O34">
        <v>48</v>
      </c>
    </row>
    <row r="35" spans="2:15" x14ac:dyDescent="0.25">
      <c r="B35" s="2" t="str">
        <f>PLANTILLA!D24</f>
        <v>L. Cabistany</v>
      </c>
      <c r="C35" s="2">
        <f>PLANTILLA!E24</f>
        <v>18</v>
      </c>
      <c r="D35" s="350">
        <f ca="1">PLANTILLA!F24</f>
        <v>53</v>
      </c>
      <c r="E35" s="165">
        <f t="shared" ca="1" si="2"/>
        <v>42176</v>
      </c>
      <c r="F35" s="20">
        <f t="shared" ca="1" si="3"/>
        <v>34</v>
      </c>
      <c r="M35" s="5">
        <v>43715</v>
      </c>
      <c r="N35">
        <f t="shared" si="4"/>
        <v>10</v>
      </c>
      <c r="O35">
        <v>48</v>
      </c>
    </row>
    <row r="36" spans="2:15" x14ac:dyDescent="0.25">
      <c r="D36" s="350"/>
      <c r="E36" s="165"/>
      <c r="F36" s="20"/>
      <c r="M36" s="5">
        <v>43714</v>
      </c>
      <c r="N36">
        <f t="shared" si="4"/>
        <v>10</v>
      </c>
      <c r="O36">
        <v>48</v>
      </c>
    </row>
    <row r="37" spans="2:15" x14ac:dyDescent="0.25">
      <c r="D37" s="350"/>
      <c r="E37" s="165"/>
      <c r="F37" s="20"/>
      <c r="M37" s="5">
        <v>43713</v>
      </c>
      <c r="N37">
        <f t="shared" si="4"/>
        <v>10</v>
      </c>
      <c r="O37">
        <v>48</v>
      </c>
    </row>
    <row r="38" spans="2:15" x14ac:dyDescent="0.25">
      <c r="D38" s="350"/>
      <c r="E38" s="165"/>
      <c r="F38" s="20"/>
      <c r="M38" s="5">
        <v>43712</v>
      </c>
      <c r="N38">
        <f t="shared" si="4"/>
        <v>10</v>
      </c>
      <c r="O38">
        <v>48</v>
      </c>
    </row>
    <row r="39" spans="2:15" x14ac:dyDescent="0.25">
      <c r="D39" s="350"/>
      <c r="E39" s="165"/>
      <c r="F39" s="20"/>
      <c r="M39" s="5">
        <v>43711</v>
      </c>
      <c r="N39">
        <f t="shared" si="4"/>
        <v>10</v>
      </c>
      <c r="O39">
        <v>48</v>
      </c>
    </row>
    <row r="40" spans="2:15" x14ac:dyDescent="0.25">
      <c r="D40" s="350"/>
      <c r="E40" s="165"/>
      <c r="F40" s="20"/>
      <c r="M40" s="5">
        <v>43710</v>
      </c>
      <c r="N40">
        <f t="shared" si="4"/>
        <v>10</v>
      </c>
      <c r="O40">
        <v>48</v>
      </c>
    </row>
    <row r="41" spans="2:15" x14ac:dyDescent="0.25">
      <c r="D41" s="350"/>
      <c r="E41" s="165"/>
      <c r="F41" s="20"/>
      <c r="M41" s="5">
        <v>43709</v>
      </c>
      <c r="N41">
        <f t="shared" si="4"/>
        <v>9</v>
      </c>
      <c r="O41">
        <v>48</v>
      </c>
    </row>
    <row r="42" spans="2:15" x14ac:dyDescent="0.25">
      <c r="D42" s="350"/>
      <c r="E42" s="165"/>
      <c r="F42" s="20"/>
      <c r="M42" s="5">
        <v>43708</v>
      </c>
      <c r="N42">
        <f t="shared" si="4"/>
        <v>9</v>
      </c>
      <c r="O42">
        <v>48</v>
      </c>
    </row>
    <row r="43" spans="2:15" x14ac:dyDescent="0.25">
      <c r="M43" s="5">
        <v>43707</v>
      </c>
      <c r="N43">
        <f t="shared" si="4"/>
        <v>9</v>
      </c>
      <c r="O43">
        <v>48</v>
      </c>
    </row>
    <row r="44" spans="2:15" x14ac:dyDescent="0.25">
      <c r="M44" s="5">
        <v>43706</v>
      </c>
      <c r="N44">
        <f t="shared" si="4"/>
        <v>9</v>
      </c>
      <c r="O44">
        <v>48</v>
      </c>
    </row>
    <row r="45" spans="2:15" x14ac:dyDescent="0.25">
      <c r="M45" s="5">
        <v>43705</v>
      </c>
      <c r="N45">
        <f t="shared" si="4"/>
        <v>9</v>
      </c>
      <c r="O45">
        <v>48</v>
      </c>
    </row>
    <row r="46" spans="2:15" x14ac:dyDescent="0.25">
      <c r="M46" s="5">
        <v>43704</v>
      </c>
      <c r="N46">
        <f t="shared" si="4"/>
        <v>9</v>
      </c>
      <c r="O46">
        <v>48</v>
      </c>
    </row>
    <row r="47" spans="2:15" x14ac:dyDescent="0.25">
      <c r="M47" s="5">
        <v>43703</v>
      </c>
      <c r="N47">
        <f t="shared" si="4"/>
        <v>9</v>
      </c>
      <c r="O47">
        <v>48</v>
      </c>
    </row>
    <row r="48" spans="2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5">N52-1</f>
        <v>7</v>
      </c>
      <c r="O59">
        <v>48</v>
      </c>
    </row>
    <row r="60" spans="13:15" x14ac:dyDescent="0.25">
      <c r="M60" s="5">
        <v>43690</v>
      </c>
      <c r="N60">
        <f t="shared" si="5"/>
        <v>7</v>
      </c>
      <c r="O60">
        <v>48</v>
      </c>
    </row>
    <row r="61" spans="13:15" x14ac:dyDescent="0.25">
      <c r="M61" s="5">
        <v>43689</v>
      </c>
      <c r="N61">
        <f t="shared" si="5"/>
        <v>7</v>
      </c>
      <c r="O61">
        <v>48</v>
      </c>
    </row>
    <row r="62" spans="13:15" x14ac:dyDescent="0.25">
      <c r="M62" s="5">
        <v>43688</v>
      </c>
      <c r="N62">
        <f t="shared" si="5"/>
        <v>6</v>
      </c>
      <c r="O62">
        <v>48</v>
      </c>
    </row>
    <row r="63" spans="13:15" x14ac:dyDescent="0.25">
      <c r="M63" s="5">
        <v>43687</v>
      </c>
      <c r="N63">
        <f t="shared" si="5"/>
        <v>6</v>
      </c>
      <c r="O63">
        <v>48</v>
      </c>
    </row>
    <row r="64" spans="13:15" x14ac:dyDescent="0.25">
      <c r="M64" s="5">
        <v>43686</v>
      </c>
      <c r="N64">
        <f t="shared" si="5"/>
        <v>6</v>
      </c>
      <c r="O64">
        <v>48</v>
      </c>
    </row>
    <row r="65" spans="13:15" x14ac:dyDescent="0.25">
      <c r="M65" s="5">
        <v>43685</v>
      </c>
      <c r="N65">
        <f t="shared" si="5"/>
        <v>6</v>
      </c>
      <c r="O65">
        <v>48</v>
      </c>
    </row>
    <row r="66" spans="13:15" x14ac:dyDescent="0.25">
      <c r="M66" s="5">
        <v>43684</v>
      </c>
      <c r="N66">
        <f t="shared" si="5"/>
        <v>6</v>
      </c>
      <c r="O66">
        <v>48</v>
      </c>
    </row>
    <row r="67" spans="13:15" x14ac:dyDescent="0.25">
      <c r="M67" s="5">
        <v>43683</v>
      </c>
      <c r="N67">
        <f t="shared" si="5"/>
        <v>6</v>
      </c>
      <c r="O67">
        <v>48</v>
      </c>
    </row>
    <row r="68" spans="13:15" x14ac:dyDescent="0.25">
      <c r="M68" s="5">
        <v>43682</v>
      </c>
      <c r="N68">
        <f t="shared" si="5"/>
        <v>6</v>
      </c>
      <c r="O68">
        <v>48</v>
      </c>
    </row>
    <row r="69" spans="13:15" x14ac:dyDescent="0.25">
      <c r="M69" s="5">
        <v>43681</v>
      </c>
      <c r="N69">
        <f t="shared" si="5"/>
        <v>5</v>
      </c>
      <c r="O69">
        <v>48</v>
      </c>
    </row>
    <row r="70" spans="13:15" x14ac:dyDescent="0.25">
      <c r="M70" s="5">
        <v>43680</v>
      </c>
      <c r="N70">
        <f t="shared" si="5"/>
        <v>5</v>
      </c>
      <c r="O70">
        <v>48</v>
      </c>
    </row>
    <row r="71" spans="13:15" x14ac:dyDescent="0.25">
      <c r="M71" s="5">
        <v>43679</v>
      </c>
      <c r="N71">
        <f t="shared" si="5"/>
        <v>5</v>
      </c>
      <c r="O71">
        <v>48</v>
      </c>
    </row>
    <row r="72" spans="13:15" x14ac:dyDescent="0.25">
      <c r="M72" s="5">
        <v>43678</v>
      </c>
      <c r="N72">
        <f t="shared" si="5"/>
        <v>5</v>
      </c>
      <c r="O72">
        <v>48</v>
      </c>
    </row>
    <row r="73" spans="13:15" x14ac:dyDescent="0.25">
      <c r="M73" s="5">
        <v>43677</v>
      </c>
      <c r="N73">
        <f t="shared" si="5"/>
        <v>5</v>
      </c>
      <c r="O73">
        <v>48</v>
      </c>
    </row>
    <row r="74" spans="13:15" x14ac:dyDescent="0.25">
      <c r="M74" s="5">
        <v>43676</v>
      </c>
      <c r="N74">
        <f t="shared" si="5"/>
        <v>5</v>
      </c>
      <c r="O74">
        <v>48</v>
      </c>
    </row>
    <row r="75" spans="13:15" x14ac:dyDescent="0.25">
      <c r="M75" s="5">
        <v>43675</v>
      </c>
      <c r="N75">
        <f t="shared" si="5"/>
        <v>5</v>
      </c>
      <c r="O75">
        <v>48</v>
      </c>
    </row>
    <row r="76" spans="13:15" x14ac:dyDescent="0.25">
      <c r="M76" s="5">
        <v>43674</v>
      </c>
      <c r="N76">
        <f t="shared" si="5"/>
        <v>4</v>
      </c>
      <c r="O76">
        <v>48</v>
      </c>
    </row>
    <row r="77" spans="13:15" x14ac:dyDescent="0.25">
      <c r="M77" s="5">
        <v>43673</v>
      </c>
      <c r="N77">
        <f t="shared" si="5"/>
        <v>4</v>
      </c>
      <c r="O77">
        <v>48</v>
      </c>
    </row>
    <row r="78" spans="13:15" x14ac:dyDescent="0.25">
      <c r="M78" s="5">
        <v>43672</v>
      </c>
      <c r="N78">
        <f t="shared" si="5"/>
        <v>4</v>
      </c>
      <c r="O78">
        <v>48</v>
      </c>
    </row>
    <row r="79" spans="13:15" x14ac:dyDescent="0.25">
      <c r="M79" s="5">
        <v>43671</v>
      </c>
      <c r="N79">
        <f t="shared" si="5"/>
        <v>4</v>
      </c>
      <c r="O79">
        <v>48</v>
      </c>
    </row>
    <row r="80" spans="13:15" x14ac:dyDescent="0.25">
      <c r="M80" s="5">
        <v>43670</v>
      </c>
      <c r="N80">
        <f t="shared" si="5"/>
        <v>4</v>
      </c>
      <c r="O80">
        <v>48</v>
      </c>
    </row>
    <row r="81" spans="13:15" x14ac:dyDescent="0.25">
      <c r="M81" s="5">
        <v>43669</v>
      </c>
      <c r="N81">
        <f t="shared" si="5"/>
        <v>4</v>
      </c>
      <c r="O81">
        <v>48</v>
      </c>
    </row>
    <row r="82" spans="13:15" x14ac:dyDescent="0.25">
      <c r="M82" s="5">
        <v>43668</v>
      </c>
      <c r="N82">
        <f t="shared" si="5"/>
        <v>4</v>
      </c>
      <c r="O82">
        <v>48</v>
      </c>
    </row>
    <row r="83" spans="13:15" x14ac:dyDescent="0.25">
      <c r="M83" s="5">
        <v>43667</v>
      </c>
      <c r="N83">
        <f t="shared" si="5"/>
        <v>3</v>
      </c>
      <c r="O83">
        <v>48</v>
      </c>
    </row>
    <row r="84" spans="13:15" x14ac:dyDescent="0.25">
      <c r="M84" s="5">
        <v>43666</v>
      </c>
      <c r="N84">
        <f t="shared" si="5"/>
        <v>3</v>
      </c>
      <c r="O84">
        <v>48</v>
      </c>
    </row>
    <row r="85" spans="13:15" x14ac:dyDescent="0.25">
      <c r="M85" s="5">
        <v>43665</v>
      </c>
      <c r="N85">
        <f t="shared" si="5"/>
        <v>3</v>
      </c>
      <c r="O85">
        <v>48</v>
      </c>
    </row>
    <row r="86" spans="13:15" x14ac:dyDescent="0.25">
      <c r="M86" s="5">
        <v>43664</v>
      </c>
      <c r="N86">
        <f t="shared" si="5"/>
        <v>3</v>
      </c>
      <c r="O86">
        <v>48</v>
      </c>
    </row>
    <row r="87" spans="13:15" x14ac:dyDescent="0.25">
      <c r="M87" s="5">
        <v>43663</v>
      </c>
      <c r="N87">
        <f t="shared" si="5"/>
        <v>3</v>
      </c>
      <c r="O87">
        <v>48</v>
      </c>
    </row>
    <row r="88" spans="13:15" x14ac:dyDescent="0.25">
      <c r="M88" s="5">
        <v>43662</v>
      </c>
      <c r="N88">
        <f t="shared" si="5"/>
        <v>3</v>
      </c>
      <c r="O88">
        <v>48</v>
      </c>
    </row>
    <row r="89" spans="13:15" x14ac:dyDescent="0.25">
      <c r="M89" s="5">
        <v>43661</v>
      </c>
      <c r="N89">
        <f t="shared" si="5"/>
        <v>3</v>
      </c>
      <c r="O89">
        <v>48</v>
      </c>
    </row>
    <row r="90" spans="13:15" x14ac:dyDescent="0.25">
      <c r="M90" s="5">
        <v>43660</v>
      </c>
      <c r="N90">
        <f t="shared" si="5"/>
        <v>2</v>
      </c>
      <c r="O90">
        <v>48</v>
      </c>
    </row>
    <row r="91" spans="13:15" x14ac:dyDescent="0.25">
      <c r="M91" s="5">
        <v>43659</v>
      </c>
      <c r="N91">
        <f t="shared" ref="N91:N103" si="6">N84-1</f>
        <v>2</v>
      </c>
      <c r="O91">
        <v>48</v>
      </c>
    </row>
    <row r="92" spans="13:15" x14ac:dyDescent="0.25">
      <c r="M92" s="5">
        <v>43658</v>
      </c>
      <c r="N92">
        <f t="shared" si="6"/>
        <v>2</v>
      </c>
      <c r="O92">
        <v>48</v>
      </c>
    </row>
    <row r="93" spans="13:15" x14ac:dyDescent="0.25">
      <c r="M93" s="5">
        <v>43657</v>
      </c>
      <c r="N93">
        <f t="shared" si="6"/>
        <v>2</v>
      </c>
      <c r="O93">
        <v>48</v>
      </c>
    </row>
    <row r="94" spans="13:15" x14ac:dyDescent="0.25">
      <c r="M94" s="5">
        <v>43656</v>
      </c>
      <c r="N94">
        <f t="shared" si="6"/>
        <v>2</v>
      </c>
      <c r="O94">
        <v>48</v>
      </c>
    </row>
    <row r="95" spans="13:15" x14ac:dyDescent="0.25">
      <c r="M95" s="5">
        <v>43655</v>
      </c>
      <c r="N95">
        <f t="shared" si="6"/>
        <v>2</v>
      </c>
      <c r="O95">
        <v>48</v>
      </c>
    </row>
    <row r="96" spans="13:15" x14ac:dyDescent="0.25">
      <c r="M96" s="5">
        <v>43654</v>
      </c>
      <c r="N96">
        <f t="shared" si="6"/>
        <v>2</v>
      </c>
      <c r="O96">
        <v>48</v>
      </c>
    </row>
    <row r="97" spans="13:15" x14ac:dyDescent="0.25">
      <c r="M97" s="5">
        <v>43653</v>
      </c>
      <c r="N97">
        <f t="shared" si="6"/>
        <v>1</v>
      </c>
      <c r="O97">
        <v>48</v>
      </c>
    </row>
    <row r="98" spans="13:15" x14ac:dyDescent="0.25">
      <c r="M98" s="5">
        <v>43652</v>
      </c>
      <c r="N98">
        <f t="shared" si="6"/>
        <v>1</v>
      </c>
      <c r="O98">
        <v>48</v>
      </c>
    </row>
    <row r="99" spans="13:15" x14ac:dyDescent="0.25">
      <c r="M99" s="5">
        <v>43651</v>
      </c>
      <c r="N99">
        <f t="shared" si="6"/>
        <v>1</v>
      </c>
      <c r="O99">
        <v>48</v>
      </c>
    </row>
    <row r="100" spans="13:15" x14ac:dyDescent="0.25">
      <c r="M100" s="5">
        <v>43650</v>
      </c>
      <c r="N100">
        <f t="shared" si="6"/>
        <v>1</v>
      </c>
      <c r="O100">
        <v>48</v>
      </c>
    </row>
    <row r="101" spans="13:15" x14ac:dyDescent="0.25">
      <c r="M101" s="5">
        <v>43649</v>
      </c>
      <c r="N101">
        <f t="shared" si="6"/>
        <v>1</v>
      </c>
      <c r="O101">
        <v>48</v>
      </c>
    </row>
    <row r="102" spans="13:15" x14ac:dyDescent="0.25">
      <c r="M102" s="5">
        <v>43648</v>
      </c>
      <c r="N102">
        <f t="shared" si="6"/>
        <v>1</v>
      </c>
      <c r="O102">
        <v>48</v>
      </c>
    </row>
    <row r="103" spans="13:15" x14ac:dyDescent="0.25">
      <c r="M103" s="5">
        <v>43647</v>
      </c>
      <c r="N103">
        <f t="shared" si="6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7">N104-1</f>
        <v>15</v>
      </c>
      <c r="O111">
        <v>47</v>
      </c>
    </row>
    <row r="112" spans="13:15" x14ac:dyDescent="0.25">
      <c r="M112" s="5">
        <v>43638</v>
      </c>
      <c r="N112">
        <f t="shared" si="7"/>
        <v>15</v>
      </c>
      <c r="O112">
        <v>47</v>
      </c>
    </row>
    <row r="113" spans="13:15" x14ac:dyDescent="0.25">
      <c r="M113" s="5">
        <v>43637</v>
      </c>
      <c r="N113">
        <f t="shared" si="7"/>
        <v>15</v>
      </c>
      <c r="O113">
        <v>47</v>
      </c>
    </row>
    <row r="114" spans="13:15" x14ac:dyDescent="0.25">
      <c r="M114" s="5">
        <v>43636</v>
      </c>
      <c r="N114">
        <f t="shared" si="7"/>
        <v>15</v>
      </c>
      <c r="O114">
        <v>47</v>
      </c>
    </row>
    <row r="115" spans="13:15" x14ac:dyDescent="0.25">
      <c r="M115" s="5">
        <v>43635</v>
      </c>
      <c r="N115">
        <f t="shared" si="7"/>
        <v>15</v>
      </c>
      <c r="O115">
        <v>47</v>
      </c>
    </row>
    <row r="116" spans="13:15" x14ac:dyDescent="0.25">
      <c r="M116" s="5">
        <v>43634</v>
      </c>
      <c r="N116">
        <f t="shared" si="7"/>
        <v>15</v>
      </c>
      <c r="O116">
        <v>47</v>
      </c>
    </row>
    <row r="117" spans="13:15" x14ac:dyDescent="0.25">
      <c r="M117" s="5">
        <v>43633</v>
      </c>
      <c r="N117">
        <f t="shared" si="7"/>
        <v>15</v>
      </c>
      <c r="O117">
        <v>47</v>
      </c>
    </row>
    <row r="118" spans="13:15" x14ac:dyDescent="0.25">
      <c r="M118" s="5">
        <v>43632</v>
      </c>
      <c r="N118">
        <f t="shared" si="7"/>
        <v>14</v>
      </c>
      <c r="O118">
        <v>47</v>
      </c>
    </row>
    <row r="119" spans="13:15" x14ac:dyDescent="0.25">
      <c r="M119" s="5">
        <v>43631</v>
      </c>
      <c r="N119">
        <f t="shared" si="7"/>
        <v>14</v>
      </c>
      <c r="O119">
        <v>47</v>
      </c>
    </row>
    <row r="120" spans="13:15" x14ac:dyDescent="0.25">
      <c r="M120" s="5">
        <v>43630</v>
      </c>
      <c r="N120">
        <f t="shared" si="7"/>
        <v>14</v>
      </c>
      <c r="O120">
        <v>47</v>
      </c>
    </row>
    <row r="121" spans="13:15" x14ac:dyDescent="0.25">
      <c r="M121" s="5">
        <v>43629</v>
      </c>
      <c r="N121">
        <f t="shared" si="7"/>
        <v>14</v>
      </c>
      <c r="O121">
        <v>47</v>
      </c>
    </row>
    <row r="122" spans="13:15" x14ac:dyDescent="0.25">
      <c r="M122" s="5">
        <v>43628</v>
      </c>
      <c r="N122">
        <f t="shared" si="7"/>
        <v>14</v>
      </c>
      <c r="O122">
        <v>47</v>
      </c>
    </row>
    <row r="123" spans="13:15" x14ac:dyDescent="0.25">
      <c r="M123" s="5">
        <v>43627</v>
      </c>
      <c r="N123">
        <f t="shared" si="7"/>
        <v>14</v>
      </c>
      <c r="O123">
        <v>47</v>
      </c>
    </row>
    <row r="124" spans="13:15" x14ac:dyDescent="0.25">
      <c r="M124" s="5">
        <v>43626</v>
      </c>
      <c r="N124">
        <f t="shared" si="7"/>
        <v>14</v>
      </c>
      <c r="O124">
        <v>47</v>
      </c>
    </row>
    <row r="125" spans="13:15" x14ac:dyDescent="0.25">
      <c r="M125" s="5">
        <v>43625</v>
      </c>
      <c r="N125">
        <f t="shared" si="7"/>
        <v>13</v>
      </c>
      <c r="O125">
        <v>47</v>
      </c>
    </row>
    <row r="126" spans="13:15" x14ac:dyDescent="0.25">
      <c r="M126" s="5">
        <v>43624</v>
      </c>
      <c r="N126">
        <f t="shared" si="7"/>
        <v>13</v>
      </c>
      <c r="O126">
        <v>47</v>
      </c>
    </row>
    <row r="127" spans="13:15" x14ac:dyDescent="0.25">
      <c r="M127" s="5">
        <v>43623</v>
      </c>
      <c r="N127">
        <f t="shared" si="7"/>
        <v>13</v>
      </c>
      <c r="O127">
        <v>47</v>
      </c>
    </row>
    <row r="128" spans="13:15" x14ac:dyDescent="0.25">
      <c r="M128" s="5">
        <v>43622</v>
      </c>
      <c r="N128">
        <f t="shared" si="7"/>
        <v>13</v>
      </c>
      <c r="O128">
        <v>47</v>
      </c>
    </row>
    <row r="129" spans="13:15" x14ac:dyDescent="0.25">
      <c r="M129" s="5">
        <v>43621</v>
      </c>
      <c r="N129">
        <f t="shared" si="7"/>
        <v>13</v>
      </c>
      <c r="O129">
        <v>47</v>
      </c>
    </row>
    <row r="130" spans="13:15" x14ac:dyDescent="0.25">
      <c r="M130" s="5">
        <v>43620</v>
      </c>
      <c r="N130">
        <f t="shared" si="7"/>
        <v>13</v>
      </c>
      <c r="O130">
        <v>47</v>
      </c>
    </row>
    <row r="131" spans="13:15" x14ac:dyDescent="0.25">
      <c r="M131" s="5">
        <v>43619</v>
      </c>
      <c r="N131">
        <f t="shared" si="7"/>
        <v>13</v>
      </c>
      <c r="O131">
        <v>47</v>
      </c>
    </row>
    <row r="132" spans="13:15" x14ac:dyDescent="0.25">
      <c r="M132" s="5">
        <v>43618</v>
      </c>
      <c r="N132">
        <f t="shared" si="7"/>
        <v>12</v>
      </c>
      <c r="O132">
        <v>47</v>
      </c>
    </row>
    <row r="133" spans="13:15" x14ac:dyDescent="0.25">
      <c r="M133" s="5">
        <v>43617</v>
      </c>
      <c r="N133">
        <f t="shared" si="7"/>
        <v>12</v>
      </c>
      <c r="O133">
        <v>47</v>
      </c>
    </row>
    <row r="134" spans="13:15" x14ac:dyDescent="0.25">
      <c r="M134" s="5">
        <v>43616</v>
      </c>
      <c r="N134">
        <f t="shared" si="7"/>
        <v>12</v>
      </c>
      <c r="O134">
        <v>47</v>
      </c>
    </row>
    <row r="135" spans="13:15" x14ac:dyDescent="0.25">
      <c r="M135" s="5">
        <v>43615</v>
      </c>
      <c r="N135">
        <f t="shared" si="7"/>
        <v>12</v>
      </c>
      <c r="O135">
        <v>47</v>
      </c>
    </row>
    <row r="136" spans="13:15" x14ac:dyDescent="0.25">
      <c r="M136" s="5">
        <v>43614</v>
      </c>
      <c r="N136">
        <f t="shared" si="7"/>
        <v>12</v>
      </c>
      <c r="O136">
        <v>47</v>
      </c>
    </row>
    <row r="137" spans="13:15" x14ac:dyDescent="0.25">
      <c r="M137" s="5">
        <v>43613</v>
      </c>
      <c r="N137">
        <f t="shared" si="7"/>
        <v>12</v>
      </c>
      <c r="O137">
        <v>47</v>
      </c>
    </row>
    <row r="138" spans="13:15" x14ac:dyDescent="0.25">
      <c r="M138" s="5">
        <v>43612</v>
      </c>
      <c r="N138">
        <f t="shared" si="7"/>
        <v>12</v>
      </c>
      <c r="O138">
        <v>47</v>
      </c>
    </row>
    <row r="139" spans="13:15" x14ac:dyDescent="0.25">
      <c r="M139" s="5">
        <v>43611</v>
      </c>
      <c r="N139">
        <f t="shared" si="7"/>
        <v>11</v>
      </c>
      <c r="O139">
        <v>47</v>
      </c>
    </row>
    <row r="140" spans="13:15" x14ac:dyDescent="0.25">
      <c r="M140" s="5">
        <v>43610</v>
      </c>
      <c r="N140">
        <f t="shared" si="7"/>
        <v>11</v>
      </c>
      <c r="O140">
        <v>47</v>
      </c>
    </row>
    <row r="141" spans="13:15" x14ac:dyDescent="0.25">
      <c r="M141" s="5">
        <v>43609</v>
      </c>
      <c r="N141">
        <f t="shared" si="7"/>
        <v>11</v>
      </c>
      <c r="O141">
        <v>47</v>
      </c>
    </row>
    <row r="142" spans="13:15" x14ac:dyDescent="0.25">
      <c r="M142" s="5">
        <v>43608</v>
      </c>
      <c r="N142">
        <f t="shared" si="7"/>
        <v>11</v>
      </c>
      <c r="O142">
        <v>47</v>
      </c>
    </row>
    <row r="143" spans="13:15" x14ac:dyDescent="0.25">
      <c r="M143" s="5">
        <v>43607</v>
      </c>
      <c r="N143">
        <f t="shared" ref="N143:N174" si="8">N136-1</f>
        <v>11</v>
      </c>
      <c r="O143">
        <v>47</v>
      </c>
    </row>
    <row r="144" spans="13:15" x14ac:dyDescent="0.25">
      <c r="M144" s="5">
        <v>43606</v>
      </c>
      <c r="N144">
        <f t="shared" si="8"/>
        <v>11</v>
      </c>
      <c r="O144">
        <v>47</v>
      </c>
    </row>
    <row r="145" spans="13:15" x14ac:dyDescent="0.25">
      <c r="M145" s="5">
        <v>43605</v>
      </c>
      <c r="N145">
        <f t="shared" si="8"/>
        <v>11</v>
      </c>
      <c r="O145">
        <v>47</v>
      </c>
    </row>
    <row r="146" spans="13:15" x14ac:dyDescent="0.25">
      <c r="M146" s="5">
        <v>43604</v>
      </c>
      <c r="N146">
        <f t="shared" si="8"/>
        <v>10</v>
      </c>
      <c r="O146">
        <v>47</v>
      </c>
    </row>
    <row r="147" spans="13:15" x14ac:dyDescent="0.25">
      <c r="M147" s="5">
        <v>43603</v>
      </c>
      <c r="N147">
        <f t="shared" si="8"/>
        <v>10</v>
      </c>
      <c r="O147">
        <v>47</v>
      </c>
    </row>
    <row r="148" spans="13:15" x14ac:dyDescent="0.25">
      <c r="M148" s="5">
        <v>43602</v>
      </c>
      <c r="N148">
        <f t="shared" si="8"/>
        <v>10</v>
      </c>
      <c r="O148">
        <v>47</v>
      </c>
    </row>
    <row r="149" spans="13:15" x14ac:dyDescent="0.25">
      <c r="M149" s="5">
        <v>43601</v>
      </c>
      <c r="N149">
        <f t="shared" si="8"/>
        <v>10</v>
      </c>
      <c r="O149">
        <v>47</v>
      </c>
    </row>
    <row r="150" spans="13:15" x14ac:dyDescent="0.25">
      <c r="M150" s="5">
        <v>43600</v>
      </c>
      <c r="N150">
        <f t="shared" si="8"/>
        <v>10</v>
      </c>
      <c r="O150">
        <v>47</v>
      </c>
    </row>
    <row r="151" spans="13:15" x14ac:dyDescent="0.25">
      <c r="M151" s="5">
        <v>43599</v>
      </c>
      <c r="N151">
        <f t="shared" si="8"/>
        <v>10</v>
      </c>
      <c r="O151">
        <v>47</v>
      </c>
    </row>
    <row r="152" spans="13:15" x14ac:dyDescent="0.25">
      <c r="M152" s="5">
        <v>43598</v>
      </c>
      <c r="N152">
        <f t="shared" si="8"/>
        <v>10</v>
      </c>
      <c r="O152">
        <v>47</v>
      </c>
    </row>
    <row r="153" spans="13:15" x14ac:dyDescent="0.25">
      <c r="M153" s="5">
        <v>43597</v>
      </c>
      <c r="N153">
        <f t="shared" si="8"/>
        <v>9</v>
      </c>
      <c r="O153">
        <v>47</v>
      </c>
    </row>
    <row r="154" spans="13:15" x14ac:dyDescent="0.25">
      <c r="M154" s="5">
        <v>43596</v>
      </c>
      <c r="N154">
        <f t="shared" si="8"/>
        <v>9</v>
      </c>
      <c r="O154">
        <v>47</v>
      </c>
    </row>
    <row r="155" spans="13:15" x14ac:dyDescent="0.25">
      <c r="M155" s="5">
        <v>43595</v>
      </c>
      <c r="N155">
        <f t="shared" si="8"/>
        <v>9</v>
      </c>
      <c r="O155">
        <v>47</v>
      </c>
    </row>
    <row r="156" spans="13:15" x14ac:dyDescent="0.25">
      <c r="M156" s="5">
        <v>43594</v>
      </c>
      <c r="N156">
        <f t="shared" si="8"/>
        <v>9</v>
      </c>
      <c r="O156">
        <v>47</v>
      </c>
    </row>
    <row r="157" spans="13:15" x14ac:dyDescent="0.25">
      <c r="M157" s="5">
        <v>43593</v>
      </c>
      <c r="N157">
        <f t="shared" si="8"/>
        <v>9</v>
      </c>
      <c r="O157">
        <v>47</v>
      </c>
    </row>
    <row r="158" spans="13:15" x14ac:dyDescent="0.25">
      <c r="M158" s="5">
        <v>43592</v>
      </c>
      <c r="N158">
        <f t="shared" si="8"/>
        <v>9</v>
      </c>
      <c r="O158">
        <v>47</v>
      </c>
    </row>
    <row r="159" spans="13:15" x14ac:dyDescent="0.25">
      <c r="M159" s="5">
        <v>43591</v>
      </c>
      <c r="N159">
        <f t="shared" si="8"/>
        <v>9</v>
      </c>
      <c r="O159">
        <v>47</v>
      </c>
    </row>
    <row r="160" spans="13:15" x14ac:dyDescent="0.25">
      <c r="M160" s="5">
        <v>43590</v>
      </c>
      <c r="N160">
        <f t="shared" si="8"/>
        <v>8</v>
      </c>
      <c r="O160">
        <v>47</v>
      </c>
    </row>
    <row r="161" spans="13:15" x14ac:dyDescent="0.25">
      <c r="M161" s="5">
        <v>43589</v>
      </c>
      <c r="N161">
        <f t="shared" si="8"/>
        <v>8</v>
      </c>
      <c r="O161">
        <v>47</v>
      </c>
    </row>
    <row r="162" spans="13:15" x14ac:dyDescent="0.25">
      <c r="M162" s="5">
        <v>43588</v>
      </c>
      <c r="N162">
        <f t="shared" si="8"/>
        <v>8</v>
      </c>
      <c r="O162">
        <v>47</v>
      </c>
    </row>
    <row r="163" spans="13:15" x14ac:dyDescent="0.25">
      <c r="M163" s="5">
        <v>43587</v>
      </c>
      <c r="N163">
        <f t="shared" si="8"/>
        <v>8</v>
      </c>
      <c r="O163">
        <v>47</v>
      </c>
    </row>
    <row r="164" spans="13:15" x14ac:dyDescent="0.25">
      <c r="M164" s="5">
        <v>43586</v>
      </c>
      <c r="N164">
        <f t="shared" si="8"/>
        <v>8</v>
      </c>
      <c r="O164">
        <v>47</v>
      </c>
    </row>
    <row r="165" spans="13:15" x14ac:dyDescent="0.25">
      <c r="M165" s="5">
        <v>43585</v>
      </c>
      <c r="N165">
        <f t="shared" si="8"/>
        <v>8</v>
      </c>
      <c r="O165">
        <v>47</v>
      </c>
    </row>
    <row r="166" spans="13:15" x14ac:dyDescent="0.25">
      <c r="M166" s="5">
        <v>43584</v>
      </c>
      <c r="N166">
        <f t="shared" si="8"/>
        <v>8</v>
      </c>
      <c r="O166">
        <v>47</v>
      </c>
    </row>
    <row r="167" spans="13:15" x14ac:dyDescent="0.25">
      <c r="M167" s="5">
        <v>43583</v>
      </c>
      <c r="N167">
        <f t="shared" si="8"/>
        <v>7</v>
      </c>
      <c r="O167">
        <v>47</v>
      </c>
    </row>
    <row r="168" spans="13:15" x14ac:dyDescent="0.25">
      <c r="M168" s="5">
        <v>43582</v>
      </c>
      <c r="N168">
        <f t="shared" si="8"/>
        <v>7</v>
      </c>
      <c r="O168">
        <v>47</v>
      </c>
    </row>
    <row r="169" spans="13:15" x14ac:dyDescent="0.25">
      <c r="M169" s="5">
        <v>43581</v>
      </c>
      <c r="N169">
        <f t="shared" si="8"/>
        <v>7</v>
      </c>
      <c r="O169">
        <v>47</v>
      </c>
    </row>
    <row r="170" spans="13:15" x14ac:dyDescent="0.25">
      <c r="M170" s="5">
        <v>43580</v>
      </c>
      <c r="N170">
        <f t="shared" si="8"/>
        <v>7</v>
      </c>
      <c r="O170">
        <v>47</v>
      </c>
    </row>
    <row r="171" spans="13:15" x14ac:dyDescent="0.25">
      <c r="M171" s="5">
        <v>43579</v>
      </c>
      <c r="N171">
        <f t="shared" si="8"/>
        <v>7</v>
      </c>
      <c r="O171">
        <v>47</v>
      </c>
    </row>
    <row r="172" spans="13:15" x14ac:dyDescent="0.25">
      <c r="M172" s="5">
        <v>43578</v>
      </c>
      <c r="N172">
        <f t="shared" si="8"/>
        <v>7</v>
      </c>
      <c r="O172">
        <v>47</v>
      </c>
    </row>
    <row r="173" spans="13:15" x14ac:dyDescent="0.25">
      <c r="M173" s="5">
        <v>43577</v>
      </c>
      <c r="N173">
        <f t="shared" si="8"/>
        <v>7</v>
      </c>
      <c r="O173">
        <v>47</v>
      </c>
    </row>
    <row r="174" spans="13:15" x14ac:dyDescent="0.25">
      <c r="M174" s="5">
        <v>43576</v>
      </c>
      <c r="N174">
        <f t="shared" si="8"/>
        <v>6</v>
      </c>
      <c r="O174">
        <v>47</v>
      </c>
    </row>
    <row r="175" spans="13:15" x14ac:dyDescent="0.25">
      <c r="M175" s="5">
        <v>43575</v>
      </c>
      <c r="N175">
        <f t="shared" ref="N175:N206" si="9">N168-1</f>
        <v>6</v>
      </c>
      <c r="O175">
        <v>47</v>
      </c>
    </row>
    <row r="176" spans="13:15" x14ac:dyDescent="0.25">
      <c r="M176" s="5">
        <v>43574</v>
      </c>
      <c r="N176">
        <f t="shared" si="9"/>
        <v>6</v>
      </c>
      <c r="O176">
        <v>47</v>
      </c>
    </row>
    <row r="177" spans="13:15" x14ac:dyDescent="0.25">
      <c r="M177" s="5">
        <v>43573</v>
      </c>
      <c r="N177">
        <f t="shared" si="9"/>
        <v>6</v>
      </c>
      <c r="O177">
        <v>47</v>
      </c>
    </row>
    <row r="178" spans="13:15" x14ac:dyDescent="0.25">
      <c r="M178" s="5">
        <v>43572</v>
      </c>
      <c r="N178">
        <f t="shared" si="9"/>
        <v>6</v>
      </c>
      <c r="O178">
        <v>47</v>
      </c>
    </row>
    <row r="179" spans="13:15" x14ac:dyDescent="0.25">
      <c r="M179" s="5">
        <v>43571</v>
      </c>
      <c r="N179">
        <f t="shared" si="9"/>
        <v>6</v>
      </c>
      <c r="O179">
        <v>47</v>
      </c>
    </row>
    <row r="180" spans="13:15" x14ac:dyDescent="0.25">
      <c r="M180" s="5">
        <v>43570</v>
      </c>
      <c r="N180">
        <f t="shared" si="9"/>
        <v>6</v>
      </c>
      <c r="O180">
        <v>47</v>
      </c>
    </row>
    <row r="181" spans="13:15" x14ac:dyDescent="0.25">
      <c r="M181" s="5">
        <v>43569</v>
      </c>
      <c r="N181">
        <f t="shared" si="9"/>
        <v>5</v>
      </c>
      <c r="O181">
        <v>47</v>
      </c>
    </row>
    <row r="182" spans="13:15" x14ac:dyDescent="0.25">
      <c r="M182" s="5">
        <v>43568</v>
      </c>
      <c r="N182">
        <f t="shared" si="9"/>
        <v>5</v>
      </c>
      <c r="O182">
        <v>47</v>
      </c>
    </row>
    <row r="183" spans="13:15" x14ac:dyDescent="0.25">
      <c r="M183" s="5">
        <v>43567</v>
      </c>
      <c r="N183">
        <f t="shared" si="9"/>
        <v>5</v>
      </c>
      <c r="O183">
        <v>47</v>
      </c>
    </row>
    <row r="184" spans="13:15" x14ac:dyDescent="0.25">
      <c r="M184" s="5">
        <v>43566</v>
      </c>
      <c r="N184">
        <f t="shared" si="9"/>
        <v>5</v>
      </c>
      <c r="O184">
        <v>47</v>
      </c>
    </row>
    <row r="185" spans="13:15" x14ac:dyDescent="0.25">
      <c r="M185" s="5">
        <v>43565</v>
      </c>
      <c r="N185">
        <f t="shared" si="9"/>
        <v>5</v>
      </c>
      <c r="O185">
        <v>47</v>
      </c>
    </row>
    <row r="186" spans="13:15" x14ac:dyDescent="0.25">
      <c r="M186" s="5">
        <v>43564</v>
      </c>
      <c r="N186">
        <f t="shared" si="9"/>
        <v>5</v>
      </c>
      <c r="O186">
        <v>47</v>
      </c>
    </row>
    <row r="187" spans="13:15" x14ac:dyDescent="0.25">
      <c r="M187" s="5">
        <v>43563</v>
      </c>
      <c r="N187">
        <f t="shared" si="9"/>
        <v>5</v>
      </c>
      <c r="O187">
        <v>47</v>
      </c>
    </row>
    <row r="188" spans="13:15" x14ac:dyDescent="0.25">
      <c r="M188" s="5">
        <v>43562</v>
      </c>
      <c r="N188">
        <f t="shared" si="9"/>
        <v>4</v>
      </c>
      <c r="O188">
        <v>47</v>
      </c>
    </row>
    <row r="189" spans="13:15" x14ac:dyDescent="0.25">
      <c r="M189" s="5">
        <v>43561</v>
      </c>
      <c r="N189">
        <f t="shared" si="9"/>
        <v>4</v>
      </c>
      <c r="O189">
        <v>47</v>
      </c>
    </row>
    <row r="190" spans="13:15" x14ac:dyDescent="0.25">
      <c r="M190" s="5">
        <v>43560</v>
      </c>
      <c r="N190">
        <f t="shared" si="9"/>
        <v>4</v>
      </c>
      <c r="O190">
        <v>47</v>
      </c>
    </row>
    <row r="191" spans="13:15" x14ac:dyDescent="0.25">
      <c r="M191" s="5">
        <v>43559</v>
      </c>
      <c r="N191">
        <f t="shared" si="9"/>
        <v>4</v>
      </c>
      <c r="O191">
        <v>47</v>
      </c>
    </row>
    <row r="192" spans="13:15" x14ac:dyDescent="0.25">
      <c r="M192" s="5">
        <v>43558</v>
      </c>
      <c r="N192">
        <f t="shared" si="9"/>
        <v>4</v>
      </c>
      <c r="O192">
        <v>47</v>
      </c>
    </row>
    <row r="193" spans="13:15" x14ac:dyDescent="0.25">
      <c r="M193" s="5">
        <v>43557</v>
      </c>
      <c r="N193">
        <f t="shared" si="9"/>
        <v>4</v>
      </c>
      <c r="O193">
        <v>47</v>
      </c>
    </row>
    <row r="194" spans="13:15" x14ac:dyDescent="0.25">
      <c r="M194" s="5">
        <v>43556</v>
      </c>
      <c r="N194">
        <f t="shared" si="9"/>
        <v>4</v>
      </c>
      <c r="O194">
        <v>47</v>
      </c>
    </row>
    <row r="195" spans="13:15" x14ac:dyDescent="0.25">
      <c r="M195" s="5">
        <v>43555</v>
      </c>
      <c r="N195">
        <f t="shared" si="9"/>
        <v>3</v>
      </c>
      <c r="O195">
        <v>47</v>
      </c>
    </row>
    <row r="196" spans="13:15" x14ac:dyDescent="0.25">
      <c r="M196" s="5">
        <v>43554</v>
      </c>
      <c r="N196">
        <f t="shared" si="9"/>
        <v>3</v>
      </c>
      <c r="O196">
        <v>47</v>
      </c>
    </row>
    <row r="197" spans="13:15" x14ac:dyDescent="0.25">
      <c r="M197" s="5">
        <v>43553</v>
      </c>
      <c r="N197">
        <f t="shared" si="9"/>
        <v>3</v>
      </c>
      <c r="O197">
        <v>47</v>
      </c>
    </row>
    <row r="198" spans="13:15" x14ac:dyDescent="0.25">
      <c r="M198" s="5">
        <v>43552</v>
      </c>
      <c r="N198">
        <f t="shared" si="9"/>
        <v>3</v>
      </c>
      <c r="O198">
        <v>47</v>
      </c>
    </row>
    <row r="199" spans="13:15" x14ac:dyDescent="0.25">
      <c r="M199" s="5">
        <v>43551</v>
      </c>
      <c r="N199">
        <f t="shared" si="9"/>
        <v>3</v>
      </c>
      <c r="O199">
        <v>47</v>
      </c>
    </row>
    <row r="200" spans="13:15" x14ac:dyDescent="0.25">
      <c r="M200" s="5">
        <v>43550</v>
      </c>
      <c r="N200">
        <f t="shared" si="9"/>
        <v>3</v>
      </c>
      <c r="O200">
        <v>47</v>
      </c>
    </row>
    <row r="201" spans="13:15" x14ac:dyDescent="0.25">
      <c r="M201" s="5">
        <v>43549</v>
      </c>
      <c r="N201">
        <f t="shared" si="9"/>
        <v>3</v>
      </c>
      <c r="O201">
        <v>47</v>
      </c>
    </row>
    <row r="202" spans="13:15" x14ac:dyDescent="0.25">
      <c r="M202" s="5">
        <v>43548</v>
      </c>
      <c r="N202">
        <f t="shared" si="9"/>
        <v>2</v>
      </c>
      <c r="O202">
        <v>47</v>
      </c>
    </row>
    <row r="203" spans="13:15" x14ac:dyDescent="0.25">
      <c r="M203" s="5">
        <v>43547</v>
      </c>
      <c r="N203">
        <f t="shared" si="9"/>
        <v>2</v>
      </c>
      <c r="O203">
        <v>47</v>
      </c>
    </row>
    <row r="204" spans="13:15" x14ac:dyDescent="0.25">
      <c r="M204" s="5">
        <v>43546</v>
      </c>
      <c r="N204">
        <f t="shared" si="9"/>
        <v>2</v>
      </c>
      <c r="O204">
        <v>47</v>
      </c>
    </row>
    <row r="205" spans="13:15" x14ac:dyDescent="0.25">
      <c r="M205" s="5">
        <v>43545</v>
      </c>
      <c r="N205">
        <f t="shared" si="9"/>
        <v>2</v>
      </c>
      <c r="O205">
        <v>47</v>
      </c>
    </row>
    <row r="206" spans="13:15" x14ac:dyDescent="0.25">
      <c r="M206" s="5">
        <v>43544</v>
      </c>
      <c r="N206">
        <f t="shared" si="9"/>
        <v>2</v>
      </c>
      <c r="O206">
        <v>47</v>
      </c>
    </row>
    <row r="207" spans="13:15" x14ac:dyDescent="0.25">
      <c r="M207" s="5">
        <v>43543</v>
      </c>
      <c r="N207">
        <f t="shared" ref="N207:N215" si="10">N200-1</f>
        <v>2</v>
      </c>
      <c r="O207">
        <v>47</v>
      </c>
    </row>
    <row r="208" spans="13:15" x14ac:dyDescent="0.25">
      <c r="M208" s="5">
        <v>43542</v>
      </c>
      <c r="N208">
        <f t="shared" si="10"/>
        <v>2</v>
      </c>
      <c r="O208">
        <v>47</v>
      </c>
    </row>
    <row r="209" spans="13:15" x14ac:dyDescent="0.25">
      <c r="M209" s="5">
        <v>43541</v>
      </c>
      <c r="N209">
        <f t="shared" si="10"/>
        <v>1</v>
      </c>
      <c r="O209">
        <v>47</v>
      </c>
    </row>
    <row r="210" spans="13:15" x14ac:dyDescent="0.25">
      <c r="M210" s="5">
        <v>43540</v>
      </c>
      <c r="N210">
        <f t="shared" si="10"/>
        <v>1</v>
      </c>
      <c r="O210">
        <v>47</v>
      </c>
    </row>
    <row r="211" spans="13:15" x14ac:dyDescent="0.25">
      <c r="M211" s="5">
        <v>43539</v>
      </c>
      <c r="N211">
        <f t="shared" si="10"/>
        <v>1</v>
      </c>
      <c r="O211">
        <v>47</v>
      </c>
    </row>
    <row r="212" spans="13:15" x14ac:dyDescent="0.25">
      <c r="M212" s="5">
        <v>43538</v>
      </c>
      <c r="N212">
        <f t="shared" si="10"/>
        <v>1</v>
      </c>
      <c r="O212">
        <v>47</v>
      </c>
    </row>
    <row r="213" spans="13:15" x14ac:dyDescent="0.25">
      <c r="M213" s="5">
        <v>43537</v>
      </c>
      <c r="N213">
        <f t="shared" si="10"/>
        <v>1</v>
      </c>
      <c r="O213">
        <v>47</v>
      </c>
    </row>
    <row r="214" spans="13:15" x14ac:dyDescent="0.25">
      <c r="M214" s="5">
        <v>43536</v>
      </c>
      <c r="N214">
        <f t="shared" si="10"/>
        <v>1</v>
      </c>
      <c r="O214">
        <v>47</v>
      </c>
    </row>
    <row r="215" spans="13:15" x14ac:dyDescent="0.25">
      <c r="M215" s="5">
        <v>43535</v>
      </c>
      <c r="N215">
        <f t="shared" si="10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1">N216-1</f>
        <v>15</v>
      </c>
      <c r="O223">
        <v>46</v>
      </c>
    </row>
    <row r="224" spans="13:15" x14ac:dyDescent="0.25">
      <c r="M224" s="5">
        <v>43526</v>
      </c>
      <c r="N224">
        <f t="shared" si="11"/>
        <v>15</v>
      </c>
      <c r="O224">
        <v>46</v>
      </c>
    </row>
    <row r="225" spans="13:15" x14ac:dyDescent="0.25">
      <c r="M225" s="5">
        <v>43525</v>
      </c>
      <c r="N225">
        <f t="shared" si="11"/>
        <v>15</v>
      </c>
      <c r="O225">
        <v>46</v>
      </c>
    </row>
    <row r="226" spans="13:15" x14ac:dyDescent="0.25">
      <c r="M226" s="5">
        <v>43524</v>
      </c>
      <c r="N226">
        <f t="shared" si="11"/>
        <v>15</v>
      </c>
      <c r="O226">
        <v>46</v>
      </c>
    </row>
    <row r="227" spans="13:15" x14ac:dyDescent="0.25">
      <c r="M227" s="5">
        <v>43523</v>
      </c>
      <c r="N227">
        <f t="shared" si="11"/>
        <v>15</v>
      </c>
      <c r="O227">
        <v>46</v>
      </c>
    </row>
    <row r="228" spans="13:15" x14ac:dyDescent="0.25">
      <c r="M228" s="5">
        <v>43522</v>
      </c>
      <c r="N228">
        <f t="shared" si="11"/>
        <v>15</v>
      </c>
      <c r="O228">
        <v>46</v>
      </c>
    </row>
    <row r="229" spans="13:15" x14ac:dyDescent="0.25">
      <c r="M229" s="5">
        <v>43521</v>
      </c>
      <c r="N229">
        <f t="shared" si="11"/>
        <v>15</v>
      </c>
      <c r="O229">
        <v>46</v>
      </c>
    </row>
    <row r="230" spans="13:15" x14ac:dyDescent="0.25">
      <c r="M230" s="5">
        <v>43520</v>
      </c>
      <c r="N230">
        <f t="shared" si="11"/>
        <v>14</v>
      </c>
      <c r="O230">
        <v>46</v>
      </c>
    </row>
    <row r="231" spans="13:15" x14ac:dyDescent="0.25">
      <c r="M231" s="5">
        <v>43519</v>
      </c>
      <c r="N231">
        <f t="shared" si="11"/>
        <v>14</v>
      </c>
      <c r="O231">
        <v>46</v>
      </c>
    </row>
    <row r="232" spans="13:15" x14ac:dyDescent="0.25">
      <c r="M232" s="5">
        <v>43518</v>
      </c>
      <c r="N232">
        <f t="shared" si="11"/>
        <v>14</v>
      </c>
      <c r="O232">
        <v>46</v>
      </c>
    </row>
    <row r="233" spans="13:15" x14ac:dyDescent="0.25">
      <c r="M233" s="5">
        <v>43517</v>
      </c>
      <c r="N233">
        <f t="shared" si="11"/>
        <v>14</v>
      </c>
      <c r="O233">
        <v>46</v>
      </c>
    </row>
    <row r="234" spans="13:15" x14ac:dyDescent="0.25">
      <c r="M234" s="5">
        <v>43516</v>
      </c>
      <c r="N234">
        <f t="shared" si="11"/>
        <v>14</v>
      </c>
      <c r="O234">
        <v>46</v>
      </c>
    </row>
    <row r="235" spans="13:15" x14ac:dyDescent="0.25">
      <c r="M235" s="5">
        <v>43515</v>
      </c>
      <c r="N235">
        <f t="shared" si="11"/>
        <v>14</v>
      </c>
      <c r="O235">
        <v>46</v>
      </c>
    </row>
    <row r="236" spans="13:15" x14ac:dyDescent="0.25">
      <c r="M236" s="5">
        <v>43514</v>
      </c>
      <c r="N236">
        <f t="shared" si="11"/>
        <v>14</v>
      </c>
      <c r="O236">
        <v>46</v>
      </c>
    </row>
    <row r="237" spans="13:15" x14ac:dyDescent="0.25">
      <c r="M237" s="5">
        <v>43513</v>
      </c>
      <c r="N237">
        <f t="shared" si="11"/>
        <v>13</v>
      </c>
      <c r="O237">
        <v>46</v>
      </c>
    </row>
    <row r="238" spans="13:15" x14ac:dyDescent="0.25">
      <c r="M238" s="5">
        <v>43512</v>
      </c>
      <c r="N238">
        <f t="shared" si="11"/>
        <v>13</v>
      </c>
      <c r="O238">
        <v>46</v>
      </c>
    </row>
    <row r="239" spans="13:15" x14ac:dyDescent="0.25">
      <c r="M239" s="5">
        <v>43511</v>
      </c>
      <c r="N239">
        <f t="shared" si="11"/>
        <v>13</v>
      </c>
      <c r="O239">
        <v>46</v>
      </c>
    </row>
    <row r="240" spans="13:15" x14ac:dyDescent="0.25">
      <c r="M240" s="5">
        <v>43510</v>
      </c>
      <c r="N240">
        <f t="shared" si="11"/>
        <v>13</v>
      </c>
      <c r="O240">
        <v>46</v>
      </c>
    </row>
    <row r="241" spans="13:15" x14ac:dyDescent="0.25">
      <c r="M241" s="5">
        <v>43509</v>
      </c>
      <c r="N241">
        <f t="shared" si="11"/>
        <v>13</v>
      </c>
      <c r="O241">
        <v>46</v>
      </c>
    </row>
    <row r="242" spans="13:15" x14ac:dyDescent="0.25">
      <c r="M242" s="5">
        <v>43508</v>
      </c>
      <c r="N242">
        <f t="shared" si="11"/>
        <v>13</v>
      </c>
      <c r="O242">
        <v>46</v>
      </c>
    </row>
    <row r="243" spans="13:15" x14ac:dyDescent="0.25">
      <c r="M243" s="5">
        <v>43507</v>
      </c>
      <c r="N243">
        <f t="shared" si="11"/>
        <v>13</v>
      </c>
      <c r="O243">
        <v>46</v>
      </c>
    </row>
    <row r="244" spans="13:15" x14ac:dyDescent="0.25">
      <c r="M244" s="5">
        <v>43506</v>
      </c>
      <c r="N244">
        <f t="shared" si="11"/>
        <v>12</v>
      </c>
      <c r="O244">
        <v>46</v>
      </c>
    </row>
    <row r="245" spans="13:15" x14ac:dyDescent="0.25">
      <c r="M245" s="5">
        <v>43505</v>
      </c>
      <c r="N245">
        <f t="shared" si="11"/>
        <v>12</v>
      </c>
      <c r="O245">
        <v>46</v>
      </c>
    </row>
    <row r="246" spans="13:15" x14ac:dyDescent="0.25">
      <c r="M246" s="5">
        <v>43504</v>
      </c>
      <c r="N246">
        <f t="shared" si="11"/>
        <v>12</v>
      </c>
      <c r="O246">
        <v>46</v>
      </c>
    </row>
    <row r="247" spans="13:15" x14ac:dyDescent="0.25">
      <c r="M247" s="5">
        <v>43503</v>
      </c>
      <c r="N247">
        <f t="shared" si="11"/>
        <v>12</v>
      </c>
      <c r="O247">
        <v>46</v>
      </c>
    </row>
    <row r="248" spans="13:15" x14ac:dyDescent="0.25">
      <c r="M248" s="5">
        <v>43502</v>
      </c>
      <c r="N248">
        <f t="shared" si="11"/>
        <v>12</v>
      </c>
      <c r="O248">
        <v>46</v>
      </c>
    </row>
    <row r="249" spans="13:15" x14ac:dyDescent="0.25">
      <c r="M249" s="5">
        <v>43501</v>
      </c>
      <c r="N249">
        <f t="shared" si="11"/>
        <v>12</v>
      </c>
      <c r="O249">
        <v>46</v>
      </c>
    </row>
    <row r="250" spans="13:15" x14ac:dyDescent="0.25">
      <c r="M250" s="5">
        <v>43500</v>
      </c>
      <c r="N250">
        <f t="shared" si="11"/>
        <v>12</v>
      </c>
      <c r="O250">
        <v>46</v>
      </c>
    </row>
    <row r="251" spans="13:15" x14ac:dyDescent="0.25">
      <c r="M251" s="5">
        <v>43499</v>
      </c>
      <c r="N251">
        <f t="shared" si="11"/>
        <v>11</v>
      </c>
      <c r="O251">
        <v>46</v>
      </c>
    </row>
    <row r="252" spans="13:15" x14ac:dyDescent="0.25">
      <c r="M252" s="5">
        <v>43498</v>
      </c>
      <c r="N252">
        <f t="shared" si="11"/>
        <v>11</v>
      </c>
      <c r="O252">
        <v>46</v>
      </c>
    </row>
    <row r="253" spans="13:15" x14ac:dyDescent="0.25">
      <c r="M253" s="5">
        <v>43497</v>
      </c>
      <c r="N253">
        <f t="shared" si="11"/>
        <v>11</v>
      </c>
      <c r="O253">
        <v>46</v>
      </c>
    </row>
    <row r="254" spans="13:15" x14ac:dyDescent="0.25">
      <c r="M254" s="5">
        <v>43496</v>
      </c>
      <c r="N254">
        <f t="shared" si="11"/>
        <v>11</v>
      </c>
      <c r="O254">
        <v>46</v>
      </c>
    </row>
    <row r="255" spans="13:15" x14ac:dyDescent="0.25">
      <c r="M255" s="5">
        <v>43495</v>
      </c>
      <c r="N255">
        <f t="shared" ref="N255:N286" si="12">N248-1</f>
        <v>11</v>
      </c>
      <c r="O255">
        <v>46</v>
      </c>
    </row>
    <row r="256" spans="13:15" x14ac:dyDescent="0.25">
      <c r="M256" s="5">
        <v>43494</v>
      </c>
      <c r="N256">
        <f t="shared" si="12"/>
        <v>11</v>
      </c>
      <c r="O256">
        <v>46</v>
      </c>
    </row>
    <row r="257" spans="13:15" x14ac:dyDescent="0.25">
      <c r="M257" s="5">
        <v>43493</v>
      </c>
      <c r="N257">
        <f t="shared" si="12"/>
        <v>11</v>
      </c>
      <c r="O257">
        <v>46</v>
      </c>
    </row>
    <row r="258" spans="13:15" x14ac:dyDescent="0.25">
      <c r="M258" s="5">
        <v>43492</v>
      </c>
      <c r="N258">
        <f t="shared" si="12"/>
        <v>10</v>
      </c>
      <c r="O258">
        <v>46</v>
      </c>
    </row>
    <row r="259" spans="13:15" x14ac:dyDescent="0.25">
      <c r="M259" s="5">
        <v>43491</v>
      </c>
      <c r="N259">
        <f t="shared" si="12"/>
        <v>10</v>
      </c>
      <c r="O259">
        <v>46</v>
      </c>
    </row>
    <row r="260" spans="13:15" x14ac:dyDescent="0.25">
      <c r="M260" s="5">
        <v>43490</v>
      </c>
      <c r="N260">
        <f t="shared" si="12"/>
        <v>10</v>
      </c>
      <c r="O260">
        <v>46</v>
      </c>
    </row>
    <row r="261" spans="13:15" x14ac:dyDescent="0.25">
      <c r="M261" s="5">
        <v>43489</v>
      </c>
      <c r="N261">
        <f t="shared" si="12"/>
        <v>10</v>
      </c>
      <c r="O261">
        <v>46</v>
      </c>
    </row>
    <row r="262" spans="13:15" x14ac:dyDescent="0.25">
      <c r="M262" s="5">
        <v>43488</v>
      </c>
      <c r="N262">
        <f t="shared" si="12"/>
        <v>10</v>
      </c>
      <c r="O262">
        <v>46</v>
      </c>
    </row>
    <row r="263" spans="13:15" x14ac:dyDescent="0.25">
      <c r="M263" s="5">
        <v>43487</v>
      </c>
      <c r="N263">
        <f t="shared" si="12"/>
        <v>10</v>
      </c>
      <c r="O263">
        <v>46</v>
      </c>
    </row>
    <row r="264" spans="13:15" x14ac:dyDescent="0.25">
      <c r="M264" s="5">
        <v>43486</v>
      </c>
      <c r="N264">
        <f t="shared" si="12"/>
        <v>10</v>
      </c>
      <c r="O264">
        <v>46</v>
      </c>
    </row>
    <row r="265" spans="13:15" x14ac:dyDescent="0.25">
      <c r="M265" s="5">
        <v>43485</v>
      </c>
      <c r="N265">
        <f t="shared" si="12"/>
        <v>9</v>
      </c>
      <c r="O265">
        <v>46</v>
      </c>
    </row>
    <row r="266" spans="13:15" x14ac:dyDescent="0.25">
      <c r="M266" s="5">
        <v>43484</v>
      </c>
      <c r="N266">
        <f t="shared" si="12"/>
        <v>9</v>
      </c>
      <c r="O266">
        <v>46</v>
      </c>
    </row>
    <row r="267" spans="13:15" x14ac:dyDescent="0.25">
      <c r="M267" s="5">
        <v>43483</v>
      </c>
      <c r="N267">
        <f t="shared" si="12"/>
        <v>9</v>
      </c>
      <c r="O267">
        <v>46</v>
      </c>
    </row>
    <row r="268" spans="13:15" x14ac:dyDescent="0.25">
      <c r="M268" s="5">
        <v>43482</v>
      </c>
      <c r="N268">
        <f t="shared" si="12"/>
        <v>9</v>
      </c>
      <c r="O268">
        <v>46</v>
      </c>
    </row>
    <row r="269" spans="13:15" x14ac:dyDescent="0.25">
      <c r="M269" s="5">
        <v>43481</v>
      </c>
      <c r="N269">
        <f t="shared" si="12"/>
        <v>9</v>
      </c>
      <c r="O269">
        <v>46</v>
      </c>
    </row>
    <row r="270" spans="13:15" x14ac:dyDescent="0.25">
      <c r="M270" s="5">
        <v>43480</v>
      </c>
      <c r="N270">
        <f t="shared" si="12"/>
        <v>9</v>
      </c>
      <c r="O270">
        <v>46</v>
      </c>
    </row>
    <row r="271" spans="13:15" x14ac:dyDescent="0.25">
      <c r="M271" s="5">
        <v>43479</v>
      </c>
      <c r="N271">
        <f t="shared" si="12"/>
        <v>9</v>
      </c>
      <c r="O271">
        <v>46</v>
      </c>
    </row>
    <row r="272" spans="13:15" x14ac:dyDescent="0.25">
      <c r="M272" s="5">
        <v>43478</v>
      </c>
      <c r="N272">
        <f t="shared" si="12"/>
        <v>8</v>
      </c>
      <c r="O272">
        <v>46</v>
      </c>
    </row>
    <row r="273" spans="13:15" x14ac:dyDescent="0.25">
      <c r="M273" s="5">
        <v>43477</v>
      </c>
      <c r="N273">
        <f t="shared" si="12"/>
        <v>8</v>
      </c>
      <c r="O273">
        <v>46</v>
      </c>
    </row>
    <row r="274" spans="13:15" x14ac:dyDescent="0.25">
      <c r="M274" s="5">
        <v>43476</v>
      </c>
      <c r="N274">
        <f t="shared" si="12"/>
        <v>8</v>
      </c>
      <c r="O274">
        <v>46</v>
      </c>
    </row>
    <row r="275" spans="13:15" x14ac:dyDescent="0.25">
      <c r="M275" s="5">
        <v>43475</v>
      </c>
      <c r="N275">
        <f t="shared" si="12"/>
        <v>8</v>
      </c>
      <c r="O275">
        <v>46</v>
      </c>
    </row>
    <row r="276" spans="13:15" x14ac:dyDescent="0.25">
      <c r="M276" s="5">
        <v>43474</v>
      </c>
      <c r="N276">
        <f t="shared" si="12"/>
        <v>8</v>
      </c>
      <c r="O276">
        <v>46</v>
      </c>
    </row>
    <row r="277" spans="13:15" x14ac:dyDescent="0.25">
      <c r="M277" s="5">
        <v>43473</v>
      </c>
      <c r="N277">
        <f t="shared" si="12"/>
        <v>8</v>
      </c>
      <c r="O277">
        <v>46</v>
      </c>
    </row>
    <row r="278" spans="13:15" x14ac:dyDescent="0.25">
      <c r="M278" s="5">
        <v>43472</v>
      </c>
      <c r="N278">
        <f t="shared" si="12"/>
        <v>8</v>
      </c>
      <c r="O278">
        <v>46</v>
      </c>
    </row>
    <row r="279" spans="13:15" x14ac:dyDescent="0.25">
      <c r="M279" s="5">
        <v>43471</v>
      </c>
      <c r="N279">
        <f t="shared" si="12"/>
        <v>7</v>
      </c>
      <c r="O279">
        <v>46</v>
      </c>
    </row>
    <row r="280" spans="13:15" x14ac:dyDescent="0.25">
      <c r="M280" s="5">
        <v>43470</v>
      </c>
      <c r="N280">
        <f t="shared" si="12"/>
        <v>7</v>
      </c>
      <c r="O280">
        <v>46</v>
      </c>
    </row>
    <row r="281" spans="13:15" x14ac:dyDescent="0.25">
      <c r="M281" s="5">
        <v>43469</v>
      </c>
      <c r="N281">
        <f t="shared" si="12"/>
        <v>7</v>
      </c>
      <c r="O281">
        <v>46</v>
      </c>
    </row>
    <row r="282" spans="13:15" x14ac:dyDescent="0.25">
      <c r="M282" s="5">
        <v>43468</v>
      </c>
      <c r="N282">
        <f t="shared" si="12"/>
        <v>7</v>
      </c>
      <c r="O282">
        <v>46</v>
      </c>
    </row>
    <row r="283" spans="13:15" x14ac:dyDescent="0.25">
      <c r="M283" s="5">
        <v>43467</v>
      </c>
      <c r="N283">
        <f t="shared" si="12"/>
        <v>7</v>
      </c>
      <c r="O283">
        <v>46</v>
      </c>
    </row>
    <row r="284" spans="13:15" x14ac:dyDescent="0.25">
      <c r="M284" s="5">
        <v>43466</v>
      </c>
      <c r="N284">
        <f t="shared" si="12"/>
        <v>7</v>
      </c>
      <c r="O284">
        <v>46</v>
      </c>
    </row>
    <row r="285" spans="13:15" x14ac:dyDescent="0.25">
      <c r="M285" s="5">
        <v>43465</v>
      </c>
      <c r="N285">
        <f t="shared" si="12"/>
        <v>7</v>
      </c>
      <c r="O285">
        <v>46</v>
      </c>
    </row>
    <row r="286" spans="13:15" x14ac:dyDescent="0.25">
      <c r="M286" s="5">
        <v>43464</v>
      </c>
      <c r="N286">
        <f t="shared" si="12"/>
        <v>6</v>
      </c>
      <c r="O286">
        <v>46</v>
      </c>
    </row>
    <row r="287" spans="13:15" x14ac:dyDescent="0.25">
      <c r="M287" s="5">
        <v>43463</v>
      </c>
      <c r="N287">
        <f t="shared" ref="N287:N318" si="13">N280-1</f>
        <v>6</v>
      </c>
      <c r="O287">
        <v>46</v>
      </c>
    </row>
    <row r="288" spans="13:15" x14ac:dyDescent="0.25">
      <c r="M288" s="5">
        <v>43462</v>
      </c>
      <c r="N288">
        <f t="shared" si="13"/>
        <v>6</v>
      </c>
      <c r="O288">
        <v>46</v>
      </c>
    </row>
    <row r="289" spans="13:15" x14ac:dyDescent="0.25">
      <c r="M289" s="5">
        <v>43461</v>
      </c>
      <c r="N289">
        <f t="shared" si="13"/>
        <v>6</v>
      </c>
      <c r="O289">
        <v>46</v>
      </c>
    </row>
    <row r="290" spans="13:15" x14ac:dyDescent="0.25">
      <c r="M290" s="5">
        <v>43460</v>
      </c>
      <c r="N290">
        <f t="shared" si="13"/>
        <v>6</v>
      </c>
      <c r="O290">
        <v>46</v>
      </c>
    </row>
    <row r="291" spans="13:15" x14ac:dyDescent="0.25">
      <c r="M291" s="5">
        <v>43459</v>
      </c>
      <c r="N291">
        <f t="shared" si="13"/>
        <v>6</v>
      </c>
      <c r="O291">
        <v>46</v>
      </c>
    </row>
    <row r="292" spans="13:15" x14ac:dyDescent="0.25">
      <c r="M292" s="5">
        <v>43458</v>
      </c>
      <c r="N292">
        <f t="shared" si="13"/>
        <v>6</v>
      </c>
      <c r="O292">
        <v>46</v>
      </c>
    </row>
    <row r="293" spans="13:15" x14ac:dyDescent="0.25">
      <c r="M293" s="5">
        <v>43457</v>
      </c>
      <c r="N293">
        <f t="shared" si="13"/>
        <v>5</v>
      </c>
      <c r="O293">
        <v>46</v>
      </c>
    </row>
    <row r="294" spans="13:15" x14ac:dyDescent="0.25">
      <c r="M294" s="5">
        <v>43456</v>
      </c>
      <c r="N294">
        <f t="shared" si="13"/>
        <v>5</v>
      </c>
      <c r="O294">
        <v>46</v>
      </c>
    </row>
    <row r="295" spans="13:15" x14ac:dyDescent="0.25">
      <c r="M295" s="5">
        <v>43455</v>
      </c>
      <c r="N295">
        <f t="shared" si="13"/>
        <v>5</v>
      </c>
      <c r="O295">
        <v>46</v>
      </c>
    </row>
    <row r="296" spans="13:15" x14ac:dyDescent="0.25">
      <c r="M296" s="5">
        <v>43454</v>
      </c>
      <c r="N296">
        <f t="shared" si="13"/>
        <v>5</v>
      </c>
      <c r="O296">
        <v>46</v>
      </c>
    </row>
    <row r="297" spans="13:15" x14ac:dyDescent="0.25">
      <c r="M297" s="5">
        <v>43453</v>
      </c>
      <c r="N297">
        <f t="shared" si="13"/>
        <v>5</v>
      </c>
      <c r="O297">
        <v>46</v>
      </c>
    </row>
    <row r="298" spans="13:15" x14ac:dyDescent="0.25">
      <c r="M298" s="5">
        <v>43452</v>
      </c>
      <c r="N298">
        <f t="shared" si="13"/>
        <v>5</v>
      </c>
      <c r="O298">
        <v>46</v>
      </c>
    </row>
    <row r="299" spans="13:15" x14ac:dyDescent="0.25">
      <c r="M299" s="5">
        <v>43451</v>
      </c>
      <c r="N299">
        <f t="shared" si="13"/>
        <v>5</v>
      </c>
      <c r="O299">
        <v>46</v>
      </c>
    </row>
    <row r="300" spans="13:15" x14ac:dyDescent="0.25">
      <c r="M300" s="5">
        <v>43450</v>
      </c>
      <c r="N300">
        <f t="shared" si="13"/>
        <v>4</v>
      </c>
      <c r="O300">
        <v>46</v>
      </c>
    </row>
    <row r="301" spans="13:15" x14ac:dyDescent="0.25">
      <c r="M301" s="5">
        <v>43449</v>
      </c>
      <c r="N301">
        <f t="shared" si="13"/>
        <v>4</v>
      </c>
      <c r="O301">
        <v>46</v>
      </c>
    </row>
    <row r="302" spans="13:15" x14ac:dyDescent="0.25">
      <c r="M302" s="5">
        <v>43448</v>
      </c>
      <c r="N302">
        <f t="shared" si="13"/>
        <v>4</v>
      </c>
      <c r="O302">
        <v>46</v>
      </c>
    </row>
    <row r="303" spans="13:15" x14ac:dyDescent="0.25">
      <c r="M303" s="5">
        <v>43447</v>
      </c>
      <c r="N303">
        <f t="shared" si="13"/>
        <v>4</v>
      </c>
      <c r="O303">
        <v>46</v>
      </c>
    </row>
    <row r="304" spans="13:15" x14ac:dyDescent="0.25">
      <c r="M304" s="5">
        <v>43446</v>
      </c>
      <c r="N304">
        <f t="shared" si="13"/>
        <v>4</v>
      </c>
      <c r="O304">
        <v>46</v>
      </c>
    </row>
    <row r="305" spans="13:15" x14ac:dyDescent="0.25">
      <c r="M305" s="5">
        <v>43445</v>
      </c>
      <c r="N305">
        <f t="shared" si="13"/>
        <v>4</v>
      </c>
      <c r="O305">
        <v>46</v>
      </c>
    </row>
    <row r="306" spans="13:15" x14ac:dyDescent="0.25">
      <c r="M306" s="5">
        <v>43444</v>
      </c>
      <c r="N306">
        <f t="shared" si="13"/>
        <v>4</v>
      </c>
      <c r="O306">
        <v>46</v>
      </c>
    </row>
    <row r="307" spans="13:15" x14ac:dyDescent="0.25">
      <c r="M307" s="5">
        <v>43443</v>
      </c>
      <c r="N307">
        <f t="shared" si="13"/>
        <v>3</v>
      </c>
      <c r="O307">
        <v>46</v>
      </c>
    </row>
    <row r="308" spans="13:15" x14ac:dyDescent="0.25">
      <c r="M308" s="5">
        <v>43442</v>
      </c>
      <c r="N308">
        <f t="shared" si="13"/>
        <v>3</v>
      </c>
      <c r="O308">
        <v>46</v>
      </c>
    </row>
    <row r="309" spans="13:15" x14ac:dyDescent="0.25">
      <c r="M309" s="5">
        <v>43441</v>
      </c>
      <c r="N309">
        <f t="shared" si="13"/>
        <v>3</v>
      </c>
      <c r="O309">
        <v>46</v>
      </c>
    </row>
    <row r="310" spans="13:15" x14ac:dyDescent="0.25">
      <c r="M310" s="5">
        <v>43440</v>
      </c>
      <c r="N310">
        <f t="shared" si="13"/>
        <v>3</v>
      </c>
      <c r="O310">
        <v>46</v>
      </c>
    </row>
    <row r="311" spans="13:15" x14ac:dyDescent="0.25">
      <c r="M311" s="5">
        <v>43439</v>
      </c>
      <c r="N311">
        <f t="shared" si="13"/>
        <v>3</v>
      </c>
      <c r="O311">
        <v>46</v>
      </c>
    </row>
    <row r="312" spans="13:15" x14ac:dyDescent="0.25">
      <c r="M312" s="5">
        <v>43438</v>
      </c>
      <c r="N312">
        <f t="shared" si="13"/>
        <v>3</v>
      </c>
      <c r="O312">
        <v>46</v>
      </c>
    </row>
    <row r="313" spans="13:15" x14ac:dyDescent="0.25">
      <c r="M313" s="5">
        <v>43437</v>
      </c>
      <c r="N313">
        <f t="shared" si="13"/>
        <v>3</v>
      </c>
      <c r="O313">
        <v>46</v>
      </c>
    </row>
    <row r="314" spans="13:15" x14ac:dyDescent="0.25">
      <c r="M314" s="5">
        <v>43436</v>
      </c>
      <c r="N314">
        <f t="shared" si="13"/>
        <v>2</v>
      </c>
      <c r="O314">
        <v>46</v>
      </c>
    </row>
    <row r="315" spans="13:15" x14ac:dyDescent="0.25">
      <c r="M315" s="5">
        <v>43435</v>
      </c>
      <c r="N315">
        <f t="shared" si="13"/>
        <v>2</v>
      </c>
      <c r="O315">
        <v>46</v>
      </c>
    </row>
    <row r="316" spans="13:15" x14ac:dyDescent="0.25">
      <c r="M316" s="5">
        <v>43434</v>
      </c>
      <c r="N316">
        <f t="shared" si="13"/>
        <v>2</v>
      </c>
      <c r="O316">
        <v>46</v>
      </c>
    </row>
    <row r="317" spans="13:15" x14ac:dyDescent="0.25">
      <c r="M317" s="5">
        <v>43433</v>
      </c>
      <c r="N317">
        <f t="shared" si="13"/>
        <v>2</v>
      </c>
      <c r="O317">
        <v>46</v>
      </c>
    </row>
    <row r="318" spans="13:15" x14ac:dyDescent="0.25">
      <c r="M318" s="5">
        <v>43432</v>
      </c>
      <c r="N318">
        <f t="shared" si="13"/>
        <v>2</v>
      </c>
      <c r="O318">
        <v>46</v>
      </c>
    </row>
    <row r="319" spans="13:15" x14ac:dyDescent="0.25">
      <c r="M319" s="5">
        <v>43431</v>
      </c>
      <c r="N319">
        <f t="shared" ref="N319:N327" si="14">N312-1</f>
        <v>2</v>
      </c>
      <c r="O319">
        <v>46</v>
      </c>
    </row>
    <row r="320" spans="13:15" x14ac:dyDescent="0.25">
      <c r="M320" s="5">
        <v>43430</v>
      </c>
      <c r="N320">
        <f t="shared" si="14"/>
        <v>2</v>
      </c>
      <c r="O320">
        <v>46</v>
      </c>
    </row>
    <row r="321" spans="13:15" x14ac:dyDescent="0.25">
      <c r="M321" s="5">
        <v>43429</v>
      </c>
      <c r="N321">
        <f t="shared" si="14"/>
        <v>1</v>
      </c>
      <c r="O321">
        <v>46</v>
      </c>
    </row>
    <row r="322" spans="13:15" x14ac:dyDescent="0.25">
      <c r="M322" s="5">
        <v>43428</v>
      </c>
      <c r="N322">
        <f t="shared" si="14"/>
        <v>1</v>
      </c>
      <c r="O322">
        <v>46</v>
      </c>
    </row>
    <row r="323" spans="13:15" x14ac:dyDescent="0.25">
      <c r="M323" s="5">
        <v>43427</v>
      </c>
      <c r="N323">
        <f t="shared" si="14"/>
        <v>1</v>
      </c>
      <c r="O323">
        <v>46</v>
      </c>
    </row>
    <row r="324" spans="13:15" x14ac:dyDescent="0.25">
      <c r="M324" s="5">
        <v>43426</v>
      </c>
      <c r="N324">
        <f t="shared" si="14"/>
        <v>1</v>
      </c>
      <c r="O324">
        <v>46</v>
      </c>
    </row>
    <row r="325" spans="13:15" x14ac:dyDescent="0.25">
      <c r="M325" s="5">
        <v>43425</v>
      </c>
      <c r="N325">
        <f t="shared" si="14"/>
        <v>1</v>
      </c>
      <c r="O325">
        <v>46</v>
      </c>
    </row>
    <row r="326" spans="13:15" x14ac:dyDescent="0.25">
      <c r="M326" s="5">
        <v>43424</v>
      </c>
      <c r="N326">
        <f t="shared" si="14"/>
        <v>1</v>
      </c>
      <c r="O326">
        <v>46</v>
      </c>
    </row>
    <row r="327" spans="13:15" x14ac:dyDescent="0.25">
      <c r="M327" s="5">
        <v>43423</v>
      </c>
      <c r="N327">
        <f t="shared" si="14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5">N328-1</f>
        <v>15</v>
      </c>
      <c r="O335">
        <v>45</v>
      </c>
    </row>
    <row r="336" spans="13:15" x14ac:dyDescent="0.25">
      <c r="M336" s="5">
        <v>43414</v>
      </c>
      <c r="N336">
        <f t="shared" si="15"/>
        <v>15</v>
      </c>
      <c r="O336">
        <v>45</v>
      </c>
    </row>
    <row r="337" spans="13:15" x14ac:dyDescent="0.25">
      <c r="M337" s="5">
        <v>43413</v>
      </c>
      <c r="N337">
        <f t="shared" si="15"/>
        <v>15</v>
      </c>
      <c r="O337">
        <v>45</v>
      </c>
    </row>
    <row r="338" spans="13:15" x14ac:dyDescent="0.25">
      <c r="M338" s="5">
        <v>43412</v>
      </c>
      <c r="N338">
        <f t="shared" si="15"/>
        <v>15</v>
      </c>
      <c r="O338">
        <v>45</v>
      </c>
    </row>
    <row r="339" spans="13:15" x14ac:dyDescent="0.25">
      <c r="M339" s="5">
        <v>43411</v>
      </c>
      <c r="N339">
        <f t="shared" si="15"/>
        <v>15</v>
      </c>
      <c r="O339">
        <v>45</v>
      </c>
    </row>
    <row r="340" spans="13:15" x14ac:dyDescent="0.25">
      <c r="M340" s="5">
        <v>43410</v>
      </c>
      <c r="N340">
        <f t="shared" si="15"/>
        <v>15</v>
      </c>
      <c r="O340">
        <v>45</v>
      </c>
    </row>
    <row r="341" spans="13:15" x14ac:dyDescent="0.25">
      <c r="M341" s="5">
        <v>43409</v>
      </c>
      <c r="N341">
        <f t="shared" si="15"/>
        <v>15</v>
      </c>
      <c r="O341">
        <v>45</v>
      </c>
    </row>
    <row r="342" spans="13:15" x14ac:dyDescent="0.25">
      <c r="M342" s="5">
        <v>43408</v>
      </c>
      <c r="N342">
        <f t="shared" si="15"/>
        <v>14</v>
      </c>
      <c r="O342">
        <v>45</v>
      </c>
    </row>
    <row r="343" spans="13:15" x14ac:dyDescent="0.25">
      <c r="M343" s="5">
        <v>43407</v>
      </c>
      <c r="N343">
        <f t="shared" si="15"/>
        <v>14</v>
      </c>
      <c r="O343">
        <v>45</v>
      </c>
    </row>
    <row r="344" spans="13:15" x14ac:dyDescent="0.25">
      <c r="M344" s="5">
        <v>43406</v>
      </c>
      <c r="N344">
        <f t="shared" si="15"/>
        <v>14</v>
      </c>
      <c r="O344">
        <v>45</v>
      </c>
    </row>
    <row r="345" spans="13:15" x14ac:dyDescent="0.25">
      <c r="M345" s="5">
        <v>43405</v>
      </c>
      <c r="N345">
        <f t="shared" si="15"/>
        <v>14</v>
      </c>
      <c r="O345">
        <v>45</v>
      </c>
    </row>
    <row r="346" spans="13:15" x14ac:dyDescent="0.25">
      <c r="M346" s="5">
        <v>43404</v>
      </c>
      <c r="N346">
        <f t="shared" si="15"/>
        <v>14</v>
      </c>
      <c r="O346">
        <v>45</v>
      </c>
    </row>
    <row r="347" spans="13:15" x14ac:dyDescent="0.25">
      <c r="M347" s="5">
        <v>43403</v>
      </c>
      <c r="N347">
        <f t="shared" si="15"/>
        <v>14</v>
      </c>
      <c r="O347">
        <v>45</v>
      </c>
    </row>
    <row r="348" spans="13:15" x14ac:dyDescent="0.25">
      <c r="M348" s="5">
        <v>43402</v>
      </c>
      <c r="N348">
        <f t="shared" si="15"/>
        <v>14</v>
      </c>
      <c r="O348">
        <v>45</v>
      </c>
    </row>
    <row r="349" spans="13:15" x14ac:dyDescent="0.25">
      <c r="M349" s="5">
        <v>43401</v>
      </c>
      <c r="N349">
        <f t="shared" si="15"/>
        <v>13</v>
      </c>
      <c r="O349">
        <v>45</v>
      </c>
    </row>
    <row r="350" spans="13:15" x14ac:dyDescent="0.25">
      <c r="M350" s="5">
        <v>43400</v>
      </c>
      <c r="N350">
        <f t="shared" si="15"/>
        <v>13</v>
      </c>
      <c r="O350">
        <v>45</v>
      </c>
    </row>
    <row r="351" spans="13:15" x14ac:dyDescent="0.25">
      <c r="M351" s="5">
        <v>43399</v>
      </c>
      <c r="N351">
        <f t="shared" si="15"/>
        <v>13</v>
      </c>
      <c r="O351">
        <v>45</v>
      </c>
    </row>
    <row r="352" spans="13:15" x14ac:dyDescent="0.25">
      <c r="M352" s="5">
        <v>43398</v>
      </c>
      <c r="N352">
        <f t="shared" si="15"/>
        <v>13</v>
      </c>
      <c r="O352">
        <v>45</v>
      </c>
    </row>
    <row r="353" spans="13:15" x14ac:dyDescent="0.25">
      <c r="M353" s="5">
        <v>43397</v>
      </c>
      <c r="N353">
        <f t="shared" si="15"/>
        <v>13</v>
      </c>
      <c r="O353">
        <v>45</v>
      </c>
    </row>
    <row r="354" spans="13:15" x14ac:dyDescent="0.25">
      <c r="M354" s="5">
        <v>43396</v>
      </c>
      <c r="N354">
        <f t="shared" si="15"/>
        <v>13</v>
      </c>
      <c r="O354">
        <v>45</v>
      </c>
    </row>
    <row r="355" spans="13:15" x14ac:dyDescent="0.25">
      <c r="M355" s="5">
        <v>43395</v>
      </c>
      <c r="N355">
        <f t="shared" si="15"/>
        <v>13</v>
      </c>
      <c r="O355">
        <v>45</v>
      </c>
    </row>
    <row r="356" spans="13:15" x14ac:dyDescent="0.25">
      <c r="M356" s="5">
        <v>43394</v>
      </c>
      <c r="N356">
        <f t="shared" si="15"/>
        <v>12</v>
      </c>
      <c r="O356">
        <v>45</v>
      </c>
    </row>
    <row r="357" spans="13:15" x14ac:dyDescent="0.25">
      <c r="M357" s="5">
        <v>43393</v>
      </c>
      <c r="N357">
        <f t="shared" si="15"/>
        <v>12</v>
      </c>
      <c r="O357">
        <v>45</v>
      </c>
    </row>
    <row r="358" spans="13:15" x14ac:dyDescent="0.25">
      <c r="M358" s="5">
        <v>43392</v>
      </c>
      <c r="N358">
        <f t="shared" si="15"/>
        <v>12</v>
      </c>
      <c r="O358">
        <v>45</v>
      </c>
    </row>
    <row r="359" spans="13:15" x14ac:dyDescent="0.25">
      <c r="M359" s="5">
        <v>43391</v>
      </c>
      <c r="N359">
        <f t="shared" si="15"/>
        <v>12</v>
      </c>
      <c r="O359">
        <v>45</v>
      </c>
    </row>
    <row r="360" spans="13:15" x14ac:dyDescent="0.25">
      <c r="M360" s="5">
        <v>43390</v>
      </c>
      <c r="N360">
        <f t="shared" si="15"/>
        <v>12</v>
      </c>
      <c r="O360">
        <v>45</v>
      </c>
    </row>
    <row r="361" spans="13:15" x14ac:dyDescent="0.25">
      <c r="M361" s="5">
        <v>43389</v>
      </c>
      <c r="N361">
        <f t="shared" si="15"/>
        <v>12</v>
      </c>
      <c r="O361">
        <v>45</v>
      </c>
    </row>
    <row r="362" spans="13:15" x14ac:dyDescent="0.25">
      <c r="M362" s="5">
        <v>43388</v>
      </c>
      <c r="N362">
        <f t="shared" si="15"/>
        <v>12</v>
      </c>
      <c r="O362">
        <v>45</v>
      </c>
    </row>
    <row r="363" spans="13:15" x14ac:dyDescent="0.25">
      <c r="M363" s="5">
        <v>43387</v>
      </c>
      <c r="N363">
        <f t="shared" si="15"/>
        <v>11</v>
      </c>
      <c r="O363">
        <v>45</v>
      </c>
    </row>
    <row r="364" spans="13:15" x14ac:dyDescent="0.25">
      <c r="M364" s="5">
        <v>43386</v>
      </c>
      <c r="N364">
        <f t="shared" si="15"/>
        <v>11</v>
      </c>
      <c r="O364">
        <v>45</v>
      </c>
    </row>
    <row r="365" spans="13:15" x14ac:dyDescent="0.25">
      <c r="M365" s="5">
        <v>43385</v>
      </c>
      <c r="N365">
        <f t="shared" si="15"/>
        <v>11</v>
      </c>
      <c r="O365">
        <v>45</v>
      </c>
    </row>
    <row r="366" spans="13:15" x14ac:dyDescent="0.25">
      <c r="M366" s="5">
        <v>43384</v>
      </c>
      <c r="N366">
        <f t="shared" si="15"/>
        <v>11</v>
      </c>
      <c r="O366">
        <v>45</v>
      </c>
    </row>
    <row r="367" spans="13:15" x14ac:dyDescent="0.25">
      <c r="M367" s="5">
        <v>43383</v>
      </c>
      <c r="N367">
        <f t="shared" ref="N367:N398" si="16">N360-1</f>
        <v>11</v>
      </c>
      <c r="O367">
        <v>45</v>
      </c>
    </row>
    <row r="368" spans="13:15" x14ac:dyDescent="0.25">
      <c r="M368" s="5">
        <v>43382</v>
      </c>
      <c r="N368">
        <f t="shared" si="16"/>
        <v>11</v>
      </c>
      <c r="O368">
        <v>45</v>
      </c>
    </row>
    <row r="369" spans="13:15" x14ac:dyDescent="0.25">
      <c r="M369" s="5">
        <v>43381</v>
      </c>
      <c r="N369">
        <f t="shared" si="16"/>
        <v>11</v>
      </c>
      <c r="O369">
        <v>45</v>
      </c>
    </row>
    <row r="370" spans="13:15" x14ac:dyDescent="0.25">
      <c r="M370" s="5">
        <v>43380</v>
      </c>
      <c r="N370">
        <f t="shared" si="16"/>
        <v>10</v>
      </c>
      <c r="O370">
        <v>45</v>
      </c>
    </row>
    <row r="371" spans="13:15" x14ac:dyDescent="0.25">
      <c r="M371" s="5">
        <v>43379</v>
      </c>
      <c r="N371">
        <f t="shared" si="16"/>
        <v>10</v>
      </c>
      <c r="O371">
        <v>45</v>
      </c>
    </row>
    <row r="372" spans="13:15" x14ac:dyDescent="0.25">
      <c r="M372" s="5">
        <v>43378</v>
      </c>
      <c r="N372">
        <f t="shared" si="16"/>
        <v>10</v>
      </c>
      <c r="O372">
        <v>45</v>
      </c>
    </row>
    <row r="373" spans="13:15" x14ac:dyDescent="0.25">
      <c r="M373" s="5">
        <v>43377</v>
      </c>
      <c r="N373">
        <f t="shared" si="16"/>
        <v>10</v>
      </c>
      <c r="O373">
        <v>45</v>
      </c>
    </row>
    <row r="374" spans="13:15" x14ac:dyDescent="0.25">
      <c r="M374" s="5">
        <v>43376</v>
      </c>
      <c r="N374">
        <f t="shared" si="16"/>
        <v>10</v>
      </c>
      <c r="O374">
        <v>45</v>
      </c>
    </row>
    <row r="375" spans="13:15" x14ac:dyDescent="0.25">
      <c r="M375" s="5">
        <v>43375</v>
      </c>
      <c r="N375">
        <f t="shared" si="16"/>
        <v>10</v>
      </c>
      <c r="O375">
        <v>45</v>
      </c>
    </row>
    <row r="376" spans="13:15" x14ac:dyDescent="0.25">
      <c r="M376" s="5">
        <v>43374</v>
      </c>
      <c r="N376">
        <f t="shared" si="16"/>
        <v>10</v>
      </c>
      <c r="O376">
        <v>45</v>
      </c>
    </row>
    <row r="377" spans="13:15" x14ac:dyDescent="0.25">
      <c r="M377" s="5">
        <v>43373</v>
      </c>
      <c r="N377">
        <f t="shared" si="16"/>
        <v>9</v>
      </c>
      <c r="O377">
        <v>45</v>
      </c>
    </row>
    <row r="378" spans="13:15" x14ac:dyDescent="0.25">
      <c r="M378" s="5">
        <v>43372</v>
      </c>
      <c r="N378">
        <f t="shared" si="16"/>
        <v>9</v>
      </c>
      <c r="O378">
        <v>45</v>
      </c>
    </row>
    <row r="379" spans="13:15" x14ac:dyDescent="0.25">
      <c r="M379" s="5">
        <v>43371</v>
      </c>
      <c r="N379">
        <f t="shared" si="16"/>
        <v>9</v>
      </c>
      <c r="O379">
        <v>45</v>
      </c>
    </row>
    <row r="380" spans="13:15" x14ac:dyDescent="0.25">
      <c r="M380" s="5">
        <v>43370</v>
      </c>
      <c r="N380">
        <f t="shared" si="16"/>
        <v>9</v>
      </c>
      <c r="O380">
        <v>45</v>
      </c>
    </row>
    <row r="381" spans="13:15" x14ac:dyDescent="0.25">
      <c r="M381" s="5">
        <v>43369</v>
      </c>
      <c r="N381">
        <f t="shared" si="16"/>
        <v>9</v>
      </c>
      <c r="O381">
        <v>45</v>
      </c>
    </row>
    <row r="382" spans="13:15" x14ac:dyDescent="0.25">
      <c r="M382" s="5">
        <v>43368</v>
      </c>
      <c r="N382">
        <f t="shared" si="16"/>
        <v>9</v>
      </c>
      <c r="O382">
        <v>45</v>
      </c>
    </row>
    <row r="383" spans="13:15" x14ac:dyDescent="0.25">
      <c r="M383" s="5">
        <v>43367</v>
      </c>
      <c r="N383">
        <f t="shared" si="16"/>
        <v>9</v>
      </c>
      <c r="O383">
        <v>45</v>
      </c>
    </row>
    <row r="384" spans="13:15" x14ac:dyDescent="0.25">
      <c r="M384" s="5">
        <v>43366</v>
      </c>
      <c r="N384">
        <f t="shared" si="16"/>
        <v>8</v>
      </c>
      <c r="O384">
        <v>45</v>
      </c>
    </row>
    <row r="385" spans="13:15" x14ac:dyDescent="0.25">
      <c r="M385" s="5">
        <v>43365</v>
      </c>
      <c r="N385">
        <f t="shared" si="16"/>
        <v>8</v>
      </c>
      <c r="O385">
        <v>45</v>
      </c>
    </row>
    <row r="386" spans="13:15" x14ac:dyDescent="0.25">
      <c r="M386" s="5">
        <v>43364</v>
      </c>
      <c r="N386">
        <f t="shared" si="16"/>
        <v>8</v>
      </c>
      <c r="O386">
        <v>45</v>
      </c>
    </row>
    <row r="387" spans="13:15" x14ac:dyDescent="0.25">
      <c r="M387" s="5">
        <v>43363</v>
      </c>
      <c r="N387">
        <f t="shared" si="16"/>
        <v>8</v>
      </c>
      <c r="O387">
        <v>45</v>
      </c>
    </row>
    <row r="388" spans="13:15" x14ac:dyDescent="0.25">
      <c r="M388" s="5">
        <v>43362</v>
      </c>
      <c r="N388">
        <f t="shared" si="16"/>
        <v>8</v>
      </c>
      <c r="O388">
        <v>45</v>
      </c>
    </row>
    <row r="389" spans="13:15" x14ac:dyDescent="0.25">
      <c r="M389" s="5">
        <v>43361</v>
      </c>
      <c r="N389">
        <f t="shared" si="16"/>
        <v>8</v>
      </c>
      <c r="O389">
        <v>45</v>
      </c>
    </row>
    <row r="390" spans="13:15" x14ac:dyDescent="0.25">
      <c r="M390" s="5">
        <v>43360</v>
      </c>
      <c r="N390">
        <f t="shared" si="16"/>
        <v>8</v>
      </c>
      <c r="O390">
        <v>45</v>
      </c>
    </row>
    <row r="391" spans="13:15" x14ac:dyDescent="0.25">
      <c r="M391" s="5">
        <v>43359</v>
      </c>
      <c r="N391">
        <f t="shared" si="16"/>
        <v>7</v>
      </c>
      <c r="O391">
        <v>45</v>
      </c>
    </row>
    <row r="392" spans="13:15" x14ac:dyDescent="0.25">
      <c r="M392" s="5">
        <v>43358</v>
      </c>
      <c r="N392">
        <f t="shared" si="16"/>
        <v>7</v>
      </c>
      <c r="O392">
        <v>45</v>
      </c>
    </row>
    <row r="393" spans="13:15" x14ac:dyDescent="0.25">
      <c r="M393" s="5">
        <v>43357</v>
      </c>
      <c r="N393">
        <f t="shared" si="16"/>
        <v>7</v>
      </c>
      <c r="O393">
        <v>45</v>
      </c>
    </row>
    <row r="394" spans="13:15" x14ac:dyDescent="0.25">
      <c r="M394" s="5">
        <v>43356</v>
      </c>
      <c r="N394">
        <f t="shared" si="16"/>
        <v>7</v>
      </c>
      <c r="O394">
        <v>45</v>
      </c>
    </row>
    <row r="395" spans="13:15" x14ac:dyDescent="0.25">
      <c r="M395" s="5">
        <v>43355</v>
      </c>
      <c r="N395">
        <f t="shared" si="16"/>
        <v>7</v>
      </c>
      <c r="O395">
        <v>45</v>
      </c>
    </row>
    <row r="396" spans="13:15" x14ac:dyDescent="0.25">
      <c r="M396" s="5">
        <v>43354</v>
      </c>
      <c r="N396">
        <f t="shared" si="16"/>
        <v>7</v>
      </c>
      <c r="O396">
        <v>45</v>
      </c>
    </row>
    <row r="397" spans="13:15" x14ac:dyDescent="0.25">
      <c r="M397" s="5">
        <v>43353</v>
      </c>
      <c r="N397">
        <f t="shared" si="16"/>
        <v>7</v>
      </c>
      <c r="O397">
        <v>45</v>
      </c>
    </row>
    <row r="398" spans="13:15" x14ac:dyDescent="0.25">
      <c r="M398" s="5">
        <v>43352</v>
      </c>
      <c r="N398">
        <f t="shared" si="16"/>
        <v>6</v>
      </c>
      <c r="O398">
        <v>45</v>
      </c>
    </row>
    <row r="399" spans="13:15" x14ac:dyDescent="0.25">
      <c r="M399" s="5">
        <v>43351</v>
      </c>
      <c r="N399">
        <f t="shared" ref="N399:N430" si="17">N392-1</f>
        <v>6</v>
      </c>
      <c r="O399">
        <v>45</v>
      </c>
    </row>
    <row r="400" spans="13:15" x14ac:dyDescent="0.25">
      <c r="M400" s="5">
        <v>43350</v>
      </c>
      <c r="N400">
        <f t="shared" si="17"/>
        <v>6</v>
      </c>
      <c r="O400">
        <v>45</v>
      </c>
    </row>
    <row r="401" spans="13:15" x14ac:dyDescent="0.25">
      <c r="M401" s="5">
        <v>43349</v>
      </c>
      <c r="N401">
        <f t="shared" si="17"/>
        <v>6</v>
      </c>
      <c r="O401">
        <v>45</v>
      </c>
    </row>
    <row r="402" spans="13:15" x14ac:dyDescent="0.25">
      <c r="M402" s="5">
        <v>43348</v>
      </c>
      <c r="N402">
        <f t="shared" si="17"/>
        <v>6</v>
      </c>
      <c r="O402">
        <v>45</v>
      </c>
    </row>
    <row r="403" spans="13:15" x14ac:dyDescent="0.25">
      <c r="M403" s="5">
        <v>43347</v>
      </c>
      <c r="N403">
        <f t="shared" si="17"/>
        <v>6</v>
      </c>
      <c r="O403">
        <v>45</v>
      </c>
    </row>
    <row r="404" spans="13:15" x14ac:dyDescent="0.25">
      <c r="M404" s="5">
        <v>43346</v>
      </c>
      <c r="N404">
        <f t="shared" si="17"/>
        <v>6</v>
      </c>
      <c r="O404">
        <v>45</v>
      </c>
    </row>
    <row r="405" spans="13:15" x14ac:dyDescent="0.25">
      <c r="M405" s="5">
        <v>43345</v>
      </c>
      <c r="N405">
        <f t="shared" si="17"/>
        <v>5</v>
      </c>
      <c r="O405">
        <v>45</v>
      </c>
    </row>
    <row r="406" spans="13:15" x14ac:dyDescent="0.25">
      <c r="M406" s="5">
        <v>43344</v>
      </c>
      <c r="N406">
        <f t="shared" si="17"/>
        <v>5</v>
      </c>
      <c r="O406">
        <v>45</v>
      </c>
    </row>
    <row r="407" spans="13:15" x14ac:dyDescent="0.25">
      <c r="M407" s="5">
        <v>43343</v>
      </c>
      <c r="N407">
        <f t="shared" si="17"/>
        <v>5</v>
      </c>
      <c r="O407">
        <v>45</v>
      </c>
    </row>
    <row r="408" spans="13:15" x14ac:dyDescent="0.25">
      <c r="M408" s="5">
        <v>43342</v>
      </c>
      <c r="N408">
        <f t="shared" si="17"/>
        <v>5</v>
      </c>
      <c r="O408">
        <v>45</v>
      </c>
    </row>
    <row r="409" spans="13:15" x14ac:dyDescent="0.25">
      <c r="M409" s="5">
        <v>43341</v>
      </c>
      <c r="N409">
        <f t="shared" si="17"/>
        <v>5</v>
      </c>
      <c r="O409">
        <v>45</v>
      </c>
    </row>
    <row r="410" spans="13:15" x14ac:dyDescent="0.25">
      <c r="M410" s="5">
        <v>43340</v>
      </c>
      <c r="N410">
        <f t="shared" si="17"/>
        <v>5</v>
      </c>
      <c r="O410">
        <v>45</v>
      </c>
    </row>
    <row r="411" spans="13:15" x14ac:dyDescent="0.25">
      <c r="M411" s="5">
        <v>43339</v>
      </c>
      <c r="N411">
        <f t="shared" si="17"/>
        <v>5</v>
      </c>
      <c r="O411">
        <v>45</v>
      </c>
    </row>
    <row r="412" spans="13:15" x14ac:dyDescent="0.25">
      <c r="M412" s="5">
        <v>43338</v>
      </c>
      <c r="N412">
        <f t="shared" si="17"/>
        <v>4</v>
      </c>
      <c r="O412">
        <v>45</v>
      </c>
    </row>
    <row r="413" spans="13:15" x14ac:dyDescent="0.25">
      <c r="M413" s="5">
        <v>43337</v>
      </c>
      <c r="N413">
        <f t="shared" si="17"/>
        <v>4</v>
      </c>
      <c r="O413">
        <v>45</v>
      </c>
    </row>
    <row r="414" spans="13:15" x14ac:dyDescent="0.25">
      <c r="M414" s="5">
        <v>43336</v>
      </c>
      <c r="N414">
        <f t="shared" si="17"/>
        <v>4</v>
      </c>
      <c r="O414">
        <v>45</v>
      </c>
    </row>
    <row r="415" spans="13:15" x14ac:dyDescent="0.25">
      <c r="M415" s="5">
        <v>43335</v>
      </c>
      <c r="N415">
        <f t="shared" si="17"/>
        <v>4</v>
      </c>
      <c r="O415">
        <v>45</v>
      </c>
    </row>
    <row r="416" spans="13:15" x14ac:dyDescent="0.25">
      <c r="M416" s="5">
        <v>43334</v>
      </c>
      <c r="N416">
        <f t="shared" si="17"/>
        <v>4</v>
      </c>
      <c r="O416">
        <v>45</v>
      </c>
    </row>
    <row r="417" spans="13:15" x14ac:dyDescent="0.25">
      <c r="M417" s="5">
        <v>43333</v>
      </c>
      <c r="N417">
        <f t="shared" si="17"/>
        <v>4</v>
      </c>
      <c r="O417">
        <v>45</v>
      </c>
    </row>
    <row r="418" spans="13:15" x14ac:dyDescent="0.25">
      <c r="M418" s="5">
        <v>43332</v>
      </c>
      <c r="N418">
        <f t="shared" si="17"/>
        <v>4</v>
      </c>
      <c r="O418">
        <v>45</v>
      </c>
    </row>
    <row r="419" spans="13:15" x14ac:dyDescent="0.25">
      <c r="M419" s="5">
        <v>43331</v>
      </c>
      <c r="N419">
        <f t="shared" si="17"/>
        <v>3</v>
      </c>
      <c r="O419">
        <v>45</v>
      </c>
    </row>
    <row r="420" spans="13:15" x14ac:dyDescent="0.25">
      <c r="M420" s="5">
        <v>43330</v>
      </c>
      <c r="N420">
        <f t="shared" si="17"/>
        <v>3</v>
      </c>
      <c r="O420">
        <v>45</v>
      </c>
    </row>
    <row r="421" spans="13:15" x14ac:dyDescent="0.25">
      <c r="M421" s="5">
        <v>43329</v>
      </c>
      <c r="N421">
        <f t="shared" si="17"/>
        <v>3</v>
      </c>
      <c r="O421">
        <v>45</v>
      </c>
    </row>
    <row r="422" spans="13:15" x14ac:dyDescent="0.25">
      <c r="M422" s="5">
        <v>43328</v>
      </c>
      <c r="N422">
        <f t="shared" si="17"/>
        <v>3</v>
      </c>
      <c r="O422">
        <v>45</v>
      </c>
    </row>
    <row r="423" spans="13:15" x14ac:dyDescent="0.25">
      <c r="M423" s="5">
        <v>43327</v>
      </c>
      <c r="N423">
        <f t="shared" si="17"/>
        <v>3</v>
      </c>
      <c r="O423">
        <v>45</v>
      </c>
    </row>
    <row r="424" spans="13:15" x14ac:dyDescent="0.25">
      <c r="M424" s="5">
        <v>43326</v>
      </c>
      <c r="N424">
        <f t="shared" si="17"/>
        <v>3</v>
      </c>
      <c r="O424">
        <v>45</v>
      </c>
    </row>
    <row r="425" spans="13:15" x14ac:dyDescent="0.25">
      <c r="M425" s="5">
        <v>43325</v>
      </c>
      <c r="N425">
        <f t="shared" si="17"/>
        <v>3</v>
      </c>
      <c r="O425">
        <v>45</v>
      </c>
    </row>
    <row r="426" spans="13:15" x14ac:dyDescent="0.25">
      <c r="M426" s="5">
        <v>43324</v>
      </c>
      <c r="N426">
        <f t="shared" si="17"/>
        <v>2</v>
      </c>
      <c r="O426">
        <v>45</v>
      </c>
    </row>
    <row r="427" spans="13:15" x14ac:dyDescent="0.25">
      <c r="M427" s="5">
        <v>43323</v>
      </c>
      <c r="N427">
        <f t="shared" si="17"/>
        <v>2</v>
      </c>
      <c r="O427">
        <v>45</v>
      </c>
    </row>
    <row r="428" spans="13:15" x14ac:dyDescent="0.25">
      <c r="M428" s="5">
        <v>43322</v>
      </c>
      <c r="N428">
        <f t="shared" si="17"/>
        <v>2</v>
      </c>
      <c r="O428">
        <v>45</v>
      </c>
    </row>
    <row r="429" spans="13:15" x14ac:dyDescent="0.25">
      <c r="M429" s="5">
        <v>43321</v>
      </c>
      <c r="N429">
        <f t="shared" si="17"/>
        <v>2</v>
      </c>
      <c r="O429">
        <v>45</v>
      </c>
    </row>
    <row r="430" spans="13:15" x14ac:dyDescent="0.25">
      <c r="M430" s="5">
        <v>43320</v>
      </c>
      <c r="N430">
        <f t="shared" si="17"/>
        <v>2</v>
      </c>
      <c r="O430">
        <v>45</v>
      </c>
    </row>
    <row r="431" spans="13:15" x14ac:dyDescent="0.25">
      <c r="M431" s="5">
        <v>43319</v>
      </c>
      <c r="N431">
        <f t="shared" ref="N431:N439" si="18">N424-1</f>
        <v>2</v>
      </c>
      <c r="O431">
        <v>45</v>
      </c>
    </row>
    <row r="432" spans="13:15" x14ac:dyDescent="0.25">
      <c r="M432" s="5">
        <v>43318</v>
      </c>
      <c r="N432">
        <f t="shared" si="18"/>
        <v>2</v>
      </c>
      <c r="O432">
        <v>45</v>
      </c>
    </row>
    <row r="433" spans="13:15" x14ac:dyDescent="0.25">
      <c r="M433" s="5">
        <v>43317</v>
      </c>
      <c r="N433">
        <f t="shared" si="18"/>
        <v>1</v>
      </c>
      <c r="O433">
        <v>45</v>
      </c>
    </row>
    <row r="434" spans="13:15" x14ac:dyDescent="0.25">
      <c r="M434" s="5">
        <v>43316</v>
      </c>
      <c r="N434">
        <f t="shared" si="18"/>
        <v>1</v>
      </c>
      <c r="O434">
        <v>45</v>
      </c>
    </row>
    <row r="435" spans="13:15" x14ac:dyDescent="0.25">
      <c r="M435" s="5">
        <v>43315</v>
      </c>
      <c r="N435">
        <f t="shared" si="18"/>
        <v>1</v>
      </c>
      <c r="O435">
        <v>45</v>
      </c>
    </row>
    <row r="436" spans="13:15" x14ac:dyDescent="0.25">
      <c r="M436" s="5">
        <v>43314</v>
      </c>
      <c r="N436">
        <f t="shared" si="18"/>
        <v>1</v>
      </c>
      <c r="O436">
        <v>45</v>
      </c>
    </row>
    <row r="437" spans="13:15" x14ac:dyDescent="0.25">
      <c r="M437" s="5">
        <v>43313</v>
      </c>
      <c r="N437">
        <f t="shared" si="18"/>
        <v>1</v>
      </c>
      <c r="O437">
        <v>45</v>
      </c>
    </row>
    <row r="438" spans="13:15" x14ac:dyDescent="0.25">
      <c r="M438" s="5">
        <v>43312</v>
      </c>
      <c r="N438">
        <f t="shared" si="18"/>
        <v>1</v>
      </c>
      <c r="O438">
        <v>45</v>
      </c>
    </row>
    <row r="439" spans="13:15" x14ac:dyDescent="0.25">
      <c r="M439" s="5">
        <v>43311</v>
      </c>
      <c r="N439">
        <f t="shared" si="18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9">N440-1</f>
        <v>15</v>
      </c>
      <c r="O447">
        <v>44</v>
      </c>
    </row>
    <row r="448" spans="13:15" x14ac:dyDescent="0.25">
      <c r="M448" s="5">
        <v>43302</v>
      </c>
      <c r="N448">
        <f t="shared" si="19"/>
        <v>15</v>
      </c>
      <c r="O448">
        <v>44</v>
      </c>
    </row>
    <row r="449" spans="13:15" x14ac:dyDescent="0.25">
      <c r="M449" s="5">
        <v>43301</v>
      </c>
      <c r="N449">
        <f t="shared" si="19"/>
        <v>15</v>
      </c>
      <c r="O449">
        <v>44</v>
      </c>
    </row>
    <row r="450" spans="13:15" x14ac:dyDescent="0.25">
      <c r="M450" s="5">
        <v>43300</v>
      </c>
      <c r="N450">
        <f t="shared" si="19"/>
        <v>15</v>
      </c>
      <c r="O450">
        <v>44</v>
      </c>
    </row>
    <row r="451" spans="13:15" x14ac:dyDescent="0.25">
      <c r="M451" s="5">
        <v>43299</v>
      </c>
      <c r="N451">
        <f t="shared" si="19"/>
        <v>15</v>
      </c>
      <c r="O451">
        <v>44</v>
      </c>
    </row>
    <row r="452" spans="13:15" x14ac:dyDescent="0.25">
      <c r="M452" s="5">
        <v>43298</v>
      </c>
      <c r="N452">
        <f t="shared" si="19"/>
        <v>15</v>
      </c>
      <c r="O452">
        <v>44</v>
      </c>
    </row>
    <row r="453" spans="13:15" x14ac:dyDescent="0.25">
      <c r="M453" s="5">
        <v>43297</v>
      </c>
      <c r="N453">
        <f t="shared" si="19"/>
        <v>15</v>
      </c>
      <c r="O453">
        <v>44</v>
      </c>
    </row>
    <row r="454" spans="13:15" x14ac:dyDescent="0.25">
      <c r="M454" s="5">
        <v>43296</v>
      </c>
      <c r="N454">
        <f t="shared" si="19"/>
        <v>14</v>
      </c>
      <c r="O454">
        <v>44</v>
      </c>
    </row>
    <row r="455" spans="13:15" x14ac:dyDescent="0.25">
      <c r="M455" s="5">
        <v>43295</v>
      </c>
      <c r="N455">
        <f t="shared" si="19"/>
        <v>14</v>
      </c>
      <c r="O455">
        <v>44</v>
      </c>
    </row>
    <row r="456" spans="13:15" x14ac:dyDescent="0.25">
      <c r="M456" s="5">
        <v>43294</v>
      </c>
      <c r="N456">
        <f t="shared" si="19"/>
        <v>14</v>
      </c>
      <c r="O456">
        <v>44</v>
      </c>
    </row>
    <row r="457" spans="13:15" x14ac:dyDescent="0.25">
      <c r="M457" s="5">
        <v>43293</v>
      </c>
      <c r="N457">
        <f t="shared" si="19"/>
        <v>14</v>
      </c>
      <c r="O457">
        <v>44</v>
      </c>
    </row>
    <row r="458" spans="13:15" x14ac:dyDescent="0.25">
      <c r="M458" s="5">
        <v>43292</v>
      </c>
      <c r="N458">
        <f t="shared" si="19"/>
        <v>14</v>
      </c>
      <c r="O458">
        <v>44</v>
      </c>
    </row>
    <row r="459" spans="13:15" x14ac:dyDescent="0.25">
      <c r="M459" s="5">
        <v>43291</v>
      </c>
      <c r="N459">
        <f t="shared" si="19"/>
        <v>14</v>
      </c>
      <c r="O459">
        <v>44</v>
      </c>
    </row>
    <row r="460" spans="13:15" x14ac:dyDescent="0.25">
      <c r="M460" s="5">
        <v>43290</v>
      </c>
      <c r="N460">
        <f t="shared" si="19"/>
        <v>14</v>
      </c>
      <c r="O460">
        <v>44</v>
      </c>
    </row>
    <row r="461" spans="13:15" x14ac:dyDescent="0.25">
      <c r="M461" s="5">
        <v>43289</v>
      </c>
      <c r="N461">
        <f t="shared" si="19"/>
        <v>13</v>
      </c>
      <c r="O461">
        <v>44</v>
      </c>
    </row>
    <row r="462" spans="13:15" x14ac:dyDescent="0.25">
      <c r="M462" s="5">
        <v>43288</v>
      </c>
      <c r="N462">
        <f t="shared" si="19"/>
        <v>13</v>
      </c>
      <c r="O462">
        <v>44</v>
      </c>
    </row>
    <row r="463" spans="13:15" x14ac:dyDescent="0.25">
      <c r="M463" s="5">
        <v>43287</v>
      </c>
      <c r="N463">
        <f t="shared" si="19"/>
        <v>13</v>
      </c>
      <c r="O463">
        <v>44</v>
      </c>
    </row>
    <row r="464" spans="13:15" x14ac:dyDescent="0.25">
      <c r="M464" s="5">
        <v>43286</v>
      </c>
      <c r="N464">
        <f t="shared" si="19"/>
        <v>13</v>
      </c>
      <c r="O464">
        <v>44</v>
      </c>
    </row>
    <row r="465" spans="13:15" x14ac:dyDescent="0.25">
      <c r="M465" s="5">
        <v>43285</v>
      </c>
      <c r="N465">
        <f t="shared" si="19"/>
        <v>13</v>
      </c>
      <c r="O465">
        <v>44</v>
      </c>
    </row>
    <row r="466" spans="13:15" x14ac:dyDescent="0.25">
      <c r="M466" s="5">
        <v>43284</v>
      </c>
      <c r="N466">
        <f t="shared" si="19"/>
        <v>13</v>
      </c>
      <c r="O466">
        <v>44</v>
      </c>
    </row>
    <row r="467" spans="13:15" x14ac:dyDescent="0.25">
      <c r="M467" s="5">
        <v>43283</v>
      </c>
      <c r="N467">
        <f t="shared" si="19"/>
        <v>13</v>
      </c>
      <c r="O467">
        <v>44</v>
      </c>
    </row>
    <row r="468" spans="13:15" x14ac:dyDescent="0.25">
      <c r="M468" s="5">
        <v>43282</v>
      </c>
      <c r="N468">
        <f t="shared" si="19"/>
        <v>12</v>
      </c>
      <c r="O468">
        <v>44</v>
      </c>
    </row>
    <row r="469" spans="13:15" x14ac:dyDescent="0.25">
      <c r="M469" s="5">
        <v>43281</v>
      </c>
      <c r="N469">
        <f t="shared" si="19"/>
        <v>12</v>
      </c>
      <c r="O469">
        <v>44</v>
      </c>
    </row>
    <row r="470" spans="13:15" x14ac:dyDescent="0.25">
      <c r="M470" s="5">
        <v>43280</v>
      </c>
      <c r="N470">
        <f t="shared" si="19"/>
        <v>12</v>
      </c>
      <c r="O470">
        <v>44</v>
      </c>
    </row>
    <row r="471" spans="13:15" x14ac:dyDescent="0.25">
      <c r="M471" s="5">
        <v>43279</v>
      </c>
      <c r="N471">
        <f t="shared" si="19"/>
        <v>12</v>
      </c>
      <c r="O471">
        <v>44</v>
      </c>
    </row>
    <row r="472" spans="13:15" x14ac:dyDescent="0.25">
      <c r="M472" s="5">
        <v>43278</v>
      </c>
      <c r="N472">
        <f t="shared" si="19"/>
        <v>12</v>
      </c>
      <c r="O472">
        <v>44</v>
      </c>
    </row>
    <row r="473" spans="13:15" x14ac:dyDescent="0.25">
      <c r="M473" s="5">
        <v>43277</v>
      </c>
      <c r="N473">
        <f t="shared" si="19"/>
        <v>12</v>
      </c>
      <c r="O473">
        <v>44</v>
      </c>
    </row>
    <row r="474" spans="13:15" x14ac:dyDescent="0.25">
      <c r="M474" s="5">
        <v>43276</v>
      </c>
      <c r="N474">
        <f t="shared" si="19"/>
        <v>12</v>
      </c>
      <c r="O474">
        <v>44</v>
      </c>
    </row>
    <row r="475" spans="13:15" x14ac:dyDescent="0.25">
      <c r="M475" s="5">
        <v>43275</v>
      </c>
      <c r="N475">
        <f t="shared" si="19"/>
        <v>11</v>
      </c>
      <c r="O475">
        <v>44</v>
      </c>
    </row>
    <row r="476" spans="13:15" x14ac:dyDescent="0.25">
      <c r="M476" s="5">
        <v>43274</v>
      </c>
      <c r="N476">
        <f t="shared" si="19"/>
        <v>11</v>
      </c>
      <c r="O476">
        <v>44</v>
      </c>
    </row>
    <row r="477" spans="13:15" x14ac:dyDescent="0.25">
      <c r="M477" s="5">
        <v>43273</v>
      </c>
      <c r="N477">
        <f t="shared" si="19"/>
        <v>11</v>
      </c>
      <c r="O477">
        <v>44</v>
      </c>
    </row>
    <row r="478" spans="13:15" x14ac:dyDescent="0.25">
      <c r="M478" s="5">
        <v>43272</v>
      </c>
      <c r="N478">
        <f t="shared" si="19"/>
        <v>11</v>
      </c>
      <c r="O478">
        <v>44</v>
      </c>
    </row>
    <row r="479" spans="13:15" x14ac:dyDescent="0.25">
      <c r="M479" s="5">
        <v>43271</v>
      </c>
      <c r="N479">
        <f t="shared" ref="N479:N510" si="20">N472-1</f>
        <v>11</v>
      </c>
      <c r="O479">
        <v>44</v>
      </c>
    </row>
    <row r="480" spans="13:15" x14ac:dyDescent="0.25">
      <c r="M480" s="5">
        <v>43270</v>
      </c>
      <c r="N480">
        <f t="shared" si="20"/>
        <v>11</v>
      </c>
      <c r="O480">
        <v>44</v>
      </c>
    </row>
    <row r="481" spans="13:15" x14ac:dyDescent="0.25">
      <c r="M481" s="5">
        <v>43269</v>
      </c>
      <c r="N481">
        <f t="shared" si="20"/>
        <v>11</v>
      </c>
      <c r="O481">
        <v>44</v>
      </c>
    </row>
    <row r="482" spans="13:15" x14ac:dyDescent="0.25">
      <c r="M482" s="5">
        <v>43268</v>
      </c>
      <c r="N482">
        <f t="shared" si="20"/>
        <v>10</v>
      </c>
      <c r="O482">
        <v>44</v>
      </c>
    </row>
    <row r="483" spans="13:15" x14ac:dyDescent="0.25">
      <c r="M483" s="5">
        <v>43267</v>
      </c>
      <c r="N483">
        <f t="shared" si="20"/>
        <v>10</v>
      </c>
      <c r="O483">
        <v>44</v>
      </c>
    </row>
    <row r="484" spans="13:15" x14ac:dyDescent="0.25">
      <c r="M484" s="5">
        <v>43266</v>
      </c>
      <c r="N484">
        <f t="shared" si="20"/>
        <v>10</v>
      </c>
      <c r="O484">
        <v>44</v>
      </c>
    </row>
    <row r="485" spans="13:15" x14ac:dyDescent="0.25">
      <c r="M485" s="5">
        <v>43265</v>
      </c>
      <c r="N485">
        <f t="shared" si="20"/>
        <v>10</v>
      </c>
      <c r="O485">
        <v>44</v>
      </c>
    </row>
    <row r="486" spans="13:15" x14ac:dyDescent="0.25">
      <c r="M486" s="5">
        <v>43264</v>
      </c>
      <c r="N486">
        <f t="shared" si="20"/>
        <v>10</v>
      </c>
      <c r="O486">
        <v>44</v>
      </c>
    </row>
    <row r="487" spans="13:15" x14ac:dyDescent="0.25">
      <c r="M487" s="5">
        <v>43263</v>
      </c>
      <c r="N487">
        <f t="shared" si="20"/>
        <v>10</v>
      </c>
      <c r="O487">
        <v>44</v>
      </c>
    </row>
    <row r="488" spans="13:15" x14ac:dyDescent="0.25">
      <c r="M488" s="5">
        <v>43262</v>
      </c>
      <c r="N488">
        <f t="shared" si="20"/>
        <v>10</v>
      </c>
      <c r="O488">
        <v>44</v>
      </c>
    </row>
    <row r="489" spans="13:15" x14ac:dyDescent="0.25">
      <c r="M489" s="5">
        <v>43261</v>
      </c>
      <c r="N489">
        <f t="shared" si="20"/>
        <v>9</v>
      </c>
      <c r="O489">
        <v>44</v>
      </c>
    </row>
    <row r="490" spans="13:15" x14ac:dyDescent="0.25">
      <c r="M490" s="5">
        <v>43260</v>
      </c>
      <c r="N490">
        <f t="shared" si="20"/>
        <v>9</v>
      </c>
      <c r="O490">
        <v>44</v>
      </c>
    </row>
    <row r="491" spans="13:15" x14ac:dyDescent="0.25">
      <c r="M491" s="5">
        <v>43259</v>
      </c>
      <c r="N491">
        <f t="shared" si="20"/>
        <v>9</v>
      </c>
      <c r="O491">
        <v>44</v>
      </c>
    </row>
    <row r="492" spans="13:15" x14ac:dyDescent="0.25">
      <c r="M492" s="5">
        <v>43258</v>
      </c>
      <c r="N492">
        <f t="shared" si="20"/>
        <v>9</v>
      </c>
      <c r="O492">
        <v>44</v>
      </c>
    </row>
    <row r="493" spans="13:15" x14ac:dyDescent="0.25">
      <c r="M493" s="5">
        <v>43257</v>
      </c>
      <c r="N493">
        <f t="shared" si="20"/>
        <v>9</v>
      </c>
      <c r="O493">
        <v>44</v>
      </c>
    </row>
    <row r="494" spans="13:15" x14ac:dyDescent="0.25">
      <c r="M494" s="5">
        <v>43256</v>
      </c>
      <c r="N494">
        <f t="shared" si="20"/>
        <v>9</v>
      </c>
      <c r="O494">
        <v>44</v>
      </c>
    </row>
    <row r="495" spans="13:15" x14ac:dyDescent="0.25">
      <c r="M495" s="5">
        <v>43255</v>
      </c>
      <c r="N495">
        <f t="shared" si="20"/>
        <v>9</v>
      </c>
      <c r="O495">
        <v>44</v>
      </c>
    </row>
    <row r="496" spans="13:15" x14ac:dyDescent="0.25">
      <c r="M496" s="5">
        <v>43254</v>
      </c>
      <c r="N496">
        <f t="shared" si="20"/>
        <v>8</v>
      </c>
      <c r="O496">
        <v>44</v>
      </c>
    </row>
    <row r="497" spans="13:15" x14ac:dyDescent="0.25">
      <c r="M497" s="5">
        <v>43253</v>
      </c>
      <c r="N497">
        <f t="shared" si="20"/>
        <v>8</v>
      </c>
      <c r="O497">
        <v>44</v>
      </c>
    </row>
    <row r="498" spans="13:15" x14ac:dyDescent="0.25">
      <c r="M498" s="5">
        <v>43252</v>
      </c>
      <c r="N498">
        <f t="shared" si="20"/>
        <v>8</v>
      </c>
      <c r="O498">
        <v>44</v>
      </c>
    </row>
    <row r="499" spans="13:15" x14ac:dyDescent="0.25">
      <c r="M499" s="5">
        <v>43251</v>
      </c>
      <c r="N499">
        <f t="shared" si="20"/>
        <v>8</v>
      </c>
      <c r="O499">
        <v>44</v>
      </c>
    </row>
    <row r="500" spans="13:15" x14ac:dyDescent="0.25">
      <c r="M500" s="5">
        <v>43250</v>
      </c>
      <c r="N500">
        <f t="shared" si="20"/>
        <v>8</v>
      </c>
      <c r="O500">
        <v>44</v>
      </c>
    </row>
    <row r="501" spans="13:15" x14ac:dyDescent="0.25">
      <c r="M501" s="5">
        <v>43249</v>
      </c>
      <c r="N501">
        <f t="shared" si="20"/>
        <v>8</v>
      </c>
      <c r="O501">
        <v>44</v>
      </c>
    </row>
    <row r="502" spans="13:15" x14ac:dyDescent="0.25">
      <c r="M502" s="5">
        <v>43248</v>
      </c>
      <c r="N502">
        <f t="shared" si="20"/>
        <v>8</v>
      </c>
      <c r="O502">
        <v>44</v>
      </c>
    </row>
    <row r="503" spans="13:15" x14ac:dyDescent="0.25">
      <c r="M503" s="5">
        <v>43247</v>
      </c>
      <c r="N503">
        <f t="shared" si="20"/>
        <v>7</v>
      </c>
      <c r="O503">
        <v>44</v>
      </c>
    </row>
    <row r="504" spans="13:15" x14ac:dyDescent="0.25">
      <c r="M504" s="5">
        <v>43246</v>
      </c>
      <c r="N504">
        <f t="shared" si="20"/>
        <v>7</v>
      </c>
      <c r="O504">
        <v>44</v>
      </c>
    </row>
    <row r="505" spans="13:15" x14ac:dyDescent="0.25">
      <c r="M505" s="5">
        <v>43245</v>
      </c>
      <c r="N505">
        <f t="shared" si="20"/>
        <v>7</v>
      </c>
      <c r="O505">
        <v>44</v>
      </c>
    </row>
    <row r="506" spans="13:15" x14ac:dyDescent="0.25">
      <c r="M506" s="5">
        <v>43244</v>
      </c>
      <c r="N506">
        <f t="shared" si="20"/>
        <v>7</v>
      </c>
      <c r="O506">
        <v>44</v>
      </c>
    </row>
    <row r="507" spans="13:15" x14ac:dyDescent="0.25">
      <c r="M507" s="5">
        <v>43243</v>
      </c>
      <c r="N507">
        <f t="shared" si="20"/>
        <v>7</v>
      </c>
      <c r="O507">
        <v>44</v>
      </c>
    </row>
    <row r="508" spans="13:15" x14ac:dyDescent="0.25">
      <c r="M508" s="5">
        <v>43242</v>
      </c>
      <c r="N508">
        <f t="shared" si="20"/>
        <v>7</v>
      </c>
      <c r="O508">
        <v>44</v>
      </c>
    </row>
    <row r="509" spans="13:15" x14ac:dyDescent="0.25">
      <c r="M509" s="5">
        <v>43241</v>
      </c>
      <c r="N509">
        <f t="shared" si="20"/>
        <v>7</v>
      </c>
      <c r="O509">
        <v>44</v>
      </c>
    </row>
    <row r="510" spans="13:15" x14ac:dyDescent="0.25">
      <c r="M510" s="5">
        <v>43240</v>
      </c>
      <c r="N510">
        <f t="shared" si="20"/>
        <v>6</v>
      </c>
      <c r="O510">
        <v>44</v>
      </c>
    </row>
    <row r="511" spans="13:15" x14ac:dyDescent="0.25">
      <c r="M511" s="5">
        <v>43239</v>
      </c>
      <c r="N511">
        <f t="shared" ref="N511:N542" si="21">N504-1</f>
        <v>6</v>
      </c>
      <c r="O511">
        <v>44</v>
      </c>
    </row>
    <row r="512" spans="13:15" x14ac:dyDescent="0.25">
      <c r="M512" s="5">
        <v>43238</v>
      </c>
      <c r="N512">
        <f t="shared" si="21"/>
        <v>6</v>
      </c>
      <c r="O512">
        <v>44</v>
      </c>
    </row>
    <row r="513" spans="13:15" x14ac:dyDescent="0.25">
      <c r="M513" s="5">
        <v>43237</v>
      </c>
      <c r="N513">
        <f t="shared" si="21"/>
        <v>6</v>
      </c>
      <c r="O513">
        <v>44</v>
      </c>
    </row>
    <row r="514" spans="13:15" x14ac:dyDescent="0.25">
      <c r="M514" s="5">
        <v>43236</v>
      </c>
      <c r="N514">
        <f t="shared" si="21"/>
        <v>6</v>
      </c>
      <c r="O514">
        <v>44</v>
      </c>
    </row>
    <row r="515" spans="13:15" x14ac:dyDescent="0.25">
      <c r="M515" s="5">
        <v>43235</v>
      </c>
      <c r="N515">
        <f t="shared" si="21"/>
        <v>6</v>
      </c>
      <c r="O515">
        <v>44</v>
      </c>
    </row>
    <row r="516" spans="13:15" x14ac:dyDescent="0.25">
      <c r="M516" s="5">
        <v>43234</v>
      </c>
      <c r="N516">
        <f t="shared" si="21"/>
        <v>6</v>
      </c>
      <c r="O516">
        <v>44</v>
      </c>
    </row>
    <row r="517" spans="13:15" x14ac:dyDescent="0.25">
      <c r="M517" s="5">
        <v>43233</v>
      </c>
      <c r="N517">
        <f t="shared" si="21"/>
        <v>5</v>
      </c>
      <c r="O517">
        <v>44</v>
      </c>
    </row>
    <row r="518" spans="13:15" x14ac:dyDescent="0.25">
      <c r="M518" s="5">
        <v>43232</v>
      </c>
      <c r="N518">
        <f t="shared" si="21"/>
        <v>5</v>
      </c>
      <c r="O518">
        <v>44</v>
      </c>
    </row>
    <row r="519" spans="13:15" x14ac:dyDescent="0.25">
      <c r="M519" s="5">
        <v>43231</v>
      </c>
      <c r="N519">
        <f t="shared" si="21"/>
        <v>5</v>
      </c>
      <c r="O519">
        <v>44</v>
      </c>
    </row>
    <row r="520" spans="13:15" x14ac:dyDescent="0.25">
      <c r="M520" s="5">
        <v>43230</v>
      </c>
      <c r="N520">
        <f t="shared" si="21"/>
        <v>5</v>
      </c>
      <c r="O520">
        <v>44</v>
      </c>
    </row>
    <row r="521" spans="13:15" x14ac:dyDescent="0.25">
      <c r="M521" s="5">
        <v>43229</v>
      </c>
      <c r="N521">
        <f t="shared" si="21"/>
        <v>5</v>
      </c>
      <c r="O521">
        <v>44</v>
      </c>
    </row>
    <row r="522" spans="13:15" x14ac:dyDescent="0.25">
      <c r="M522" s="5">
        <v>43228</v>
      </c>
      <c r="N522">
        <f t="shared" si="21"/>
        <v>5</v>
      </c>
      <c r="O522">
        <v>44</v>
      </c>
    </row>
    <row r="523" spans="13:15" x14ac:dyDescent="0.25">
      <c r="M523" s="5">
        <v>43227</v>
      </c>
      <c r="N523">
        <f t="shared" si="21"/>
        <v>5</v>
      </c>
      <c r="O523">
        <v>44</v>
      </c>
    </row>
    <row r="524" spans="13:15" x14ac:dyDescent="0.25">
      <c r="M524" s="5">
        <v>43226</v>
      </c>
      <c r="N524">
        <f t="shared" si="21"/>
        <v>4</v>
      </c>
      <c r="O524">
        <v>44</v>
      </c>
    </row>
    <row r="525" spans="13:15" x14ac:dyDescent="0.25">
      <c r="M525" s="5">
        <v>43225</v>
      </c>
      <c r="N525">
        <f t="shared" si="21"/>
        <v>4</v>
      </c>
      <c r="O525">
        <v>44</v>
      </c>
    </row>
    <row r="526" spans="13:15" x14ac:dyDescent="0.25">
      <c r="M526" s="5">
        <v>43224</v>
      </c>
      <c r="N526">
        <f t="shared" si="21"/>
        <v>4</v>
      </c>
      <c r="O526">
        <v>44</v>
      </c>
    </row>
    <row r="527" spans="13:15" x14ac:dyDescent="0.25">
      <c r="M527" s="5">
        <v>43223</v>
      </c>
      <c r="N527">
        <f t="shared" si="21"/>
        <v>4</v>
      </c>
      <c r="O527">
        <v>44</v>
      </c>
    </row>
    <row r="528" spans="13:15" x14ac:dyDescent="0.25">
      <c r="M528" s="5">
        <v>43222</v>
      </c>
      <c r="N528">
        <f t="shared" si="21"/>
        <v>4</v>
      </c>
      <c r="O528">
        <v>44</v>
      </c>
    </row>
    <row r="529" spans="13:15" x14ac:dyDescent="0.25">
      <c r="M529" s="5">
        <v>43221</v>
      </c>
      <c r="N529">
        <f t="shared" si="21"/>
        <v>4</v>
      </c>
      <c r="O529">
        <v>44</v>
      </c>
    </row>
    <row r="530" spans="13:15" x14ac:dyDescent="0.25">
      <c r="M530" s="5">
        <v>43220</v>
      </c>
      <c r="N530">
        <f t="shared" si="21"/>
        <v>4</v>
      </c>
      <c r="O530">
        <v>44</v>
      </c>
    </row>
    <row r="531" spans="13:15" x14ac:dyDescent="0.25">
      <c r="M531" s="5">
        <v>43219</v>
      </c>
      <c r="N531">
        <f t="shared" si="21"/>
        <v>3</v>
      </c>
      <c r="O531">
        <v>44</v>
      </c>
    </row>
    <row r="532" spans="13:15" x14ac:dyDescent="0.25">
      <c r="M532" s="5">
        <v>43218</v>
      </c>
      <c r="N532">
        <f t="shared" si="21"/>
        <v>3</v>
      </c>
      <c r="O532">
        <v>44</v>
      </c>
    </row>
    <row r="533" spans="13:15" x14ac:dyDescent="0.25">
      <c r="M533" s="5">
        <v>43217</v>
      </c>
      <c r="N533">
        <f t="shared" si="21"/>
        <v>3</v>
      </c>
      <c r="O533">
        <v>44</v>
      </c>
    </row>
    <row r="534" spans="13:15" x14ac:dyDescent="0.25">
      <c r="M534" s="5">
        <v>43216</v>
      </c>
      <c r="N534">
        <f t="shared" si="21"/>
        <v>3</v>
      </c>
      <c r="O534">
        <v>44</v>
      </c>
    </row>
    <row r="535" spans="13:15" x14ac:dyDescent="0.25">
      <c r="M535" s="5">
        <v>43215</v>
      </c>
      <c r="N535">
        <f t="shared" si="21"/>
        <v>3</v>
      </c>
      <c r="O535">
        <v>44</v>
      </c>
    </row>
    <row r="536" spans="13:15" x14ac:dyDescent="0.25">
      <c r="M536" s="5">
        <v>43214</v>
      </c>
      <c r="N536">
        <f t="shared" si="21"/>
        <v>3</v>
      </c>
      <c r="O536">
        <v>44</v>
      </c>
    </row>
    <row r="537" spans="13:15" x14ac:dyDescent="0.25">
      <c r="M537" s="5">
        <v>43213</v>
      </c>
      <c r="N537">
        <f t="shared" si="21"/>
        <v>3</v>
      </c>
      <c r="O537">
        <v>44</v>
      </c>
    </row>
    <row r="538" spans="13:15" x14ac:dyDescent="0.25">
      <c r="M538" s="5">
        <v>43212</v>
      </c>
      <c r="N538">
        <f t="shared" si="21"/>
        <v>2</v>
      </c>
      <c r="O538">
        <v>44</v>
      </c>
    </row>
    <row r="539" spans="13:15" x14ac:dyDescent="0.25">
      <c r="M539" s="5">
        <v>43211</v>
      </c>
      <c r="N539">
        <f t="shared" si="21"/>
        <v>2</v>
      </c>
      <c r="O539">
        <v>44</v>
      </c>
    </row>
    <row r="540" spans="13:15" x14ac:dyDescent="0.25">
      <c r="M540" s="5">
        <v>43210</v>
      </c>
      <c r="N540">
        <f t="shared" si="21"/>
        <v>2</v>
      </c>
      <c r="O540">
        <v>44</v>
      </c>
    </row>
    <row r="541" spans="13:15" x14ac:dyDescent="0.25">
      <c r="M541" s="5">
        <v>43209</v>
      </c>
      <c r="N541">
        <f t="shared" si="21"/>
        <v>2</v>
      </c>
      <c r="O541">
        <v>44</v>
      </c>
    </row>
    <row r="542" spans="13:15" x14ac:dyDescent="0.25">
      <c r="M542" s="5">
        <v>43208</v>
      </c>
      <c r="N542">
        <f t="shared" si="21"/>
        <v>2</v>
      </c>
      <c r="O542">
        <v>44</v>
      </c>
    </row>
    <row r="543" spans="13:15" x14ac:dyDescent="0.25">
      <c r="M543" s="5">
        <v>43207</v>
      </c>
      <c r="N543">
        <f t="shared" ref="N543:N551" si="22">N536-1</f>
        <v>2</v>
      </c>
      <c r="O543">
        <v>44</v>
      </c>
    </row>
    <row r="544" spans="13:15" x14ac:dyDescent="0.25">
      <c r="M544" s="5">
        <v>43206</v>
      </c>
      <c r="N544">
        <f t="shared" si="22"/>
        <v>2</v>
      </c>
      <c r="O544">
        <v>44</v>
      </c>
    </row>
    <row r="545" spans="13:15" x14ac:dyDescent="0.25">
      <c r="M545" s="5">
        <v>43205</v>
      </c>
      <c r="N545">
        <f t="shared" si="22"/>
        <v>1</v>
      </c>
      <c r="O545">
        <v>44</v>
      </c>
    </row>
    <row r="546" spans="13:15" x14ac:dyDescent="0.25">
      <c r="M546" s="5">
        <v>43204</v>
      </c>
      <c r="N546">
        <f t="shared" si="22"/>
        <v>1</v>
      </c>
      <c r="O546">
        <v>44</v>
      </c>
    </row>
    <row r="547" spans="13:15" x14ac:dyDescent="0.25">
      <c r="M547" s="5">
        <v>43203</v>
      </c>
      <c r="N547">
        <f t="shared" si="22"/>
        <v>1</v>
      </c>
      <c r="O547">
        <v>44</v>
      </c>
    </row>
    <row r="548" spans="13:15" x14ac:dyDescent="0.25">
      <c r="M548" s="5">
        <v>43202</v>
      </c>
      <c r="N548">
        <f t="shared" si="22"/>
        <v>1</v>
      </c>
      <c r="O548">
        <v>44</v>
      </c>
    </row>
    <row r="549" spans="13:15" x14ac:dyDescent="0.25">
      <c r="M549" s="5">
        <v>43201</v>
      </c>
      <c r="N549">
        <f t="shared" si="22"/>
        <v>1</v>
      </c>
      <c r="O549">
        <v>44</v>
      </c>
    </row>
    <row r="550" spans="13:15" x14ac:dyDescent="0.25">
      <c r="M550" s="5">
        <v>43200</v>
      </c>
      <c r="N550">
        <f t="shared" si="22"/>
        <v>1</v>
      </c>
      <c r="O550">
        <v>44</v>
      </c>
    </row>
    <row r="551" spans="13:15" x14ac:dyDescent="0.25">
      <c r="M551" s="5">
        <v>43199</v>
      </c>
      <c r="N551">
        <f t="shared" si="22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3">N552-1</f>
        <v>15</v>
      </c>
      <c r="O559">
        <v>43</v>
      </c>
    </row>
    <row r="560" spans="13:15" x14ac:dyDescent="0.25">
      <c r="M560" s="5">
        <v>43190</v>
      </c>
      <c r="N560">
        <f t="shared" si="23"/>
        <v>15</v>
      </c>
      <c r="O560">
        <v>43</v>
      </c>
    </row>
    <row r="561" spans="13:15" x14ac:dyDescent="0.25">
      <c r="M561" s="5">
        <v>43189</v>
      </c>
      <c r="N561">
        <f t="shared" si="23"/>
        <v>15</v>
      </c>
      <c r="O561">
        <v>43</v>
      </c>
    </row>
    <row r="562" spans="13:15" x14ac:dyDescent="0.25">
      <c r="M562" s="5">
        <v>43188</v>
      </c>
      <c r="N562">
        <f t="shared" si="23"/>
        <v>15</v>
      </c>
      <c r="O562">
        <v>43</v>
      </c>
    </row>
    <row r="563" spans="13:15" x14ac:dyDescent="0.25">
      <c r="M563" s="5">
        <v>43187</v>
      </c>
      <c r="N563">
        <f t="shared" si="23"/>
        <v>15</v>
      </c>
      <c r="O563">
        <v>43</v>
      </c>
    </row>
    <row r="564" spans="13:15" x14ac:dyDescent="0.25">
      <c r="M564" s="5">
        <v>43186</v>
      </c>
      <c r="N564">
        <f t="shared" si="23"/>
        <v>15</v>
      </c>
      <c r="O564">
        <v>43</v>
      </c>
    </row>
    <row r="565" spans="13:15" x14ac:dyDescent="0.25">
      <c r="M565" s="5">
        <v>43185</v>
      </c>
      <c r="N565">
        <f t="shared" si="23"/>
        <v>15</v>
      </c>
      <c r="O565">
        <v>43</v>
      </c>
    </row>
    <row r="566" spans="13:15" x14ac:dyDescent="0.25">
      <c r="M566" s="5">
        <v>43184</v>
      </c>
      <c r="N566">
        <f t="shared" si="23"/>
        <v>14</v>
      </c>
      <c r="O566">
        <v>43</v>
      </c>
    </row>
    <row r="567" spans="13:15" x14ac:dyDescent="0.25">
      <c r="M567" s="5">
        <v>43183</v>
      </c>
      <c r="N567">
        <f t="shared" si="23"/>
        <v>14</v>
      </c>
      <c r="O567">
        <v>43</v>
      </c>
    </row>
    <row r="568" spans="13:15" x14ac:dyDescent="0.25">
      <c r="M568" s="5">
        <v>43182</v>
      </c>
      <c r="N568">
        <f t="shared" si="23"/>
        <v>14</v>
      </c>
      <c r="O568">
        <v>43</v>
      </c>
    </row>
    <row r="569" spans="13:15" x14ac:dyDescent="0.25">
      <c r="M569" s="5">
        <v>43181</v>
      </c>
      <c r="N569">
        <f t="shared" si="23"/>
        <v>14</v>
      </c>
      <c r="O569">
        <v>43</v>
      </c>
    </row>
    <row r="570" spans="13:15" x14ac:dyDescent="0.25">
      <c r="M570" s="5">
        <v>43180</v>
      </c>
      <c r="N570">
        <f t="shared" si="23"/>
        <v>14</v>
      </c>
      <c r="O570">
        <v>43</v>
      </c>
    </row>
    <row r="571" spans="13:15" x14ac:dyDescent="0.25">
      <c r="M571" s="5">
        <v>43179</v>
      </c>
      <c r="N571">
        <f t="shared" si="23"/>
        <v>14</v>
      </c>
      <c r="O571">
        <v>43</v>
      </c>
    </row>
    <row r="572" spans="13:15" x14ac:dyDescent="0.25">
      <c r="M572" s="5">
        <v>43178</v>
      </c>
      <c r="N572">
        <f t="shared" si="23"/>
        <v>14</v>
      </c>
      <c r="O572">
        <v>43</v>
      </c>
    </row>
    <row r="573" spans="13:15" x14ac:dyDescent="0.25">
      <c r="M573" s="5">
        <v>43177</v>
      </c>
      <c r="N573">
        <f t="shared" si="23"/>
        <v>13</v>
      </c>
      <c r="O573">
        <v>43</v>
      </c>
    </row>
    <row r="574" spans="13:15" x14ac:dyDescent="0.25">
      <c r="M574" s="5">
        <v>43176</v>
      </c>
      <c r="N574">
        <f t="shared" si="23"/>
        <v>13</v>
      </c>
      <c r="O574">
        <v>43</v>
      </c>
    </row>
    <row r="575" spans="13:15" x14ac:dyDescent="0.25">
      <c r="M575" s="5">
        <v>43175</v>
      </c>
      <c r="N575">
        <f t="shared" si="23"/>
        <v>13</v>
      </c>
      <c r="O575">
        <v>43</v>
      </c>
    </row>
    <row r="576" spans="13:15" x14ac:dyDescent="0.25">
      <c r="M576" s="5">
        <v>43174</v>
      </c>
      <c r="N576">
        <f t="shared" si="23"/>
        <v>13</v>
      </c>
      <c r="O576">
        <v>43</v>
      </c>
    </row>
    <row r="577" spans="13:15" x14ac:dyDescent="0.25">
      <c r="M577" s="5">
        <v>43173</v>
      </c>
      <c r="N577">
        <f t="shared" si="23"/>
        <v>13</v>
      </c>
      <c r="O577">
        <v>43</v>
      </c>
    </row>
    <row r="578" spans="13:15" x14ac:dyDescent="0.25">
      <c r="M578" s="5">
        <v>43172</v>
      </c>
      <c r="N578">
        <f t="shared" si="23"/>
        <v>13</v>
      </c>
      <c r="O578">
        <v>43</v>
      </c>
    </row>
    <row r="579" spans="13:15" x14ac:dyDescent="0.25">
      <c r="M579" s="5">
        <v>43171</v>
      </c>
      <c r="N579">
        <f t="shared" si="23"/>
        <v>13</v>
      </c>
      <c r="O579">
        <v>43</v>
      </c>
    </row>
    <row r="580" spans="13:15" x14ac:dyDescent="0.25">
      <c r="M580" s="5">
        <v>43170</v>
      </c>
      <c r="N580">
        <f t="shared" si="23"/>
        <v>12</v>
      </c>
      <c r="O580">
        <v>43</v>
      </c>
    </row>
    <row r="581" spans="13:15" x14ac:dyDescent="0.25">
      <c r="M581" s="5">
        <v>43169</v>
      </c>
      <c r="N581">
        <f t="shared" si="23"/>
        <v>12</v>
      </c>
      <c r="O581">
        <v>43</v>
      </c>
    </row>
    <row r="582" spans="13:15" x14ac:dyDescent="0.25">
      <c r="M582" s="5">
        <v>43168</v>
      </c>
      <c r="N582">
        <f t="shared" si="23"/>
        <v>12</v>
      </c>
      <c r="O582">
        <v>43</v>
      </c>
    </row>
    <row r="583" spans="13:15" x14ac:dyDescent="0.25">
      <c r="M583" s="5">
        <v>43167</v>
      </c>
      <c r="N583">
        <f t="shared" si="23"/>
        <v>12</v>
      </c>
      <c r="O583">
        <v>43</v>
      </c>
    </row>
    <row r="584" spans="13:15" x14ac:dyDescent="0.25">
      <c r="M584" s="5">
        <v>43166</v>
      </c>
      <c r="N584">
        <f t="shared" si="23"/>
        <v>12</v>
      </c>
      <c r="O584">
        <v>43</v>
      </c>
    </row>
    <row r="585" spans="13:15" x14ac:dyDescent="0.25">
      <c r="M585" s="5">
        <v>43165</v>
      </c>
      <c r="N585">
        <f t="shared" si="23"/>
        <v>12</v>
      </c>
      <c r="O585">
        <v>43</v>
      </c>
    </row>
    <row r="586" spans="13:15" x14ac:dyDescent="0.25">
      <c r="M586" s="5">
        <v>43164</v>
      </c>
      <c r="N586">
        <f t="shared" si="23"/>
        <v>12</v>
      </c>
      <c r="O586">
        <v>43</v>
      </c>
    </row>
    <row r="587" spans="13:15" x14ac:dyDescent="0.25">
      <c r="M587" s="5">
        <v>43163</v>
      </c>
      <c r="N587">
        <f t="shared" si="23"/>
        <v>11</v>
      </c>
      <c r="O587">
        <v>43</v>
      </c>
    </row>
    <row r="588" spans="13:15" x14ac:dyDescent="0.25">
      <c r="M588" s="5">
        <v>43162</v>
      </c>
      <c r="N588">
        <f t="shared" si="23"/>
        <v>11</v>
      </c>
      <c r="O588">
        <v>43</v>
      </c>
    </row>
    <row r="589" spans="13:15" x14ac:dyDescent="0.25">
      <c r="M589" s="5">
        <v>43161</v>
      </c>
      <c r="N589">
        <f t="shared" si="23"/>
        <v>11</v>
      </c>
      <c r="O589">
        <v>43</v>
      </c>
    </row>
    <row r="590" spans="13:15" x14ac:dyDescent="0.25">
      <c r="M590" s="5">
        <v>43160</v>
      </c>
      <c r="N590">
        <f t="shared" si="23"/>
        <v>11</v>
      </c>
      <c r="O590">
        <v>43</v>
      </c>
    </row>
    <row r="591" spans="13:15" x14ac:dyDescent="0.25">
      <c r="M591" s="5">
        <v>43159</v>
      </c>
      <c r="N591">
        <f t="shared" ref="N591:N622" si="24">N584-1</f>
        <v>11</v>
      </c>
      <c r="O591">
        <v>43</v>
      </c>
    </row>
    <row r="592" spans="13:15" x14ac:dyDescent="0.25">
      <c r="M592" s="5">
        <v>43158</v>
      </c>
      <c r="N592">
        <f t="shared" si="24"/>
        <v>11</v>
      </c>
      <c r="O592">
        <v>43</v>
      </c>
    </row>
    <row r="593" spans="13:15" x14ac:dyDescent="0.25">
      <c r="M593" s="5">
        <v>43157</v>
      </c>
      <c r="N593">
        <f t="shared" si="24"/>
        <v>11</v>
      </c>
      <c r="O593">
        <v>43</v>
      </c>
    </row>
    <row r="594" spans="13:15" x14ac:dyDescent="0.25">
      <c r="M594" s="5">
        <v>43156</v>
      </c>
      <c r="N594">
        <f t="shared" si="24"/>
        <v>10</v>
      </c>
      <c r="O594">
        <v>43</v>
      </c>
    </row>
    <row r="595" spans="13:15" x14ac:dyDescent="0.25">
      <c r="M595" s="5">
        <v>43155</v>
      </c>
      <c r="N595">
        <f t="shared" si="24"/>
        <v>10</v>
      </c>
      <c r="O595">
        <v>43</v>
      </c>
    </row>
    <row r="596" spans="13:15" x14ac:dyDescent="0.25">
      <c r="M596" s="5">
        <v>43154</v>
      </c>
      <c r="N596">
        <f t="shared" si="24"/>
        <v>10</v>
      </c>
      <c r="O596">
        <v>43</v>
      </c>
    </row>
    <row r="597" spans="13:15" x14ac:dyDescent="0.25">
      <c r="M597" s="5">
        <v>43153</v>
      </c>
      <c r="N597">
        <f t="shared" si="24"/>
        <v>10</v>
      </c>
      <c r="O597">
        <v>43</v>
      </c>
    </row>
    <row r="598" spans="13:15" x14ac:dyDescent="0.25">
      <c r="M598" s="5">
        <v>43152</v>
      </c>
      <c r="N598">
        <f t="shared" si="24"/>
        <v>10</v>
      </c>
      <c r="O598">
        <v>43</v>
      </c>
    </row>
    <row r="599" spans="13:15" x14ac:dyDescent="0.25">
      <c r="M599" s="5">
        <v>43151</v>
      </c>
      <c r="N599">
        <f t="shared" si="24"/>
        <v>10</v>
      </c>
      <c r="O599">
        <v>43</v>
      </c>
    </row>
    <row r="600" spans="13:15" x14ac:dyDescent="0.25">
      <c r="M600" s="5">
        <v>43150</v>
      </c>
      <c r="N600">
        <f t="shared" si="24"/>
        <v>10</v>
      </c>
      <c r="O600">
        <v>43</v>
      </c>
    </row>
    <row r="601" spans="13:15" x14ac:dyDescent="0.25">
      <c r="M601" s="5">
        <v>43149</v>
      </c>
      <c r="N601">
        <f t="shared" si="24"/>
        <v>9</v>
      </c>
      <c r="O601">
        <v>43</v>
      </c>
    </row>
    <row r="602" spans="13:15" x14ac:dyDescent="0.25">
      <c r="M602" s="5">
        <v>43148</v>
      </c>
      <c r="N602">
        <f t="shared" si="24"/>
        <v>9</v>
      </c>
      <c r="O602">
        <v>43</v>
      </c>
    </row>
    <row r="603" spans="13:15" x14ac:dyDescent="0.25">
      <c r="M603" s="5">
        <v>43147</v>
      </c>
      <c r="N603">
        <f t="shared" si="24"/>
        <v>9</v>
      </c>
      <c r="O603">
        <v>43</v>
      </c>
    </row>
    <row r="604" spans="13:15" x14ac:dyDescent="0.25">
      <c r="M604" s="5">
        <v>43146</v>
      </c>
      <c r="N604">
        <f t="shared" si="24"/>
        <v>9</v>
      </c>
      <c r="O604">
        <v>43</v>
      </c>
    </row>
    <row r="605" spans="13:15" x14ac:dyDescent="0.25">
      <c r="M605" s="5">
        <v>43145</v>
      </c>
      <c r="N605">
        <f t="shared" si="24"/>
        <v>9</v>
      </c>
      <c r="O605">
        <v>43</v>
      </c>
    </row>
    <row r="606" spans="13:15" x14ac:dyDescent="0.25">
      <c r="M606" s="5">
        <v>43144</v>
      </c>
      <c r="N606">
        <f t="shared" si="24"/>
        <v>9</v>
      </c>
      <c r="O606">
        <v>43</v>
      </c>
    </row>
    <row r="607" spans="13:15" x14ac:dyDescent="0.25">
      <c r="M607" s="5">
        <v>43143</v>
      </c>
      <c r="N607">
        <f t="shared" si="24"/>
        <v>9</v>
      </c>
      <c r="O607">
        <v>43</v>
      </c>
    </row>
    <row r="608" spans="13:15" x14ac:dyDescent="0.25">
      <c r="M608" s="5">
        <v>43142</v>
      </c>
      <c r="N608">
        <f t="shared" si="24"/>
        <v>8</v>
      </c>
      <c r="O608">
        <v>43</v>
      </c>
    </row>
    <row r="609" spans="13:15" x14ac:dyDescent="0.25">
      <c r="M609" s="5">
        <v>43141</v>
      </c>
      <c r="N609">
        <f t="shared" si="24"/>
        <v>8</v>
      </c>
      <c r="O609">
        <v>43</v>
      </c>
    </row>
    <row r="610" spans="13:15" x14ac:dyDescent="0.25">
      <c r="M610" s="5">
        <v>43140</v>
      </c>
      <c r="N610">
        <f t="shared" si="24"/>
        <v>8</v>
      </c>
      <c r="O610">
        <v>43</v>
      </c>
    </row>
    <row r="611" spans="13:15" x14ac:dyDescent="0.25">
      <c r="M611" s="5">
        <v>43139</v>
      </c>
      <c r="N611">
        <f t="shared" si="24"/>
        <v>8</v>
      </c>
      <c r="O611">
        <v>43</v>
      </c>
    </row>
    <row r="612" spans="13:15" x14ac:dyDescent="0.25">
      <c r="M612" s="5">
        <v>43138</v>
      </c>
      <c r="N612">
        <f t="shared" si="24"/>
        <v>8</v>
      </c>
      <c r="O612">
        <v>43</v>
      </c>
    </row>
    <row r="613" spans="13:15" x14ac:dyDescent="0.25">
      <c r="M613" s="5">
        <v>43137</v>
      </c>
      <c r="N613">
        <f t="shared" si="24"/>
        <v>8</v>
      </c>
      <c r="O613">
        <v>43</v>
      </c>
    </row>
    <row r="614" spans="13:15" x14ac:dyDescent="0.25">
      <c r="M614" s="5">
        <v>43136</v>
      </c>
      <c r="N614">
        <f t="shared" si="24"/>
        <v>8</v>
      </c>
      <c r="O614">
        <v>43</v>
      </c>
    </row>
    <row r="615" spans="13:15" x14ac:dyDescent="0.25">
      <c r="M615" s="5">
        <v>43135</v>
      </c>
      <c r="N615">
        <f t="shared" si="24"/>
        <v>7</v>
      </c>
      <c r="O615">
        <v>43</v>
      </c>
    </row>
    <row r="616" spans="13:15" x14ac:dyDescent="0.25">
      <c r="M616" s="5">
        <v>43134</v>
      </c>
      <c r="N616">
        <f t="shared" si="24"/>
        <v>7</v>
      </c>
      <c r="O616">
        <v>43</v>
      </c>
    </row>
    <row r="617" spans="13:15" x14ac:dyDescent="0.25">
      <c r="M617" s="5">
        <v>43133</v>
      </c>
      <c r="N617">
        <f t="shared" si="24"/>
        <v>7</v>
      </c>
      <c r="O617">
        <v>43</v>
      </c>
    </row>
    <row r="618" spans="13:15" x14ac:dyDescent="0.25">
      <c r="M618" s="5">
        <v>43132</v>
      </c>
      <c r="N618">
        <f t="shared" si="24"/>
        <v>7</v>
      </c>
      <c r="O618">
        <v>43</v>
      </c>
    </row>
    <row r="619" spans="13:15" x14ac:dyDescent="0.25">
      <c r="M619" s="5">
        <v>43131</v>
      </c>
      <c r="N619">
        <f t="shared" si="24"/>
        <v>7</v>
      </c>
      <c r="O619">
        <v>43</v>
      </c>
    </row>
    <row r="620" spans="13:15" x14ac:dyDescent="0.25">
      <c r="M620" s="5">
        <v>43130</v>
      </c>
      <c r="N620">
        <f t="shared" si="24"/>
        <v>7</v>
      </c>
      <c r="O620">
        <v>43</v>
      </c>
    </row>
    <row r="621" spans="13:15" x14ac:dyDescent="0.25">
      <c r="M621" s="5">
        <v>43129</v>
      </c>
      <c r="N621">
        <f t="shared" si="24"/>
        <v>7</v>
      </c>
      <c r="O621">
        <v>43</v>
      </c>
    </row>
    <row r="622" spans="13:15" x14ac:dyDescent="0.25">
      <c r="M622" s="5">
        <v>43128</v>
      </c>
      <c r="N622">
        <f t="shared" si="24"/>
        <v>6</v>
      </c>
      <c r="O622">
        <v>43</v>
      </c>
    </row>
    <row r="623" spans="13:15" x14ac:dyDescent="0.25">
      <c r="M623" s="5">
        <v>43127</v>
      </c>
      <c r="N623">
        <f t="shared" ref="N623:N654" si="25">N616-1</f>
        <v>6</v>
      </c>
      <c r="O623">
        <v>43</v>
      </c>
    </row>
    <row r="624" spans="13:15" x14ac:dyDescent="0.25">
      <c r="M624" s="5">
        <v>43126</v>
      </c>
      <c r="N624">
        <f t="shared" si="25"/>
        <v>6</v>
      </c>
      <c r="O624">
        <v>43</v>
      </c>
    </row>
    <row r="625" spans="13:15" x14ac:dyDescent="0.25">
      <c r="M625" s="5">
        <v>43125</v>
      </c>
      <c r="N625">
        <f t="shared" si="25"/>
        <v>6</v>
      </c>
      <c r="O625">
        <v>43</v>
      </c>
    </row>
    <row r="626" spans="13:15" x14ac:dyDescent="0.25">
      <c r="M626" s="5">
        <v>43124</v>
      </c>
      <c r="N626">
        <f t="shared" si="25"/>
        <v>6</v>
      </c>
      <c r="O626">
        <v>43</v>
      </c>
    </row>
    <row r="627" spans="13:15" x14ac:dyDescent="0.25">
      <c r="M627" s="5">
        <v>43123</v>
      </c>
      <c r="N627">
        <f t="shared" si="25"/>
        <v>6</v>
      </c>
      <c r="O627">
        <v>43</v>
      </c>
    </row>
    <row r="628" spans="13:15" x14ac:dyDescent="0.25">
      <c r="M628" s="5">
        <v>43122</v>
      </c>
      <c r="N628">
        <f t="shared" si="25"/>
        <v>6</v>
      </c>
      <c r="O628">
        <v>43</v>
      </c>
    </row>
    <row r="629" spans="13:15" x14ac:dyDescent="0.25">
      <c r="M629" s="5">
        <v>43121</v>
      </c>
      <c r="N629">
        <f t="shared" si="25"/>
        <v>5</v>
      </c>
      <c r="O629">
        <v>43</v>
      </c>
    </row>
    <row r="630" spans="13:15" x14ac:dyDescent="0.25">
      <c r="M630" s="5">
        <v>43120</v>
      </c>
      <c r="N630">
        <f t="shared" si="25"/>
        <v>5</v>
      </c>
      <c r="O630">
        <v>43</v>
      </c>
    </row>
    <row r="631" spans="13:15" x14ac:dyDescent="0.25">
      <c r="M631" s="5">
        <v>43119</v>
      </c>
      <c r="N631">
        <f t="shared" si="25"/>
        <v>5</v>
      </c>
      <c r="O631">
        <v>43</v>
      </c>
    </row>
    <row r="632" spans="13:15" x14ac:dyDescent="0.25">
      <c r="M632" s="5">
        <v>43118</v>
      </c>
      <c r="N632">
        <f t="shared" si="25"/>
        <v>5</v>
      </c>
      <c r="O632">
        <v>43</v>
      </c>
    </row>
    <row r="633" spans="13:15" x14ac:dyDescent="0.25">
      <c r="M633" s="5">
        <v>43117</v>
      </c>
      <c r="N633">
        <f t="shared" si="25"/>
        <v>5</v>
      </c>
      <c r="O633">
        <v>43</v>
      </c>
    </row>
    <row r="634" spans="13:15" x14ac:dyDescent="0.25">
      <c r="M634" s="5">
        <v>43116</v>
      </c>
      <c r="N634">
        <f t="shared" si="25"/>
        <v>5</v>
      </c>
      <c r="O634">
        <v>43</v>
      </c>
    </row>
    <row r="635" spans="13:15" x14ac:dyDescent="0.25">
      <c r="M635" s="5">
        <v>43115</v>
      </c>
      <c r="N635">
        <f t="shared" si="25"/>
        <v>5</v>
      </c>
      <c r="O635">
        <v>43</v>
      </c>
    </row>
    <row r="636" spans="13:15" x14ac:dyDescent="0.25">
      <c r="M636" s="5">
        <v>43114</v>
      </c>
      <c r="N636">
        <f t="shared" si="25"/>
        <v>4</v>
      </c>
      <c r="O636">
        <v>43</v>
      </c>
    </row>
    <row r="637" spans="13:15" x14ac:dyDescent="0.25">
      <c r="M637" s="5">
        <v>43113</v>
      </c>
      <c r="N637">
        <f t="shared" si="25"/>
        <v>4</v>
      </c>
      <c r="O637">
        <v>43</v>
      </c>
    </row>
    <row r="638" spans="13:15" x14ac:dyDescent="0.25">
      <c r="M638" s="5">
        <v>43112</v>
      </c>
      <c r="N638">
        <f t="shared" si="25"/>
        <v>4</v>
      </c>
      <c r="O638">
        <v>43</v>
      </c>
    </row>
    <row r="639" spans="13:15" x14ac:dyDescent="0.25">
      <c r="M639" s="5">
        <v>43111</v>
      </c>
      <c r="N639">
        <f t="shared" si="25"/>
        <v>4</v>
      </c>
      <c r="O639">
        <v>43</v>
      </c>
    </row>
    <row r="640" spans="13:15" x14ac:dyDescent="0.25">
      <c r="M640" s="5">
        <v>43110</v>
      </c>
      <c r="N640">
        <f t="shared" si="25"/>
        <v>4</v>
      </c>
      <c r="O640">
        <v>43</v>
      </c>
    </row>
    <row r="641" spans="13:15" x14ac:dyDescent="0.25">
      <c r="M641" s="5">
        <v>43109</v>
      </c>
      <c r="N641">
        <f t="shared" si="25"/>
        <v>4</v>
      </c>
      <c r="O641">
        <v>43</v>
      </c>
    </row>
    <row r="642" spans="13:15" x14ac:dyDescent="0.25">
      <c r="M642" s="5">
        <v>43108</v>
      </c>
      <c r="N642">
        <f t="shared" si="25"/>
        <v>4</v>
      </c>
      <c r="O642">
        <v>43</v>
      </c>
    </row>
    <row r="643" spans="13:15" x14ac:dyDescent="0.25">
      <c r="M643" s="5">
        <v>43107</v>
      </c>
      <c r="N643">
        <f t="shared" si="25"/>
        <v>3</v>
      </c>
      <c r="O643">
        <v>43</v>
      </c>
    </row>
    <row r="644" spans="13:15" x14ac:dyDescent="0.25">
      <c r="M644" s="5">
        <v>43106</v>
      </c>
      <c r="N644">
        <f t="shared" si="25"/>
        <v>3</v>
      </c>
      <c r="O644">
        <v>43</v>
      </c>
    </row>
    <row r="645" spans="13:15" x14ac:dyDescent="0.25">
      <c r="M645" s="5">
        <v>43105</v>
      </c>
      <c r="N645">
        <f t="shared" si="25"/>
        <v>3</v>
      </c>
      <c r="O645">
        <v>43</v>
      </c>
    </row>
    <row r="646" spans="13:15" x14ac:dyDescent="0.25">
      <c r="M646" s="5">
        <v>43104</v>
      </c>
      <c r="N646">
        <f t="shared" si="25"/>
        <v>3</v>
      </c>
      <c r="O646">
        <v>43</v>
      </c>
    </row>
    <row r="647" spans="13:15" x14ac:dyDescent="0.25">
      <c r="M647" s="5">
        <v>43103</v>
      </c>
      <c r="N647">
        <f t="shared" si="25"/>
        <v>3</v>
      </c>
      <c r="O647">
        <v>43</v>
      </c>
    </row>
    <row r="648" spans="13:15" x14ac:dyDescent="0.25">
      <c r="M648" s="5">
        <v>43102</v>
      </c>
      <c r="N648">
        <f t="shared" si="25"/>
        <v>3</v>
      </c>
      <c r="O648">
        <v>43</v>
      </c>
    </row>
    <row r="649" spans="13:15" x14ac:dyDescent="0.25">
      <c r="M649" s="5">
        <v>43101</v>
      </c>
      <c r="N649">
        <f t="shared" si="25"/>
        <v>3</v>
      </c>
      <c r="O649">
        <v>43</v>
      </c>
    </row>
    <row r="650" spans="13:15" x14ac:dyDescent="0.25">
      <c r="M650" s="5">
        <v>43100</v>
      </c>
      <c r="N650">
        <f t="shared" si="25"/>
        <v>2</v>
      </c>
      <c r="O650">
        <v>43</v>
      </c>
    </row>
    <row r="651" spans="13:15" x14ac:dyDescent="0.25">
      <c r="M651" s="5">
        <v>43099</v>
      </c>
      <c r="N651">
        <f t="shared" si="25"/>
        <v>2</v>
      </c>
      <c r="O651">
        <v>43</v>
      </c>
    </row>
    <row r="652" spans="13:15" x14ac:dyDescent="0.25">
      <c r="M652" s="5">
        <v>43098</v>
      </c>
      <c r="N652">
        <f t="shared" si="25"/>
        <v>2</v>
      </c>
      <c r="O652">
        <v>43</v>
      </c>
    </row>
    <row r="653" spans="13:15" x14ac:dyDescent="0.25">
      <c r="M653" s="5">
        <v>43097</v>
      </c>
      <c r="N653">
        <f t="shared" si="25"/>
        <v>2</v>
      </c>
      <c r="O653">
        <v>43</v>
      </c>
    </row>
    <row r="654" spans="13:15" x14ac:dyDescent="0.25">
      <c r="M654" s="5">
        <v>43096</v>
      </c>
      <c r="N654">
        <f t="shared" si="25"/>
        <v>2</v>
      </c>
      <c r="O654">
        <v>43</v>
      </c>
    </row>
    <row r="655" spans="13:15" x14ac:dyDescent="0.25">
      <c r="M655" s="5">
        <v>43095</v>
      </c>
      <c r="N655">
        <f t="shared" ref="N655:N663" si="26">N648-1</f>
        <v>2</v>
      </c>
      <c r="O655">
        <v>43</v>
      </c>
    </row>
    <row r="656" spans="13:15" x14ac:dyDescent="0.25">
      <c r="M656" s="5">
        <v>43094</v>
      </c>
      <c r="N656">
        <f t="shared" si="26"/>
        <v>2</v>
      </c>
      <c r="O656">
        <v>43</v>
      </c>
    </row>
    <row r="657" spans="13:15" x14ac:dyDescent="0.25">
      <c r="M657" s="5">
        <v>43093</v>
      </c>
      <c r="N657">
        <f t="shared" si="26"/>
        <v>1</v>
      </c>
      <c r="O657">
        <v>43</v>
      </c>
    </row>
    <row r="658" spans="13:15" x14ac:dyDescent="0.25">
      <c r="M658" s="5">
        <v>43092</v>
      </c>
      <c r="N658">
        <f t="shared" si="26"/>
        <v>1</v>
      </c>
      <c r="O658">
        <v>43</v>
      </c>
    </row>
    <row r="659" spans="13:15" x14ac:dyDescent="0.25">
      <c r="M659" s="5">
        <v>43091</v>
      </c>
      <c r="N659">
        <f t="shared" si="26"/>
        <v>1</v>
      </c>
      <c r="O659">
        <v>43</v>
      </c>
    </row>
    <row r="660" spans="13:15" x14ac:dyDescent="0.25">
      <c r="M660" s="5">
        <v>43090</v>
      </c>
      <c r="N660">
        <f t="shared" si="26"/>
        <v>1</v>
      </c>
      <c r="O660">
        <v>43</v>
      </c>
    </row>
    <row r="661" spans="13:15" x14ac:dyDescent="0.25">
      <c r="M661" s="5">
        <v>43089</v>
      </c>
      <c r="N661">
        <f t="shared" si="26"/>
        <v>1</v>
      </c>
      <c r="O661">
        <v>43</v>
      </c>
    </row>
    <row r="662" spans="13:15" x14ac:dyDescent="0.25">
      <c r="M662" s="5">
        <v>43088</v>
      </c>
      <c r="N662">
        <f t="shared" si="26"/>
        <v>1</v>
      </c>
      <c r="O662">
        <v>43</v>
      </c>
    </row>
    <row r="663" spans="13:15" x14ac:dyDescent="0.25">
      <c r="M663" s="5">
        <v>43087</v>
      </c>
      <c r="N663">
        <f t="shared" si="26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7">N664-1</f>
        <v>15</v>
      </c>
      <c r="O671">
        <v>42</v>
      </c>
    </row>
    <row r="672" spans="13:15" x14ac:dyDescent="0.25">
      <c r="M672" s="5">
        <v>43078</v>
      </c>
      <c r="N672">
        <f t="shared" si="27"/>
        <v>15</v>
      </c>
      <c r="O672">
        <v>42</v>
      </c>
    </row>
    <row r="673" spans="13:15" x14ac:dyDescent="0.25">
      <c r="M673" s="5">
        <v>43077</v>
      </c>
      <c r="N673">
        <f t="shared" si="27"/>
        <v>15</v>
      </c>
      <c r="O673">
        <v>42</v>
      </c>
    </row>
    <row r="674" spans="13:15" x14ac:dyDescent="0.25">
      <c r="M674" s="5">
        <v>43076</v>
      </c>
      <c r="N674">
        <f t="shared" si="27"/>
        <v>15</v>
      </c>
      <c r="O674">
        <v>42</v>
      </c>
    </row>
    <row r="675" spans="13:15" x14ac:dyDescent="0.25">
      <c r="M675" s="5">
        <v>43075</v>
      </c>
      <c r="N675">
        <f t="shared" si="27"/>
        <v>15</v>
      </c>
      <c r="O675">
        <v>42</v>
      </c>
    </row>
    <row r="676" spans="13:15" x14ac:dyDescent="0.25">
      <c r="M676" s="5">
        <v>43074</v>
      </c>
      <c r="N676">
        <f t="shared" si="27"/>
        <v>15</v>
      </c>
      <c r="O676">
        <v>42</v>
      </c>
    </row>
    <row r="677" spans="13:15" x14ac:dyDescent="0.25">
      <c r="M677" s="5">
        <v>43073</v>
      </c>
      <c r="N677">
        <f t="shared" si="27"/>
        <v>15</v>
      </c>
      <c r="O677">
        <v>42</v>
      </c>
    </row>
    <row r="678" spans="13:15" x14ac:dyDescent="0.25">
      <c r="M678" s="5">
        <v>43072</v>
      </c>
      <c r="N678">
        <f t="shared" si="27"/>
        <v>14</v>
      </c>
      <c r="O678">
        <v>42</v>
      </c>
    </row>
    <row r="679" spans="13:15" x14ac:dyDescent="0.25">
      <c r="M679" s="5">
        <v>43071</v>
      </c>
      <c r="N679">
        <f t="shared" si="27"/>
        <v>14</v>
      </c>
      <c r="O679">
        <v>42</v>
      </c>
    </row>
    <row r="680" spans="13:15" x14ac:dyDescent="0.25">
      <c r="M680" s="5">
        <v>43070</v>
      </c>
      <c r="N680">
        <f t="shared" si="27"/>
        <v>14</v>
      </c>
      <c r="O680">
        <v>42</v>
      </c>
    </row>
    <row r="681" spans="13:15" x14ac:dyDescent="0.25">
      <c r="M681" s="5">
        <v>43069</v>
      </c>
      <c r="N681">
        <f t="shared" si="27"/>
        <v>14</v>
      </c>
      <c r="O681">
        <v>42</v>
      </c>
    </row>
    <row r="682" spans="13:15" x14ac:dyDescent="0.25">
      <c r="M682" s="5">
        <v>43068</v>
      </c>
      <c r="N682">
        <f t="shared" si="27"/>
        <v>14</v>
      </c>
      <c r="O682">
        <v>42</v>
      </c>
    </row>
    <row r="683" spans="13:15" x14ac:dyDescent="0.25">
      <c r="M683" s="5">
        <v>43067</v>
      </c>
      <c r="N683">
        <f t="shared" si="27"/>
        <v>14</v>
      </c>
      <c r="O683">
        <v>42</v>
      </c>
    </row>
    <row r="684" spans="13:15" x14ac:dyDescent="0.25">
      <c r="M684" s="5">
        <v>43066</v>
      </c>
      <c r="N684">
        <f t="shared" si="27"/>
        <v>14</v>
      </c>
      <c r="O684">
        <v>42</v>
      </c>
    </row>
    <row r="685" spans="13:15" x14ac:dyDescent="0.25">
      <c r="M685" s="5">
        <v>43065</v>
      </c>
      <c r="N685">
        <f t="shared" si="27"/>
        <v>13</v>
      </c>
      <c r="O685">
        <v>42</v>
      </c>
    </row>
    <row r="686" spans="13:15" x14ac:dyDescent="0.25">
      <c r="M686" s="5">
        <v>43064</v>
      </c>
      <c r="N686">
        <f t="shared" si="27"/>
        <v>13</v>
      </c>
      <c r="O686">
        <v>42</v>
      </c>
    </row>
    <row r="687" spans="13:15" x14ac:dyDescent="0.25">
      <c r="M687" s="5">
        <v>43063</v>
      </c>
      <c r="N687">
        <f t="shared" si="27"/>
        <v>13</v>
      </c>
      <c r="O687">
        <v>42</v>
      </c>
    </row>
    <row r="688" spans="13:15" x14ac:dyDescent="0.25">
      <c r="M688" s="5">
        <v>43062</v>
      </c>
      <c r="N688">
        <f t="shared" si="27"/>
        <v>13</v>
      </c>
      <c r="O688">
        <v>42</v>
      </c>
    </row>
    <row r="689" spans="13:15" x14ac:dyDescent="0.25">
      <c r="M689" s="5">
        <v>43061</v>
      </c>
      <c r="N689">
        <f t="shared" si="27"/>
        <v>13</v>
      </c>
      <c r="O689">
        <v>42</v>
      </c>
    </row>
    <row r="690" spans="13:15" x14ac:dyDescent="0.25">
      <c r="M690" s="5">
        <v>43060</v>
      </c>
      <c r="N690">
        <f t="shared" si="27"/>
        <v>13</v>
      </c>
      <c r="O690">
        <v>42</v>
      </c>
    </row>
    <row r="691" spans="13:15" x14ac:dyDescent="0.25">
      <c r="M691" s="5">
        <v>43059</v>
      </c>
      <c r="N691">
        <f t="shared" si="27"/>
        <v>13</v>
      </c>
      <c r="O691">
        <v>42</v>
      </c>
    </row>
    <row r="692" spans="13:15" x14ac:dyDescent="0.25">
      <c r="M692" s="5">
        <v>43058</v>
      </c>
      <c r="N692">
        <f t="shared" si="27"/>
        <v>12</v>
      </c>
      <c r="O692">
        <v>42</v>
      </c>
    </row>
    <row r="693" spans="13:15" x14ac:dyDescent="0.25">
      <c r="M693" s="5">
        <v>43057</v>
      </c>
      <c r="N693">
        <f t="shared" si="27"/>
        <v>12</v>
      </c>
      <c r="O693">
        <v>42</v>
      </c>
    </row>
    <row r="694" spans="13:15" x14ac:dyDescent="0.25">
      <c r="M694" s="5">
        <v>43056</v>
      </c>
      <c r="N694">
        <f t="shared" si="27"/>
        <v>12</v>
      </c>
      <c r="O694">
        <v>42</v>
      </c>
    </row>
    <row r="695" spans="13:15" x14ac:dyDescent="0.25">
      <c r="M695" s="5">
        <v>43055</v>
      </c>
      <c r="N695">
        <f t="shared" si="27"/>
        <v>12</v>
      </c>
      <c r="O695">
        <v>42</v>
      </c>
    </row>
    <row r="696" spans="13:15" x14ac:dyDescent="0.25">
      <c r="M696" s="5">
        <v>43054</v>
      </c>
      <c r="N696">
        <f t="shared" si="27"/>
        <v>12</v>
      </c>
      <c r="O696">
        <v>42</v>
      </c>
    </row>
    <row r="697" spans="13:15" x14ac:dyDescent="0.25">
      <c r="M697" s="5">
        <v>43053</v>
      </c>
      <c r="N697">
        <f t="shared" si="27"/>
        <v>12</v>
      </c>
      <c r="O697">
        <v>42</v>
      </c>
    </row>
    <row r="698" spans="13:15" x14ac:dyDescent="0.25">
      <c r="M698" s="5">
        <v>43052</v>
      </c>
      <c r="N698">
        <f t="shared" si="27"/>
        <v>12</v>
      </c>
      <c r="O698">
        <v>42</v>
      </c>
    </row>
    <row r="699" spans="13:15" x14ac:dyDescent="0.25">
      <c r="M699" s="5">
        <v>43051</v>
      </c>
      <c r="N699">
        <f t="shared" si="27"/>
        <v>11</v>
      </c>
      <c r="O699">
        <v>42</v>
      </c>
    </row>
    <row r="700" spans="13:15" x14ac:dyDescent="0.25">
      <c r="M700" s="5">
        <v>43050</v>
      </c>
      <c r="N700">
        <f t="shared" si="27"/>
        <v>11</v>
      </c>
      <c r="O700">
        <v>42</v>
      </c>
    </row>
    <row r="701" spans="13:15" x14ac:dyDescent="0.25">
      <c r="M701" s="5">
        <v>43049</v>
      </c>
      <c r="N701">
        <f t="shared" si="27"/>
        <v>11</v>
      </c>
      <c r="O701">
        <v>42</v>
      </c>
    </row>
    <row r="702" spans="13:15" x14ac:dyDescent="0.25">
      <c r="M702" s="5">
        <v>43048</v>
      </c>
      <c r="N702">
        <f t="shared" si="27"/>
        <v>11</v>
      </c>
      <c r="O702">
        <v>42</v>
      </c>
    </row>
    <row r="703" spans="13:15" x14ac:dyDescent="0.25">
      <c r="M703" s="5">
        <v>43047</v>
      </c>
      <c r="N703">
        <f t="shared" ref="N703:N734" si="28">N696-1</f>
        <v>11</v>
      </c>
      <c r="O703">
        <v>42</v>
      </c>
    </row>
    <row r="704" spans="13:15" x14ac:dyDescent="0.25">
      <c r="M704" s="5">
        <v>43046</v>
      </c>
      <c r="N704">
        <f t="shared" si="28"/>
        <v>11</v>
      </c>
      <c r="O704">
        <v>42</v>
      </c>
    </row>
    <row r="705" spans="13:15" x14ac:dyDescent="0.25">
      <c r="M705" s="5">
        <v>43045</v>
      </c>
      <c r="N705">
        <f t="shared" si="28"/>
        <v>11</v>
      </c>
      <c r="O705">
        <v>42</v>
      </c>
    </row>
    <row r="706" spans="13:15" x14ac:dyDescent="0.25">
      <c r="M706" s="5">
        <v>43044</v>
      </c>
      <c r="N706">
        <f t="shared" si="28"/>
        <v>10</v>
      </c>
      <c r="O706">
        <v>42</v>
      </c>
    </row>
    <row r="707" spans="13:15" x14ac:dyDescent="0.25">
      <c r="M707" s="5">
        <v>43043</v>
      </c>
      <c r="N707">
        <f t="shared" si="28"/>
        <v>10</v>
      </c>
      <c r="O707">
        <v>42</v>
      </c>
    </row>
    <row r="708" spans="13:15" x14ac:dyDescent="0.25">
      <c r="M708" s="5">
        <v>43042</v>
      </c>
      <c r="N708">
        <f t="shared" si="28"/>
        <v>10</v>
      </c>
      <c r="O708">
        <v>42</v>
      </c>
    </row>
    <row r="709" spans="13:15" x14ac:dyDescent="0.25">
      <c r="M709" s="5">
        <v>43041</v>
      </c>
      <c r="N709">
        <f t="shared" si="28"/>
        <v>10</v>
      </c>
      <c r="O709">
        <v>42</v>
      </c>
    </row>
    <row r="710" spans="13:15" x14ac:dyDescent="0.25">
      <c r="M710" s="5">
        <v>43040</v>
      </c>
      <c r="N710">
        <f t="shared" si="28"/>
        <v>10</v>
      </c>
      <c r="O710">
        <v>42</v>
      </c>
    </row>
    <row r="711" spans="13:15" x14ac:dyDescent="0.25">
      <c r="M711" s="5">
        <v>43039</v>
      </c>
      <c r="N711">
        <f t="shared" si="28"/>
        <v>10</v>
      </c>
      <c r="O711">
        <v>42</v>
      </c>
    </row>
    <row r="712" spans="13:15" x14ac:dyDescent="0.25">
      <c r="M712" s="5">
        <v>43038</v>
      </c>
      <c r="N712">
        <f t="shared" si="28"/>
        <v>10</v>
      </c>
      <c r="O712">
        <v>42</v>
      </c>
    </row>
    <row r="713" spans="13:15" x14ac:dyDescent="0.25">
      <c r="M713" s="5">
        <v>43037</v>
      </c>
      <c r="N713">
        <f t="shared" si="28"/>
        <v>9</v>
      </c>
      <c r="O713">
        <v>42</v>
      </c>
    </row>
    <row r="714" spans="13:15" x14ac:dyDescent="0.25">
      <c r="M714" s="5">
        <v>43036</v>
      </c>
      <c r="N714">
        <f t="shared" si="28"/>
        <v>9</v>
      </c>
      <c r="O714">
        <v>42</v>
      </c>
    </row>
    <row r="715" spans="13:15" x14ac:dyDescent="0.25">
      <c r="M715" s="5">
        <v>43035</v>
      </c>
      <c r="N715">
        <f t="shared" si="28"/>
        <v>9</v>
      </c>
      <c r="O715">
        <v>42</v>
      </c>
    </row>
    <row r="716" spans="13:15" x14ac:dyDescent="0.25">
      <c r="M716" s="5">
        <v>43034</v>
      </c>
      <c r="N716">
        <f t="shared" si="28"/>
        <v>9</v>
      </c>
      <c r="O716">
        <v>42</v>
      </c>
    </row>
    <row r="717" spans="13:15" x14ac:dyDescent="0.25">
      <c r="M717" s="5">
        <v>43033</v>
      </c>
      <c r="N717">
        <f t="shared" si="28"/>
        <v>9</v>
      </c>
      <c r="O717">
        <v>42</v>
      </c>
    </row>
    <row r="718" spans="13:15" x14ac:dyDescent="0.25">
      <c r="M718" s="5">
        <v>43032</v>
      </c>
      <c r="N718">
        <f t="shared" si="28"/>
        <v>9</v>
      </c>
      <c r="O718">
        <v>42</v>
      </c>
    </row>
    <row r="719" spans="13:15" x14ac:dyDescent="0.25">
      <c r="M719" s="5">
        <v>43031</v>
      </c>
      <c r="N719">
        <f t="shared" si="28"/>
        <v>9</v>
      </c>
      <c r="O719">
        <v>42</v>
      </c>
    </row>
    <row r="720" spans="13:15" x14ac:dyDescent="0.25">
      <c r="M720" s="5">
        <v>43030</v>
      </c>
      <c r="N720">
        <f t="shared" si="28"/>
        <v>8</v>
      </c>
      <c r="O720">
        <v>42</v>
      </c>
    </row>
    <row r="721" spans="13:15" x14ac:dyDescent="0.25">
      <c r="M721" s="5">
        <v>43029</v>
      </c>
      <c r="N721">
        <f t="shared" si="28"/>
        <v>8</v>
      </c>
      <c r="O721">
        <v>42</v>
      </c>
    </row>
    <row r="722" spans="13:15" x14ac:dyDescent="0.25">
      <c r="M722" s="5">
        <v>43028</v>
      </c>
      <c r="N722">
        <f t="shared" si="28"/>
        <v>8</v>
      </c>
      <c r="O722">
        <v>42</v>
      </c>
    </row>
    <row r="723" spans="13:15" x14ac:dyDescent="0.25">
      <c r="M723" s="5">
        <v>43027</v>
      </c>
      <c r="N723">
        <f t="shared" si="28"/>
        <v>8</v>
      </c>
      <c r="O723">
        <v>42</v>
      </c>
    </row>
    <row r="724" spans="13:15" x14ac:dyDescent="0.25">
      <c r="M724" s="5">
        <v>43026</v>
      </c>
      <c r="N724">
        <f t="shared" si="28"/>
        <v>8</v>
      </c>
      <c r="O724">
        <v>42</v>
      </c>
    </row>
    <row r="725" spans="13:15" x14ac:dyDescent="0.25">
      <c r="M725" s="5">
        <v>43025</v>
      </c>
      <c r="N725">
        <f t="shared" si="28"/>
        <v>8</v>
      </c>
      <c r="O725">
        <v>42</v>
      </c>
    </row>
    <row r="726" spans="13:15" x14ac:dyDescent="0.25">
      <c r="M726" s="5">
        <v>43024</v>
      </c>
      <c r="N726">
        <f t="shared" si="28"/>
        <v>8</v>
      </c>
      <c r="O726">
        <v>42</v>
      </c>
    </row>
    <row r="727" spans="13:15" x14ac:dyDescent="0.25">
      <c r="M727" s="5">
        <v>43023</v>
      </c>
      <c r="N727">
        <f t="shared" si="28"/>
        <v>7</v>
      </c>
      <c r="O727">
        <v>42</v>
      </c>
    </row>
    <row r="728" spans="13:15" x14ac:dyDescent="0.25">
      <c r="M728" s="5">
        <v>43022</v>
      </c>
      <c r="N728">
        <f t="shared" si="28"/>
        <v>7</v>
      </c>
      <c r="O728">
        <v>42</v>
      </c>
    </row>
    <row r="729" spans="13:15" x14ac:dyDescent="0.25">
      <c r="M729" s="5">
        <v>43021</v>
      </c>
      <c r="N729">
        <f t="shared" si="28"/>
        <v>7</v>
      </c>
      <c r="O729">
        <v>42</v>
      </c>
    </row>
    <row r="730" spans="13:15" x14ac:dyDescent="0.25">
      <c r="M730" s="5">
        <v>43020</v>
      </c>
      <c r="N730">
        <f t="shared" si="28"/>
        <v>7</v>
      </c>
      <c r="O730">
        <v>42</v>
      </c>
    </row>
    <row r="731" spans="13:15" x14ac:dyDescent="0.25">
      <c r="M731" s="5">
        <v>43019</v>
      </c>
      <c r="N731">
        <f t="shared" si="28"/>
        <v>7</v>
      </c>
      <c r="O731">
        <v>42</v>
      </c>
    </row>
    <row r="732" spans="13:15" x14ac:dyDescent="0.25">
      <c r="M732" s="5">
        <v>43018</v>
      </c>
      <c r="N732">
        <f t="shared" si="28"/>
        <v>7</v>
      </c>
      <c r="O732">
        <v>42</v>
      </c>
    </row>
    <row r="733" spans="13:15" x14ac:dyDescent="0.25">
      <c r="M733" s="5">
        <v>43017</v>
      </c>
      <c r="N733">
        <f t="shared" si="28"/>
        <v>7</v>
      </c>
      <c r="O733">
        <v>42</v>
      </c>
    </row>
    <row r="734" spans="13:15" x14ac:dyDescent="0.25">
      <c r="M734" s="5">
        <v>43016</v>
      </c>
      <c r="N734">
        <f t="shared" si="28"/>
        <v>6</v>
      </c>
      <c r="O734">
        <v>42</v>
      </c>
    </row>
    <row r="735" spans="13:15" x14ac:dyDescent="0.25">
      <c r="M735" s="5">
        <v>43015</v>
      </c>
      <c r="N735">
        <f t="shared" ref="N735:N766" si="29">N728-1</f>
        <v>6</v>
      </c>
      <c r="O735">
        <v>42</v>
      </c>
    </row>
    <row r="736" spans="13:15" x14ac:dyDescent="0.25">
      <c r="M736" s="5">
        <v>43014</v>
      </c>
      <c r="N736">
        <f t="shared" si="29"/>
        <v>6</v>
      </c>
      <c r="O736">
        <v>42</v>
      </c>
    </row>
    <row r="737" spans="13:15" x14ac:dyDescent="0.25">
      <c r="M737" s="5">
        <v>43013</v>
      </c>
      <c r="N737">
        <f t="shared" si="29"/>
        <v>6</v>
      </c>
      <c r="O737">
        <v>42</v>
      </c>
    </row>
    <row r="738" spans="13:15" x14ac:dyDescent="0.25">
      <c r="M738" s="5">
        <v>43012</v>
      </c>
      <c r="N738">
        <f t="shared" si="29"/>
        <v>6</v>
      </c>
      <c r="O738">
        <v>42</v>
      </c>
    </row>
    <row r="739" spans="13:15" x14ac:dyDescent="0.25">
      <c r="M739" s="5">
        <v>43011</v>
      </c>
      <c r="N739">
        <f t="shared" si="29"/>
        <v>6</v>
      </c>
      <c r="O739">
        <v>42</v>
      </c>
    </row>
    <row r="740" spans="13:15" x14ac:dyDescent="0.25">
      <c r="M740" s="5">
        <v>43010</v>
      </c>
      <c r="N740">
        <f t="shared" si="29"/>
        <v>6</v>
      </c>
      <c r="O740">
        <v>42</v>
      </c>
    </row>
    <row r="741" spans="13:15" x14ac:dyDescent="0.25">
      <c r="M741" s="5">
        <v>43009</v>
      </c>
      <c r="N741">
        <f t="shared" si="29"/>
        <v>5</v>
      </c>
      <c r="O741">
        <v>42</v>
      </c>
    </row>
    <row r="742" spans="13:15" x14ac:dyDescent="0.25">
      <c r="M742" s="5">
        <v>43008</v>
      </c>
      <c r="N742">
        <f t="shared" si="29"/>
        <v>5</v>
      </c>
      <c r="O742">
        <v>42</v>
      </c>
    </row>
    <row r="743" spans="13:15" x14ac:dyDescent="0.25">
      <c r="M743" s="5">
        <v>43007</v>
      </c>
      <c r="N743">
        <f t="shared" si="29"/>
        <v>5</v>
      </c>
      <c r="O743">
        <v>42</v>
      </c>
    </row>
    <row r="744" spans="13:15" x14ac:dyDescent="0.25">
      <c r="M744" s="5">
        <v>43006</v>
      </c>
      <c r="N744">
        <f t="shared" si="29"/>
        <v>5</v>
      </c>
      <c r="O744">
        <v>42</v>
      </c>
    </row>
    <row r="745" spans="13:15" x14ac:dyDescent="0.25">
      <c r="M745" s="5">
        <v>43005</v>
      </c>
      <c r="N745">
        <f t="shared" si="29"/>
        <v>5</v>
      </c>
      <c r="O745">
        <v>42</v>
      </c>
    </row>
    <row r="746" spans="13:15" x14ac:dyDescent="0.25">
      <c r="M746" s="5">
        <v>43004</v>
      </c>
      <c r="N746">
        <f t="shared" si="29"/>
        <v>5</v>
      </c>
      <c r="O746">
        <v>42</v>
      </c>
    </row>
    <row r="747" spans="13:15" x14ac:dyDescent="0.25">
      <c r="M747" s="5">
        <v>43003</v>
      </c>
      <c r="N747">
        <f t="shared" si="29"/>
        <v>5</v>
      </c>
      <c r="O747">
        <v>42</v>
      </c>
    </row>
    <row r="748" spans="13:15" x14ac:dyDescent="0.25">
      <c r="M748" s="5">
        <v>43002</v>
      </c>
      <c r="N748">
        <f t="shared" si="29"/>
        <v>4</v>
      </c>
      <c r="O748">
        <v>42</v>
      </c>
    </row>
    <row r="749" spans="13:15" x14ac:dyDescent="0.25">
      <c r="M749" s="5">
        <v>43001</v>
      </c>
      <c r="N749">
        <f t="shared" si="29"/>
        <v>4</v>
      </c>
      <c r="O749">
        <v>42</v>
      </c>
    </row>
    <row r="750" spans="13:15" x14ac:dyDescent="0.25">
      <c r="M750" s="5">
        <v>43000</v>
      </c>
      <c r="N750">
        <f t="shared" si="29"/>
        <v>4</v>
      </c>
      <c r="O750">
        <v>42</v>
      </c>
    </row>
    <row r="751" spans="13:15" x14ac:dyDescent="0.25">
      <c r="M751" s="5">
        <v>42999</v>
      </c>
      <c r="N751">
        <f t="shared" si="29"/>
        <v>4</v>
      </c>
      <c r="O751">
        <v>42</v>
      </c>
    </row>
    <row r="752" spans="13:15" x14ac:dyDescent="0.25">
      <c r="M752" s="5">
        <v>42998</v>
      </c>
      <c r="N752">
        <f t="shared" si="29"/>
        <v>4</v>
      </c>
      <c r="O752">
        <v>42</v>
      </c>
    </row>
    <row r="753" spans="13:15" x14ac:dyDescent="0.25">
      <c r="M753" s="5">
        <v>42997</v>
      </c>
      <c r="N753">
        <f t="shared" si="29"/>
        <v>4</v>
      </c>
      <c r="O753">
        <v>42</v>
      </c>
    </row>
    <row r="754" spans="13:15" x14ac:dyDescent="0.25">
      <c r="M754" s="5">
        <v>42996</v>
      </c>
      <c r="N754">
        <f t="shared" si="29"/>
        <v>4</v>
      </c>
      <c r="O754">
        <v>42</v>
      </c>
    </row>
    <row r="755" spans="13:15" x14ac:dyDescent="0.25">
      <c r="M755" s="5">
        <v>42995</v>
      </c>
      <c r="N755">
        <f t="shared" si="29"/>
        <v>3</v>
      </c>
      <c r="O755">
        <v>42</v>
      </c>
    </row>
    <row r="756" spans="13:15" x14ac:dyDescent="0.25">
      <c r="M756" s="5">
        <v>42994</v>
      </c>
      <c r="N756">
        <f t="shared" si="29"/>
        <v>3</v>
      </c>
      <c r="O756">
        <v>42</v>
      </c>
    </row>
    <row r="757" spans="13:15" x14ac:dyDescent="0.25">
      <c r="M757" s="5">
        <v>42993</v>
      </c>
      <c r="N757">
        <f t="shared" si="29"/>
        <v>3</v>
      </c>
      <c r="O757">
        <v>42</v>
      </c>
    </row>
    <row r="758" spans="13:15" x14ac:dyDescent="0.25">
      <c r="M758" s="5">
        <v>42992</v>
      </c>
      <c r="N758">
        <f t="shared" si="29"/>
        <v>3</v>
      </c>
      <c r="O758">
        <v>42</v>
      </c>
    </row>
    <row r="759" spans="13:15" x14ac:dyDescent="0.25">
      <c r="M759" s="5">
        <v>42991</v>
      </c>
      <c r="N759">
        <f t="shared" si="29"/>
        <v>3</v>
      </c>
      <c r="O759">
        <v>42</v>
      </c>
    </row>
    <row r="760" spans="13:15" x14ac:dyDescent="0.25">
      <c r="M760" s="5">
        <v>42990</v>
      </c>
      <c r="N760">
        <f t="shared" si="29"/>
        <v>3</v>
      </c>
      <c r="O760">
        <v>42</v>
      </c>
    </row>
    <row r="761" spans="13:15" x14ac:dyDescent="0.25">
      <c r="M761" s="5">
        <v>42989</v>
      </c>
      <c r="N761">
        <f t="shared" si="29"/>
        <v>3</v>
      </c>
      <c r="O761">
        <v>42</v>
      </c>
    </row>
    <row r="762" spans="13:15" x14ac:dyDescent="0.25">
      <c r="M762" s="5">
        <v>42988</v>
      </c>
      <c r="N762">
        <f t="shared" si="29"/>
        <v>2</v>
      </c>
      <c r="O762">
        <v>42</v>
      </c>
    </row>
    <row r="763" spans="13:15" x14ac:dyDescent="0.25">
      <c r="M763" s="5">
        <v>42987</v>
      </c>
      <c r="N763">
        <f t="shared" si="29"/>
        <v>2</v>
      </c>
      <c r="O763">
        <v>42</v>
      </c>
    </row>
    <row r="764" spans="13:15" x14ac:dyDescent="0.25">
      <c r="M764" s="5">
        <v>42986</v>
      </c>
      <c r="N764">
        <f t="shared" si="29"/>
        <v>2</v>
      </c>
      <c r="O764">
        <v>42</v>
      </c>
    </row>
    <row r="765" spans="13:15" x14ac:dyDescent="0.25">
      <c r="M765" s="5">
        <v>42985</v>
      </c>
      <c r="N765">
        <f t="shared" si="29"/>
        <v>2</v>
      </c>
      <c r="O765">
        <v>42</v>
      </c>
    </row>
    <row r="766" spans="13:15" x14ac:dyDescent="0.25">
      <c r="M766" s="5">
        <v>42984</v>
      </c>
      <c r="N766">
        <f t="shared" si="29"/>
        <v>2</v>
      </c>
      <c r="O766">
        <v>42</v>
      </c>
    </row>
    <row r="767" spans="13:15" x14ac:dyDescent="0.25">
      <c r="M767" s="5">
        <v>42983</v>
      </c>
      <c r="N767">
        <f t="shared" ref="N767:N775" si="30">N760-1</f>
        <v>2</v>
      </c>
      <c r="O767">
        <v>42</v>
      </c>
    </row>
    <row r="768" spans="13:15" x14ac:dyDescent="0.25">
      <c r="M768" s="5">
        <v>42982</v>
      </c>
      <c r="N768">
        <f t="shared" si="30"/>
        <v>2</v>
      </c>
      <c r="O768">
        <v>42</v>
      </c>
    </row>
    <row r="769" spans="13:15" x14ac:dyDescent="0.25">
      <c r="M769" s="5">
        <v>42981</v>
      </c>
      <c r="N769">
        <f t="shared" si="30"/>
        <v>1</v>
      </c>
      <c r="O769">
        <v>42</v>
      </c>
    </row>
    <row r="770" spans="13:15" x14ac:dyDescent="0.25">
      <c r="M770" s="5">
        <v>42980</v>
      </c>
      <c r="N770">
        <f t="shared" si="30"/>
        <v>1</v>
      </c>
      <c r="O770">
        <v>42</v>
      </c>
    </row>
    <row r="771" spans="13:15" x14ac:dyDescent="0.25">
      <c r="M771" s="5">
        <v>42979</v>
      </c>
      <c r="N771">
        <f t="shared" si="30"/>
        <v>1</v>
      </c>
      <c r="O771">
        <v>42</v>
      </c>
    </row>
    <row r="772" spans="13:15" x14ac:dyDescent="0.25">
      <c r="M772" s="5">
        <v>42978</v>
      </c>
      <c r="N772">
        <f t="shared" si="30"/>
        <v>1</v>
      </c>
      <c r="O772">
        <v>42</v>
      </c>
    </row>
    <row r="773" spans="13:15" x14ac:dyDescent="0.25">
      <c r="M773" s="5">
        <v>42977</v>
      </c>
      <c r="N773">
        <f t="shared" si="30"/>
        <v>1</v>
      </c>
      <c r="O773">
        <v>42</v>
      </c>
    </row>
    <row r="774" spans="13:15" x14ac:dyDescent="0.25">
      <c r="M774" s="5">
        <v>42976</v>
      </c>
      <c r="N774">
        <f t="shared" si="30"/>
        <v>1</v>
      </c>
      <c r="O774">
        <v>42</v>
      </c>
    </row>
    <row r="775" spans="13:15" x14ac:dyDescent="0.25">
      <c r="M775" s="5">
        <v>42975</v>
      </c>
      <c r="N775">
        <f t="shared" si="30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1">N776-1</f>
        <v>15</v>
      </c>
      <c r="O783">
        <v>41</v>
      </c>
    </row>
    <row r="784" spans="13:15" x14ac:dyDescent="0.25">
      <c r="M784" s="5">
        <v>42966</v>
      </c>
      <c r="N784">
        <f t="shared" si="31"/>
        <v>15</v>
      </c>
      <c r="O784">
        <v>41</v>
      </c>
    </row>
    <row r="785" spans="13:15" x14ac:dyDescent="0.25">
      <c r="M785" s="5">
        <v>42965</v>
      </c>
      <c r="N785">
        <f t="shared" si="31"/>
        <v>15</v>
      </c>
      <c r="O785">
        <v>41</v>
      </c>
    </row>
    <row r="786" spans="13:15" x14ac:dyDescent="0.25">
      <c r="M786" s="5">
        <v>42964</v>
      </c>
      <c r="N786">
        <f t="shared" si="31"/>
        <v>15</v>
      </c>
      <c r="O786">
        <v>41</v>
      </c>
    </row>
    <row r="787" spans="13:15" x14ac:dyDescent="0.25">
      <c r="M787" s="5">
        <v>42963</v>
      </c>
      <c r="N787">
        <f t="shared" si="31"/>
        <v>15</v>
      </c>
      <c r="O787">
        <v>41</v>
      </c>
    </row>
    <row r="788" spans="13:15" x14ac:dyDescent="0.25">
      <c r="M788" s="5">
        <v>42962</v>
      </c>
      <c r="N788">
        <f t="shared" si="31"/>
        <v>15</v>
      </c>
      <c r="O788">
        <v>41</v>
      </c>
    </row>
    <row r="789" spans="13:15" x14ac:dyDescent="0.25">
      <c r="M789" s="5">
        <v>42961</v>
      </c>
      <c r="N789">
        <f t="shared" si="31"/>
        <v>15</v>
      </c>
      <c r="O789">
        <v>41</v>
      </c>
    </row>
    <row r="790" spans="13:15" x14ac:dyDescent="0.25">
      <c r="M790" s="5">
        <v>42960</v>
      </c>
      <c r="N790">
        <f t="shared" si="31"/>
        <v>14</v>
      </c>
      <c r="O790">
        <v>41</v>
      </c>
    </row>
    <row r="791" spans="13:15" x14ac:dyDescent="0.25">
      <c r="M791" s="5">
        <v>42959</v>
      </c>
      <c r="N791">
        <f t="shared" si="31"/>
        <v>14</v>
      </c>
      <c r="O791">
        <v>41</v>
      </c>
    </row>
    <row r="792" spans="13:15" x14ac:dyDescent="0.25">
      <c r="M792" s="5">
        <v>42958</v>
      </c>
      <c r="N792">
        <f t="shared" si="31"/>
        <v>14</v>
      </c>
      <c r="O792">
        <v>41</v>
      </c>
    </row>
    <row r="793" spans="13:15" x14ac:dyDescent="0.25">
      <c r="M793" s="5">
        <v>42957</v>
      </c>
      <c r="N793">
        <f t="shared" si="31"/>
        <v>14</v>
      </c>
      <c r="O793">
        <v>41</v>
      </c>
    </row>
    <row r="794" spans="13:15" x14ac:dyDescent="0.25">
      <c r="M794" s="5">
        <v>42956</v>
      </c>
      <c r="N794">
        <f t="shared" si="31"/>
        <v>14</v>
      </c>
      <c r="O794">
        <v>41</v>
      </c>
    </row>
    <row r="795" spans="13:15" x14ac:dyDescent="0.25">
      <c r="M795" s="5">
        <v>42955</v>
      </c>
      <c r="N795">
        <f t="shared" si="31"/>
        <v>14</v>
      </c>
      <c r="O795">
        <v>41</v>
      </c>
    </row>
    <row r="796" spans="13:15" x14ac:dyDescent="0.25">
      <c r="M796" s="5">
        <v>42954</v>
      </c>
      <c r="N796">
        <f t="shared" si="31"/>
        <v>14</v>
      </c>
      <c r="O796">
        <v>41</v>
      </c>
    </row>
    <row r="797" spans="13:15" x14ac:dyDescent="0.25">
      <c r="M797" s="5">
        <v>42953</v>
      </c>
      <c r="N797">
        <f t="shared" si="31"/>
        <v>13</v>
      </c>
      <c r="O797">
        <v>41</v>
      </c>
    </row>
    <row r="798" spans="13:15" x14ac:dyDescent="0.25">
      <c r="M798" s="5">
        <v>42952</v>
      </c>
      <c r="N798">
        <f t="shared" si="31"/>
        <v>13</v>
      </c>
      <c r="O798">
        <v>41</v>
      </c>
    </row>
    <row r="799" spans="13:15" x14ac:dyDescent="0.25">
      <c r="M799" s="5">
        <v>42951</v>
      </c>
      <c r="N799">
        <f t="shared" si="31"/>
        <v>13</v>
      </c>
      <c r="O799">
        <v>41</v>
      </c>
    </row>
    <row r="800" spans="13:15" x14ac:dyDescent="0.25">
      <c r="M800" s="5">
        <v>42950</v>
      </c>
      <c r="N800">
        <f t="shared" si="31"/>
        <v>13</v>
      </c>
      <c r="O800">
        <v>41</v>
      </c>
    </row>
    <row r="801" spans="13:15" x14ac:dyDescent="0.25">
      <c r="M801" s="5">
        <v>42949</v>
      </c>
      <c r="N801">
        <f t="shared" si="31"/>
        <v>13</v>
      </c>
      <c r="O801">
        <v>41</v>
      </c>
    </row>
    <row r="802" spans="13:15" x14ac:dyDescent="0.25">
      <c r="M802" s="5">
        <v>42948</v>
      </c>
      <c r="N802">
        <f t="shared" si="31"/>
        <v>13</v>
      </c>
      <c r="O802">
        <v>41</v>
      </c>
    </row>
    <row r="803" spans="13:15" x14ac:dyDescent="0.25">
      <c r="M803" s="5">
        <v>42947</v>
      </c>
      <c r="N803">
        <f t="shared" si="31"/>
        <v>13</v>
      </c>
      <c r="O803">
        <v>41</v>
      </c>
    </row>
    <row r="804" spans="13:15" x14ac:dyDescent="0.25">
      <c r="M804" s="5">
        <v>42946</v>
      </c>
      <c r="N804">
        <f t="shared" si="31"/>
        <v>12</v>
      </c>
      <c r="O804">
        <v>41</v>
      </c>
    </row>
    <row r="805" spans="13:15" x14ac:dyDescent="0.25">
      <c r="M805" s="5">
        <v>42945</v>
      </c>
      <c r="N805">
        <f t="shared" si="31"/>
        <v>12</v>
      </c>
      <c r="O805">
        <v>41</v>
      </c>
    </row>
    <row r="806" spans="13:15" x14ac:dyDescent="0.25">
      <c r="M806" s="5">
        <v>42944</v>
      </c>
      <c r="N806">
        <f t="shared" si="31"/>
        <v>12</v>
      </c>
      <c r="O806">
        <v>41</v>
      </c>
    </row>
    <row r="807" spans="13:15" x14ac:dyDescent="0.25">
      <c r="M807" s="5">
        <v>42943</v>
      </c>
      <c r="N807">
        <f t="shared" si="31"/>
        <v>12</v>
      </c>
      <c r="O807">
        <v>41</v>
      </c>
    </row>
    <row r="808" spans="13:15" x14ac:dyDescent="0.25">
      <c r="M808" s="5">
        <v>42942</v>
      </c>
      <c r="N808">
        <f t="shared" si="31"/>
        <v>12</v>
      </c>
      <c r="O808">
        <v>41</v>
      </c>
    </row>
    <row r="809" spans="13:15" x14ac:dyDescent="0.25">
      <c r="M809" s="5">
        <v>42941</v>
      </c>
      <c r="N809">
        <f t="shared" si="31"/>
        <v>12</v>
      </c>
      <c r="O809">
        <v>41</v>
      </c>
    </row>
    <row r="810" spans="13:15" x14ac:dyDescent="0.25">
      <c r="M810" s="5">
        <v>42940</v>
      </c>
      <c r="N810">
        <f t="shared" si="31"/>
        <v>12</v>
      </c>
      <c r="O810">
        <v>41</v>
      </c>
    </row>
    <row r="811" spans="13:15" x14ac:dyDescent="0.25">
      <c r="M811" s="5">
        <v>42939</v>
      </c>
      <c r="N811">
        <f t="shared" si="31"/>
        <v>11</v>
      </c>
      <c r="O811">
        <v>41</v>
      </c>
    </row>
    <row r="812" spans="13:15" x14ac:dyDescent="0.25">
      <c r="M812" s="5">
        <v>42938</v>
      </c>
      <c r="N812">
        <f t="shared" si="31"/>
        <v>11</v>
      </c>
      <c r="O812">
        <v>41</v>
      </c>
    </row>
    <row r="813" spans="13:15" x14ac:dyDescent="0.25">
      <c r="M813" s="5">
        <v>42937</v>
      </c>
      <c r="N813">
        <f t="shared" si="31"/>
        <v>11</v>
      </c>
      <c r="O813">
        <v>41</v>
      </c>
    </row>
    <row r="814" spans="13:15" x14ac:dyDescent="0.25">
      <c r="M814" s="5">
        <v>42936</v>
      </c>
      <c r="N814">
        <f t="shared" si="31"/>
        <v>11</v>
      </c>
      <c r="O814">
        <v>41</v>
      </c>
    </row>
    <row r="815" spans="13:15" x14ac:dyDescent="0.25">
      <c r="M815" s="5">
        <v>42935</v>
      </c>
      <c r="N815">
        <f t="shared" ref="N815:N846" si="32">N808-1</f>
        <v>11</v>
      </c>
      <c r="O815">
        <v>41</v>
      </c>
    </row>
    <row r="816" spans="13:15" x14ac:dyDescent="0.25">
      <c r="M816" s="5">
        <v>42934</v>
      </c>
      <c r="N816">
        <f t="shared" si="32"/>
        <v>11</v>
      </c>
      <c r="O816">
        <v>41</v>
      </c>
    </row>
    <row r="817" spans="13:15" x14ac:dyDescent="0.25">
      <c r="M817" s="5">
        <v>42933</v>
      </c>
      <c r="N817">
        <f t="shared" si="32"/>
        <v>11</v>
      </c>
      <c r="O817">
        <v>41</v>
      </c>
    </row>
    <row r="818" spans="13:15" x14ac:dyDescent="0.25">
      <c r="M818" s="5">
        <v>42932</v>
      </c>
      <c r="N818">
        <f t="shared" si="32"/>
        <v>10</v>
      </c>
      <c r="O818">
        <v>41</v>
      </c>
    </row>
    <row r="819" spans="13:15" x14ac:dyDescent="0.25">
      <c r="M819" s="5">
        <v>42931</v>
      </c>
      <c r="N819">
        <f t="shared" si="32"/>
        <v>10</v>
      </c>
      <c r="O819">
        <v>41</v>
      </c>
    </row>
    <row r="820" spans="13:15" x14ac:dyDescent="0.25">
      <c r="M820" s="5">
        <v>42930</v>
      </c>
      <c r="N820">
        <f t="shared" si="32"/>
        <v>10</v>
      </c>
      <c r="O820">
        <v>41</v>
      </c>
    </row>
    <row r="821" spans="13:15" x14ac:dyDescent="0.25">
      <c r="M821" s="5">
        <v>42929</v>
      </c>
      <c r="N821">
        <f t="shared" si="32"/>
        <v>10</v>
      </c>
      <c r="O821">
        <v>41</v>
      </c>
    </row>
    <row r="822" spans="13:15" x14ac:dyDescent="0.25">
      <c r="M822" s="5">
        <v>42928</v>
      </c>
      <c r="N822">
        <f t="shared" si="32"/>
        <v>10</v>
      </c>
      <c r="O822">
        <v>41</v>
      </c>
    </row>
    <row r="823" spans="13:15" x14ac:dyDescent="0.25">
      <c r="M823" s="5">
        <v>42927</v>
      </c>
      <c r="N823">
        <f t="shared" si="32"/>
        <v>10</v>
      </c>
      <c r="O823">
        <v>41</v>
      </c>
    </row>
    <row r="824" spans="13:15" x14ac:dyDescent="0.25">
      <c r="M824" s="5">
        <v>42926</v>
      </c>
      <c r="N824">
        <f t="shared" si="32"/>
        <v>10</v>
      </c>
      <c r="O824">
        <v>41</v>
      </c>
    </row>
    <row r="825" spans="13:15" x14ac:dyDescent="0.25">
      <c r="M825" s="5">
        <v>42925</v>
      </c>
      <c r="N825">
        <f t="shared" si="32"/>
        <v>9</v>
      </c>
      <c r="O825">
        <v>41</v>
      </c>
    </row>
    <row r="826" spans="13:15" x14ac:dyDescent="0.25">
      <c r="M826" s="5">
        <v>42924</v>
      </c>
      <c r="N826">
        <f t="shared" si="32"/>
        <v>9</v>
      </c>
      <c r="O826">
        <v>41</v>
      </c>
    </row>
    <row r="827" spans="13:15" x14ac:dyDescent="0.25">
      <c r="M827" s="5">
        <v>42923</v>
      </c>
      <c r="N827">
        <f t="shared" si="32"/>
        <v>9</v>
      </c>
      <c r="O827">
        <v>41</v>
      </c>
    </row>
    <row r="828" spans="13:15" x14ac:dyDescent="0.25">
      <c r="M828" s="5">
        <v>42922</v>
      </c>
      <c r="N828">
        <f t="shared" si="32"/>
        <v>9</v>
      </c>
      <c r="O828">
        <v>41</v>
      </c>
    </row>
    <row r="829" spans="13:15" x14ac:dyDescent="0.25">
      <c r="M829" s="5">
        <v>42921</v>
      </c>
      <c r="N829">
        <f t="shared" si="32"/>
        <v>9</v>
      </c>
      <c r="O829">
        <v>41</v>
      </c>
    </row>
    <row r="830" spans="13:15" x14ac:dyDescent="0.25">
      <c r="M830" s="5">
        <v>42920</v>
      </c>
      <c r="N830">
        <f t="shared" si="32"/>
        <v>9</v>
      </c>
      <c r="O830">
        <v>41</v>
      </c>
    </row>
    <row r="831" spans="13:15" x14ac:dyDescent="0.25">
      <c r="M831" s="5">
        <v>42919</v>
      </c>
      <c r="N831">
        <f t="shared" si="32"/>
        <v>9</v>
      </c>
      <c r="O831">
        <v>41</v>
      </c>
    </row>
    <row r="832" spans="13:15" x14ac:dyDescent="0.25">
      <c r="M832" s="5">
        <v>42918</v>
      </c>
      <c r="N832">
        <f t="shared" si="32"/>
        <v>8</v>
      </c>
      <c r="O832">
        <v>41</v>
      </c>
    </row>
    <row r="833" spans="13:15" x14ac:dyDescent="0.25">
      <c r="M833" s="5">
        <v>42917</v>
      </c>
      <c r="N833">
        <f t="shared" si="32"/>
        <v>8</v>
      </c>
      <c r="O833">
        <v>41</v>
      </c>
    </row>
    <row r="834" spans="13:15" x14ac:dyDescent="0.25">
      <c r="M834" s="5">
        <v>42916</v>
      </c>
      <c r="N834">
        <f t="shared" si="32"/>
        <v>8</v>
      </c>
      <c r="O834">
        <v>41</v>
      </c>
    </row>
    <row r="835" spans="13:15" x14ac:dyDescent="0.25">
      <c r="M835" s="5">
        <v>42915</v>
      </c>
      <c r="N835">
        <f t="shared" si="32"/>
        <v>8</v>
      </c>
      <c r="O835">
        <v>41</v>
      </c>
    </row>
    <row r="836" spans="13:15" x14ac:dyDescent="0.25">
      <c r="M836" s="5">
        <v>42914</v>
      </c>
      <c r="N836">
        <f t="shared" si="32"/>
        <v>8</v>
      </c>
      <c r="O836">
        <v>41</v>
      </c>
    </row>
    <row r="837" spans="13:15" x14ac:dyDescent="0.25">
      <c r="M837" s="5">
        <v>42913</v>
      </c>
      <c r="N837">
        <f t="shared" si="32"/>
        <v>8</v>
      </c>
      <c r="O837">
        <v>41</v>
      </c>
    </row>
    <row r="838" spans="13:15" x14ac:dyDescent="0.25">
      <c r="M838" s="5">
        <v>42912</v>
      </c>
      <c r="N838">
        <f t="shared" si="32"/>
        <v>8</v>
      </c>
      <c r="O838">
        <v>41</v>
      </c>
    </row>
    <row r="839" spans="13:15" x14ac:dyDescent="0.25">
      <c r="M839" s="5">
        <v>42911</v>
      </c>
      <c r="N839">
        <f t="shared" si="32"/>
        <v>7</v>
      </c>
      <c r="O839">
        <v>41</v>
      </c>
    </row>
    <row r="840" spans="13:15" x14ac:dyDescent="0.25">
      <c r="M840" s="5">
        <v>42910</v>
      </c>
      <c r="N840">
        <f t="shared" si="32"/>
        <v>7</v>
      </c>
      <c r="O840">
        <v>41</v>
      </c>
    </row>
    <row r="841" spans="13:15" x14ac:dyDescent="0.25">
      <c r="M841" s="5">
        <v>42909</v>
      </c>
      <c r="N841">
        <f t="shared" si="32"/>
        <v>7</v>
      </c>
      <c r="O841">
        <v>41</v>
      </c>
    </row>
    <row r="842" spans="13:15" x14ac:dyDescent="0.25">
      <c r="M842" s="5">
        <v>42908</v>
      </c>
      <c r="N842">
        <f t="shared" si="32"/>
        <v>7</v>
      </c>
      <c r="O842">
        <v>41</v>
      </c>
    </row>
    <row r="843" spans="13:15" x14ac:dyDescent="0.25">
      <c r="M843" s="5">
        <v>42907</v>
      </c>
      <c r="N843">
        <f t="shared" si="32"/>
        <v>7</v>
      </c>
      <c r="O843">
        <v>41</v>
      </c>
    </row>
    <row r="844" spans="13:15" x14ac:dyDescent="0.25">
      <c r="M844" s="5">
        <v>42906</v>
      </c>
      <c r="N844">
        <f t="shared" si="32"/>
        <v>7</v>
      </c>
      <c r="O844">
        <v>41</v>
      </c>
    </row>
    <row r="845" spans="13:15" x14ac:dyDescent="0.25">
      <c r="M845" s="5">
        <v>42905</v>
      </c>
      <c r="N845">
        <f t="shared" si="32"/>
        <v>7</v>
      </c>
      <c r="O845">
        <v>41</v>
      </c>
    </row>
    <row r="846" spans="13:15" x14ac:dyDescent="0.25">
      <c r="M846" s="5">
        <v>42904</v>
      </c>
      <c r="N846">
        <f t="shared" si="32"/>
        <v>6</v>
      </c>
      <c r="O846">
        <v>41</v>
      </c>
    </row>
    <row r="847" spans="13:15" x14ac:dyDescent="0.25">
      <c r="M847" s="5">
        <v>42903</v>
      </c>
      <c r="N847">
        <f t="shared" ref="N847:N878" si="33">N840-1</f>
        <v>6</v>
      </c>
      <c r="O847">
        <v>41</v>
      </c>
    </row>
    <row r="848" spans="13:15" x14ac:dyDescent="0.25">
      <c r="M848" s="5">
        <v>42902</v>
      </c>
      <c r="N848">
        <f t="shared" si="33"/>
        <v>6</v>
      </c>
      <c r="O848">
        <v>41</v>
      </c>
    </row>
    <row r="849" spans="13:15" x14ac:dyDescent="0.25">
      <c r="M849" s="5">
        <v>42901</v>
      </c>
      <c r="N849">
        <f t="shared" si="33"/>
        <v>6</v>
      </c>
      <c r="O849">
        <v>41</v>
      </c>
    </row>
    <row r="850" spans="13:15" x14ac:dyDescent="0.25">
      <c r="M850" s="5">
        <v>42900</v>
      </c>
      <c r="N850">
        <f t="shared" si="33"/>
        <v>6</v>
      </c>
      <c r="O850">
        <v>41</v>
      </c>
    </row>
    <row r="851" spans="13:15" x14ac:dyDescent="0.25">
      <c r="M851" s="5">
        <v>42899</v>
      </c>
      <c r="N851">
        <f t="shared" si="33"/>
        <v>6</v>
      </c>
      <c r="O851">
        <v>41</v>
      </c>
    </row>
    <row r="852" spans="13:15" x14ac:dyDescent="0.25">
      <c r="M852" s="5">
        <v>42898</v>
      </c>
      <c r="N852">
        <f t="shared" si="33"/>
        <v>6</v>
      </c>
      <c r="O852">
        <v>41</v>
      </c>
    </row>
    <row r="853" spans="13:15" x14ac:dyDescent="0.25">
      <c r="M853" s="5">
        <v>42897</v>
      </c>
      <c r="N853">
        <f t="shared" si="33"/>
        <v>5</v>
      </c>
      <c r="O853">
        <v>41</v>
      </c>
    </row>
    <row r="854" spans="13:15" x14ac:dyDescent="0.25">
      <c r="M854" s="5">
        <v>42896</v>
      </c>
      <c r="N854">
        <f t="shared" si="33"/>
        <v>5</v>
      </c>
      <c r="O854">
        <v>41</v>
      </c>
    </row>
    <row r="855" spans="13:15" x14ac:dyDescent="0.25">
      <c r="M855" s="5">
        <v>42895</v>
      </c>
      <c r="N855">
        <f t="shared" si="33"/>
        <v>5</v>
      </c>
      <c r="O855">
        <v>41</v>
      </c>
    </row>
    <row r="856" spans="13:15" x14ac:dyDescent="0.25">
      <c r="M856" s="5">
        <v>42894</v>
      </c>
      <c r="N856">
        <f t="shared" si="33"/>
        <v>5</v>
      </c>
      <c r="O856">
        <v>41</v>
      </c>
    </row>
    <row r="857" spans="13:15" x14ac:dyDescent="0.25">
      <c r="M857" s="5">
        <v>42893</v>
      </c>
      <c r="N857">
        <f t="shared" si="33"/>
        <v>5</v>
      </c>
      <c r="O857">
        <v>41</v>
      </c>
    </row>
    <row r="858" spans="13:15" x14ac:dyDescent="0.25">
      <c r="M858" s="5">
        <v>42892</v>
      </c>
      <c r="N858">
        <f t="shared" si="33"/>
        <v>5</v>
      </c>
      <c r="O858">
        <v>41</v>
      </c>
    </row>
    <row r="859" spans="13:15" x14ac:dyDescent="0.25">
      <c r="M859" s="5">
        <v>42891</v>
      </c>
      <c r="N859">
        <f t="shared" si="33"/>
        <v>5</v>
      </c>
      <c r="O859">
        <v>41</v>
      </c>
    </row>
    <row r="860" spans="13:15" x14ac:dyDescent="0.25">
      <c r="M860" s="5">
        <v>42890</v>
      </c>
      <c r="N860">
        <f t="shared" si="33"/>
        <v>4</v>
      </c>
      <c r="O860">
        <v>41</v>
      </c>
    </row>
    <row r="861" spans="13:15" x14ac:dyDescent="0.25">
      <c r="M861" s="5">
        <v>42889</v>
      </c>
      <c r="N861">
        <f t="shared" si="33"/>
        <v>4</v>
      </c>
      <c r="O861">
        <v>41</v>
      </c>
    </row>
    <row r="862" spans="13:15" x14ac:dyDescent="0.25">
      <c r="M862" s="5">
        <v>42888</v>
      </c>
      <c r="N862">
        <f t="shared" si="33"/>
        <v>4</v>
      </c>
      <c r="O862">
        <v>41</v>
      </c>
    </row>
    <row r="863" spans="13:15" x14ac:dyDescent="0.25">
      <c r="M863" s="5">
        <v>42887</v>
      </c>
      <c r="N863">
        <f t="shared" si="33"/>
        <v>4</v>
      </c>
      <c r="O863">
        <v>41</v>
      </c>
    </row>
    <row r="864" spans="13:15" x14ac:dyDescent="0.25">
      <c r="M864" s="5">
        <v>42886</v>
      </c>
      <c r="N864">
        <f t="shared" si="33"/>
        <v>4</v>
      </c>
      <c r="O864">
        <v>41</v>
      </c>
    </row>
    <row r="865" spans="13:15" x14ac:dyDescent="0.25">
      <c r="M865" s="5">
        <v>42885</v>
      </c>
      <c r="N865">
        <f t="shared" si="33"/>
        <v>4</v>
      </c>
      <c r="O865">
        <v>41</v>
      </c>
    </row>
    <row r="866" spans="13:15" x14ac:dyDescent="0.25">
      <c r="M866" s="5">
        <v>42884</v>
      </c>
      <c r="N866">
        <f t="shared" si="33"/>
        <v>4</v>
      </c>
      <c r="O866">
        <v>41</v>
      </c>
    </row>
    <row r="867" spans="13:15" x14ac:dyDescent="0.25">
      <c r="M867" s="5">
        <v>42883</v>
      </c>
      <c r="N867">
        <f t="shared" si="33"/>
        <v>3</v>
      </c>
      <c r="O867">
        <v>41</v>
      </c>
    </row>
    <row r="868" spans="13:15" x14ac:dyDescent="0.25">
      <c r="M868" s="5">
        <v>42882</v>
      </c>
      <c r="N868">
        <f t="shared" si="33"/>
        <v>3</v>
      </c>
      <c r="O868">
        <v>41</v>
      </c>
    </row>
    <row r="869" spans="13:15" x14ac:dyDescent="0.25">
      <c r="M869" s="5">
        <v>42881</v>
      </c>
      <c r="N869">
        <f t="shared" si="33"/>
        <v>3</v>
      </c>
      <c r="O869">
        <v>41</v>
      </c>
    </row>
    <row r="870" spans="13:15" x14ac:dyDescent="0.25">
      <c r="M870" s="5">
        <v>42880</v>
      </c>
      <c r="N870">
        <f t="shared" si="33"/>
        <v>3</v>
      </c>
      <c r="O870">
        <v>41</v>
      </c>
    </row>
    <row r="871" spans="13:15" x14ac:dyDescent="0.25">
      <c r="M871" s="5">
        <v>42879</v>
      </c>
      <c r="N871">
        <f t="shared" si="33"/>
        <v>3</v>
      </c>
      <c r="O871">
        <v>41</v>
      </c>
    </row>
    <row r="872" spans="13:15" x14ac:dyDescent="0.25">
      <c r="M872" s="5">
        <v>42878</v>
      </c>
      <c r="N872">
        <f t="shared" si="33"/>
        <v>3</v>
      </c>
      <c r="O872">
        <v>41</v>
      </c>
    </row>
    <row r="873" spans="13:15" x14ac:dyDescent="0.25">
      <c r="M873" s="5">
        <v>42877</v>
      </c>
      <c r="N873">
        <f t="shared" si="33"/>
        <v>3</v>
      </c>
      <c r="O873">
        <v>41</v>
      </c>
    </row>
    <row r="874" spans="13:15" x14ac:dyDescent="0.25">
      <c r="M874" s="5">
        <v>42876</v>
      </c>
      <c r="N874">
        <f t="shared" si="33"/>
        <v>2</v>
      </c>
      <c r="O874">
        <v>41</v>
      </c>
    </row>
    <row r="875" spans="13:15" x14ac:dyDescent="0.25">
      <c r="M875" s="5">
        <v>42875</v>
      </c>
      <c r="N875">
        <f t="shared" si="33"/>
        <v>2</v>
      </c>
      <c r="O875">
        <v>41</v>
      </c>
    </row>
    <row r="876" spans="13:15" x14ac:dyDescent="0.25">
      <c r="M876" s="5">
        <v>42874</v>
      </c>
      <c r="N876">
        <f t="shared" si="33"/>
        <v>2</v>
      </c>
      <c r="O876">
        <v>41</v>
      </c>
    </row>
    <row r="877" spans="13:15" x14ac:dyDescent="0.25">
      <c r="M877" s="5">
        <v>42873</v>
      </c>
      <c r="N877">
        <f t="shared" si="33"/>
        <v>2</v>
      </c>
      <c r="O877">
        <v>41</v>
      </c>
    </row>
    <row r="878" spans="13:15" x14ac:dyDescent="0.25">
      <c r="M878" s="5">
        <v>42872</v>
      </c>
      <c r="N878">
        <f t="shared" si="33"/>
        <v>2</v>
      </c>
      <c r="O878">
        <v>41</v>
      </c>
    </row>
    <row r="879" spans="13:15" x14ac:dyDescent="0.25">
      <c r="M879" s="5">
        <v>42871</v>
      </c>
      <c r="N879">
        <f t="shared" ref="N879:N887" si="34">N872-1</f>
        <v>2</v>
      </c>
      <c r="O879">
        <v>41</v>
      </c>
    </row>
    <row r="880" spans="13:15" x14ac:dyDescent="0.25">
      <c r="M880" s="5">
        <v>42870</v>
      </c>
      <c r="N880">
        <f t="shared" si="34"/>
        <v>2</v>
      </c>
      <c r="O880">
        <v>41</v>
      </c>
    </row>
    <row r="881" spans="13:15" x14ac:dyDescent="0.25">
      <c r="M881" s="5">
        <v>42869</v>
      </c>
      <c r="N881">
        <f t="shared" si="34"/>
        <v>1</v>
      </c>
      <c r="O881">
        <v>41</v>
      </c>
    </row>
    <row r="882" spans="13:15" x14ac:dyDescent="0.25">
      <c r="M882" s="5">
        <v>42868</v>
      </c>
      <c r="N882">
        <f t="shared" si="34"/>
        <v>1</v>
      </c>
      <c r="O882">
        <v>41</v>
      </c>
    </row>
    <row r="883" spans="13:15" x14ac:dyDescent="0.25">
      <c r="M883" s="5">
        <v>42867</v>
      </c>
      <c r="N883">
        <f t="shared" si="34"/>
        <v>1</v>
      </c>
      <c r="O883">
        <v>41</v>
      </c>
    </row>
    <row r="884" spans="13:15" x14ac:dyDescent="0.25">
      <c r="M884" s="5">
        <v>42866</v>
      </c>
      <c r="N884">
        <f t="shared" si="34"/>
        <v>1</v>
      </c>
      <c r="O884">
        <v>41</v>
      </c>
    </row>
    <row r="885" spans="13:15" x14ac:dyDescent="0.25">
      <c r="M885" s="5">
        <v>42865</v>
      </c>
      <c r="N885">
        <f t="shared" si="34"/>
        <v>1</v>
      </c>
      <c r="O885">
        <v>41</v>
      </c>
    </row>
    <row r="886" spans="13:15" x14ac:dyDescent="0.25">
      <c r="M886" s="5">
        <v>42864</v>
      </c>
      <c r="N886">
        <f t="shared" si="34"/>
        <v>1</v>
      </c>
      <c r="O886">
        <v>41</v>
      </c>
    </row>
    <row r="887" spans="13:15" x14ac:dyDescent="0.25">
      <c r="M887" s="5">
        <v>42863</v>
      </c>
      <c r="N887">
        <f t="shared" si="34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5">N888-1</f>
        <v>15</v>
      </c>
      <c r="O895">
        <v>40</v>
      </c>
    </row>
    <row r="896" spans="13:15" x14ac:dyDescent="0.25">
      <c r="M896" s="5">
        <v>42854</v>
      </c>
      <c r="N896">
        <f t="shared" si="35"/>
        <v>15</v>
      </c>
      <c r="O896">
        <v>40</v>
      </c>
    </row>
    <row r="897" spans="13:15" x14ac:dyDescent="0.25">
      <c r="M897" s="5">
        <v>42853</v>
      </c>
      <c r="N897">
        <f t="shared" si="35"/>
        <v>15</v>
      </c>
      <c r="O897">
        <v>40</v>
      </c>
    </row>
    <row r="898" spans="13:15" x14ac:dyDescent="0.25">
      <c r="M898" s="5">
        <v>42852</v>
      </c>
      <c r="N898">
        <f t="shared" si="35"/>
        <v>15</v>
      </c>
      <c r="O898">
        <v>40</v>
      </c>
    </row>
    <row r="899" spans="13:15" x14ac:dyDescent="0.25">
      <c r="M899" s="5">
        <v>42851</v>
      </c>
      <c r="N899">
        <f t="shared" si="35"/>
        <v>15</v>
      </c>
      <c r="O899">
        <v>40</v>
      </c>
    </row>
    <row r="900" spans="13:15" x14ac:dyDescent="0.25">
      <c r="M900" s="5">
        <v>42850</v>
      </c>
      <c r="N900">
        <f t="shared" si="35"/>
        <v>15</v>
      </c>
      <c r="O900">
        <v>40</v>
      </c>
    </row>
    <row r="901" spans="13:15" x14ac:dyDescent="0.25">
      <c r="M901" s="5">
        <v>42849</v>
      </c>
      <c r="N901">
        <f t="shared" si="35"/>
        <v>15</v>
      </c>
      <c r="O901">
        <v>40</v>
      </c>
    </row>
    <row r="902" spans="13:15" x14ac:dyDescent="0.25">
      <c r="M902" s="5">
        <v>42848</v>
      </c>
      <c r="N902">
        <f t="shared" si="35"/>
        <v>14</v>
      </c>
      <c r="O902">
        <v>40</v>
      </c>
    </row>
    <row r="903" spans="13:15" x14ac:dyDescent="0.25">
      <c r="M903" s="5">
        <v>42847</v>
      </c>
      <c r="N903">
        <f t="shared" si="35"/>
        <v>14</v>
      </c>
      <c r="O903">
        <v>40</v>
      </c>
    </row>
    <row r="904" spans="13:15" x14ac:dyDescent="0.25">
      <c r="M904" s="5">
        <v>42846</v>
      </c>
      <c r="N904">
        <f t="shared" si="35"/>
        <v>14</v>
      </c>
      <c r="O904">
        <v>40</v>
      </c>
    </row>
    <row r="905" spans="13:15" x14ac:dyDescent="0.25">
      <c r="M905" s="5">
        <v>42845</v>
      </c>
      <c r="N905">
        <f t="shared" si="35"/>
        <v>14</v>
      </c>
      <c r="O905">
        <v>40</v>
      </c>
    </row>
    <row r="906" spans="13:15" x14ac:dyDescent="0.25">
      <c r="M906" s="5">
        <v>42844</v>
      </c>
      <c r="N906">
        <f t="shared" si="35"/>
        <v>14</v>
      </c>
      <c r="O906">
        <v>40</v>
      </c>
    </row>
    <row r="907" spans="13:15" x14ac:dyDescent="0.25">
      <c r="M907" s="5">
        <v>42843</v>
      </c>
      <c r="N907">
        <f t="shared" si="35"/>
        <v>14</v>
      </c>
      <c r="O907">
        <v>40</v>
      </c>
    </row>
    <row r="908" spans="13:15" x14ac:dyDescent="0.25">
      <c r="M908" s="5">
        <v>42842</v>
      </c>
      <c r="N908">
        <f t="shared" si="35"/>
        <v>14</v>
      </c>
      <c r="O908">
        <v>40</v>
      </c>
    </row>
    <row r="909" spans="13:15" x14ac:dyDescent="0.25">
      <c r="M909" s="5">
        <v>42841</v>
      </c>
      <c r="N909">
        <f t="shared" si="35"/>
        <v>13</v>
      </c>
      <c r="O909">
        <v>40</v>
      </c>
    </row>
    <row r="910" spans="13:15" x14ac:dyDescent="0.25">
      <c r="M910" s="5">
        <v>42840</v>
      </c>
      <c r="N910">
        <f t="shared" si="35"/>
        <v>13</v>
      </c>
      <c r="O910">
        <v>40</v>
      </c>
    </row>
    <row r="911" spans="13:15" x14ac:dyDescent="0.25">
      <c r="M911" s="5">
        <v>42839</v>
      </c>
      <c r="N911">
        <f t="shared" si="35"/>
        <v>13</v>
      </c>
      <c r="O911">
        <v>40</v>
      </c>
    </row>
    <row r="912" spans="13:15" x14ac:dyDescent="0.25">
      <c r="M912" s="5">
        <v>42838</v>
      </c>
      <c r="N912">
        <f t="shared" si="35"/>
        <v>13</v>
      </c>
      <c r="O912">
        <v>40</v>
      </c>
    </row>
    <row r="913" spans="13:15" x14ac:dyDescent="0.25">
      <c r="M913" s="5">
        <v>42837</v>
      </c>
      <c r="N913">
        <f t="shared" si="35"/>
        <v>13</v>
      </c>
      <c r="O913">
        <v>40</v>
      </c>
    </row>
    <row r="914" spans="13:15" x14ac:dyDescent="0.25">
      <c r="M914" s="5">
        <v>42836</v>
      </c>
      <c r="N914">
        <f t="shared" si="35"/>
        <v>13</v>
      </c>
      <c r="O914">
        <v>40</v>
      </c>
    </row>
    <row r="915" spans="13:15" x14ac:dyDescent="0.25">
      <c r="M915" s="5">
        <v>42835</v>
      </c>
      <c r="N915">
        <f t="shared" si="35"/>
        <v>13</v>
      </c>
      <c r="O915">
        <v>40</v>
      </c>
    </row>
    <row r="916" spans="13:15" x14ac:dyDescent="0.25">
      <c r="M916" s="5">
        <v>42834</v>
      </c>
      <c r="N916">
        <f t="shared" si="35"/>
        <v>12</v>
      </c>
      <c r="O916">
        <v>40</v>
      </c>
    </row>
    <row r="917" spans="13:15" x14ac:dyDescent="0.25">
      <c r="M917" s="5">
        <v>42833</v>
      </c>
      <c r="N917">
        <f t="shared" si="35"/>
        <v>12</v>
      </c>
      <c r="O917">
        <v>40</v>
      </c>
    </row>
    <row r="918" spans="13:15" x14ac:dyDescent="0.25">
      <c r="M918" s="5">
        <v>42832</v>
      </c>
      <c r="N918">
        <f t="shared" si="35"/>
        <v>12</v>
      </c>
      <c r="O918">
        <v>40</v>
      </c>
    </row>
    <row r="919" spans="13:15" x14ac:dyDescent="0.25">
      <c r="M919" s="5">
        <v>42831</v>
      </c>
      <c r="N919">
        <f t="shared" si="35"/>
        <v>12</v>
      </c>
      <c r="O919">
        <v>40</v>
      </c>
    </row>
    <row r="920" spans="13:15" x14ac:dyDescent="0.25">
      <c r="M920" s="5">
        <v>42830</v>
      </c>
      <c r="N920">
        <f t="shared" si="35"/>
        <v>12</v>
      </c>
      <c r="O920">
        <v>40</v>
      </c>
    </row>
    <row r="921" spans="13:15" x14ac:dyDescent="0.25">
      <c r="M921" s="5">
        <v>42829</v>
      </c>
      <c r="N921">
        <f t="shared" si="35"/>
        <v>12</v>
      </c>
      <c r="O921">
        <v>40</v>
      </c>
    </row>
    <row r="922" spans="13:15" x14ac:dyDescent="0.25">
      <c r="M922" s="5">
        <v>42828</v>
      </c>
      <c r="N922">
        <f t="shared" si="35"/>
        <v>12</v>
      </c>
      <c r="O922">
        <v>40</v>
      </c>
    </row>
    <row r="923" spans="13:15" x14ac:dyDescent="0.25">
      <c r="M923" s="5">
        <v>42827</v>
      </c>
      <c r="N923">
        <f t="shared" si="35"/>
        <v>11</v>
      </c>
      <c r="O923">
        <v>40</v>
      </c>
    </row>
    <row r="924" spans="13:15" x14ac:dyDescent="0.25">
      <c r="M924" s="5">
        <v>42826</v>
      </c>
      <c r="N924">
        <f t="shared" si="35"/>
        <v>11</v>
      </c>
      <c r="O924">
        <v>40</v>
      </c>
    </row>
    <row r="925" spans="13:15" x14ac:dyDescent="0.25">
      <c r="M925" s="5">
        <v>42825</v>
      </c>
      <c r="N925">
        <f t="shared" si="35"/>
        <v>11</v>
      </c>
      <c r="O925">
        <v>40</v>
      </c>
    </row>
    <row r="926" spans="13:15" x14ac:dyDescent="0.25">
      <c r="M926" s="5">
        <v>42824</v>
      </c>
      <c r="N926">
        <f t="shared" si="35"/>
        <v>11</v>
      </c>
      <c r="O926">
        <v>40</v>
      </c>
    </row>
    <row r="927" spans="13:15" x14ac:dyDescent="0.25">
      <c r="M927" s="5">
        <v>42823</v>
      </c>
      <c r="N927">
        <f t="shared" ref="N927:N958" si="36">N920-1</f>
        <v>11</v>
      </c>
      <c r="O927">
        <v>40</v>
      </c>
    </row>
    <row r="928" spans="13:15" x14ac:dyDescent="0.25">
      <c r="M928" s="5">
        <v>42822</v>
      </c>
      <c r="N928">
        <f t="shared" si="36"/>
        <v>11</v>
      </c>
      <c r="O928">
        <v>40</v>
      </c>
    </row>
    <row r="929" spans="13:15" x14ac:dyDescent="0.25">
      <c r="M929" s="5">
        <v>42821</v>
      </c>
      <c r="N929">
        <f t="shared" si="36"/>
        <v>11</v>
      </c>
      <c r="O929">
        <v>40</v>
      </c>
    </row>
    <row r="930" spans="13:15" x14ac:dyDescent="0.25">
      <c r="M930" s="5">
        <v>42820</v>
      </c>
      <c r="N930">
        <f t="shared" si="36"/>
        <v>10</v>
      </c>
      <c r="O930">
        <v>40</v>
      </c>
    </row>
    <row r="931" spans="13:15" x14ac:dyDescent="0.25">
      <c r="M931" s="5">
        <v>42819</v>
      </c>
      <c r="N931">
        <f t="shared" si="36"/>
        <v>10</v>
      </c>
      <c r="O931">
        <v>40</v>
      </c>
    </row>
    <row r="932" spans="13:15" x14ac:dyDescent="0.25">
      <c r="M932" s="5">
        <v>42818</v>
      </c>
      <c r="N932">
        <f t="shared" si="36"/>
        <v>10</v>
      </c>
      <c r="O932">
        <v>40</v>
      </c>
    </row>
    <row r="933" spans="13:15" x14ac:dyDescent="0.25">
      <c r="M933" s="5">
        <v>42817</v>
      </c>
      <c r="N933">
        <f t="shared" si="36"/>
        <v>10</v>
      </c>
      <c r="O933">
        <v>40</v>
      </c>
    </row>
    <row r="934" spans="13:15" x14ac:dyDescent="0.25">
      <c r="M934" s="5">
        <v>42816</v>
      </c>
      <c r="N934">
        <f t="shared" si="36"/>
        <v>10</v>
      </c>
      <c r="O934">
        <v>40</v>
      </c>
    </row>
    <row r="935" spans="13:15" x14ac:dyDescent="0.25">
      <c r="M935" s="5">
        <v>42815</v>
      </c>
      <c r="N935">
        <f t="shared" si="36"/>
        <v>10</v>
      </c>
      <c r="O935">
        <v>40</v>
      </c>
    </row>
    <row r="936" spans="13:15" x14ac:dyDescent="0.25">
      <c r="M936" s="5">
        <v>42814</v>
      </c>
      <c r="N936">
        <f t="shared" si="36"/>
        <v>10</v>
      </c>
      <c r="O936">
        <v>40</v>
      </c>
    </row>
    <row r="937" spans="13:15" x14ac:dyDescent="0.25">
      <c r="M937" s="5">
        <v>42813</v>
      </c>
      <c r="N937">
        <f t="shared" si="36"/>
        <v>9</v>
      </c>
      <c r="O937">
        <v>40</v>
      </c>
    </row>
    <row r="938" spans="13:15" x14ac:dyDescent="0.25">
      <c r="M938" s="5">
        <v>42812</v>
      </c>
      <c r="N938">
        <f t="shared" si="36"/>
        <v>9</v>
      </c>
      <c r="O938">
        <v>40</v>
      </c>
    </row>
    <row r="939" spans="13:15" x14ac:dyDescent="0.25">
      <c r="M939" s="5">
        <v>42811</v>
      </c>
      <c r="N939">
        <f t="shared" si="36"/>
        <v>9</v>
      </c>
      <c r="O939">
        <v>40</v>
      </c>
    </row>
    <row r="940" spans="13:15" x14ac:dyDescent="0.25">
      <c r="M940" s="5">
        <v>42810</v>
      </c>
      <c r="N940">
        <f t="shared" si="36"/>
        <v>9</v>
      </c>
      <c r="O940">
        <v>40</v>
      </c>
    </row>
    <row r="941" spans="13:15" x14ac:dyDescent="0.25">
      <c r="M941" s="5">
        <v>42809</v>
      </c>
      <c r="N941">
        <f t="shared" si="36"/>
        <v>9</v>
      </c>
      <c r="O941">
        <v>40</v>
      </c>
    </row>
    <row r="942" spans="13:15" x14ac:dyDescent="0.25">
      <c r="M942" s="5">
        <v>42808</v>
      </c>
      <c r="N942">
        <f t="shared" si="36"/>
        <v>9</v>
      </c>
      <c r="O942">
        <v>40</v>
      </c>
    </row>
    <row r="943" spans="13:15" x14ac:dyDescent="0.25">
      <c r="M943" s="5">
        <v>42807</v>
      </c>
      <c r="N943">
        <f t="shared" si="36"/>
        <v>9</v>
      </c>
      <c r="O943">
        <v>40</v>
      </c>
    </row>
    <row r="944" spans="13:15" x14ac:dyDescent="0.25">
      <c r="M944" s="5">
        <v>42806</v>
      </c>
      <c r="N944">
        <f t="shared" si="36"/>
        <v>8</v>
      </c>
      <c r="O944">
        <v>40</v>
      </c>
    </row>
    <row r="945" spans="13:15" x14ac:dyDescent="0.25">
      <c r="M945" s="5">
        <v>42805</v>
      </c>
      <c r="N945">
        <f t="shared" si="36"/>
        <v>8</v>
      </c>
      <c r="O945">
        <v>40</v>
      </c>
    </row>
    <row r="946" spans="13:15" x14ac:dyDescent="0.25">
      <c r="M946" s="5">
        <v>42804</v>
      </c>
      <c r="N946">
        <f t="shared" si="36"/>
        <v>8</v>
      </c>
      <c r="O946">
        <v>40</v>
      </c>
    </row>
    <row r="947" spans="13:15" x14ac:dyDescent="0.25">
      <c r="M947" s="5">
        <v>42803</v>
      </c>
      <c r="N947">
        <f t="shared" si="36"/>
        <v>8</v>
      </c>
      <c r="O947">
        <v>40</v>
      </c>
    </row>
    <row r="948" spans="13:15" x14ac:dyDescent="0.25">
      <c r="M948" s="5">
        <v>42802</v>
      </c>
      <c r="N948">
        <f t="shared" si="36"/>
        <v>8</v>
      </c>
      <c r="O948">
        <v>40</v>
      </c>
    </row>
    <row r="949" spans="13:15" x14ac:dyDescent="0.25">
      <c r="M949" s="5">
        <v>42801</v>
      </c>
      <c r="N949">
        <f t="shared" si="36"/>
        <v>8</v>
      </c>
      <c r="O949">
        <v>40</v>
      </c>
    </row>
    <row r="950" spans="13:15" x14ac:dyDescent="0.25">
      <c r="M950" s="5">
        <v>42800</v>
      </c>
      <c r="N950">
        <f t="shared" si="36"/>
        <v>8</v>
      </c>
      <c r="O950">
        <v>40</v>
      </c>
    </row>
    <row r="951" spans="13:15" x14ac:dyDescent="0.25">
      <c r="M951" s="5">
        <v>42799</v>
      </c>
      <c r="N951">
        <f t="shared" si="36"/>
        <v>7</v>
      </c>
      <c r="O951">
        <v>40</v>
      </c>
    </row>
    <row r="952" spans="13:15" x14ac:dyDescent="0.25">
      <c r="M952" s="5">
        <v>42798</v>
      </c>
      <c r="N952">
        <f t="shared" si="36"/>
        <v>7</v>
      </c>
      <c r="O952">
        <v>40</v>
      </c>
    </row>
    <row r="953" spans="13:15" x14ac:dyDescent="0.25">
      <c r="M953" s="5">
        <v>42797</v>
      </c>
      <c r="N953">
        <f t="shared" si="36"/>
        <v>7</v>
      </c>
      <c r="O953">
        <v>40</v>
      </c>
    </row>
    <row r="954" spans="13:15" x14ac:dyDescent="0.25">
      <c r="M954" s="5">
        <v>42796</v>
      </c>
      <c r="N954">
        <f t="shared" si="36"/>
        <v>7</v>
      </c>
      <c r="O954">
        <v>40</v>
      </c>
    </row>
    <row r="955" spans="13:15" x14ac:dyDescent="0.25">
      <c r="M955" s="5">
        <v>42795</v>
      </c>
      <c r="N955">
        <f t="shared" si="36"/>
        <v>7</v>
      </c>
      <c r="O955">
        <v>40</v>
      </c>
    </row>
    <row r="956" spans="13:15" x14ac:dyDescent="0.25">
      <c r="M956" s="5">
        <v>42794</v>
      </c>
      <c r="N956">
        <f t="shared" si="36"/>
        <v>7</v>
      </c>
      <c r="O956">
        <v>40</v>
      </c>
    </row>
    <row r="957" spans="13:15" x14ac:dyDescent="0.25">
      <c r="M957" s="5">
        <v>42793</v>
      </c>
      <c r="N957">
        <f t="shared" si="36"/>
        <v>7</v>
      </c>
      <c r="O957">
        <v>40</v>
      </c>
    </row>
    <row r="958" spans="13:15" x14ac:dyDescent="0.25">
      <c r="M958" s="5">
        <v>42792</v>
      </c>
      <c r="N958">
        <f t="shared" si="36"/>
        <v>6</v>
      </c>
      <c r="O958">
        <v>40</v>
      </c>
    </row>
    <row r="959" spans="13:15" x14ac:dyDescent="0.25">
      <c r="M959" s="5">
        <v>42791</v>
      </c>
      <c r="N959">
        <f t="shared" ref="N959:N990" si="37">N952-1</f>
        <v>6</v>
      </c>
      <c r="O959">
        <v>40</v>
      </c>
    </row>
    <row r="960" spans="13:15" x14ac:dyDescent="0.25">
      <c r="M960" s="5">
        <v>42790</v>
      </c>
      <c r="N960">
        <f t="shared" si="37"/>
        <v>6</v>
      </c>
      <c r="O960">
        <v>40</v>
      </c>
    </row>
    <row r="961" spans="13:15" x14ac:dyDescent="0.25">
      <c r="M961" s="5">
        <v>42789</v>
      </c>
      <c r="N961">
        <f t="shared" si="37"/>
        <v>6</v>
      </c>
      <c r="O961">
        <v>40</v>
      </c>
    </row>
    <row r="962" spans="13:15" x14ac:dyDescent="0.25">
      <c r="M962" s="5">
        <v>42788</v>
      </c>
      <c r="N962">
        <f t="shared" si="37"/>
        <v>6</v>
      </c>
      <c r="O962">
        <v>40</v>
      </c>
    </row>
    <row r="963" spans="13:15" x14ac:dyDescent="0.25">
      <c r="M963" s="5">
        <v>42787</v>
      </c>
      <c r="N963">
        <f t="shared" si="37"/>
        <v>6</v>
      </c>
      <c r="O963">
        <v>40</v>
      </c>
    </row>
    <row r="964" spans="13:15" x14ac:dyDescent="0.25">
      <c r="M964" s="5">
        <v>42786</v>
      </c>
      <c r="N964">
        <f t="shared" si="37"/>
        <v>6</v>
      </c>
      <c r="O964">
        <v>40</v>
      </c>
    </row>
    <row r="965" spans="13:15" x14ac:dyDescent="0.25">
      <c r="M965" s="5">
        <v>42785</v>
      </c>
      <c r="N965">
        <f t="shared" si="37"/>
        <v>5</v>
      </c>
      <c r="O965">
        <v>40</v>
      </c>
    </row>
    <row r="966" spans="13:15" x14ac:dyDescent="0.25">
      <c r="M966" s="5">
        <v>42784</v>
      </c>
      <c r="N966">
        <f t="shared" si="37"/>
        <v>5</v>
      </c>
      <c r="O966">
        <v>40</v>
      </c>
    </row>
    <row r="967" spans="13:15" x14ac:dyDescent="0.25">
      <c r="M967" s="5">
        <v>42783</v>
      </c>
      <c r="N967">
        <f t="shared" si="37"/>
        <v>5</v>
      </c>
      <c r="O967">
        <v>40</v>
      </c>
    </row>
    <row r="968" spans="13:15" x14ac:dyDescent="0.25">
      <c r="M968" s="5">
        <v>42782</v>
      </c>
      <c r="N968">
        <f t="shared" si="37"/>
        <v>5</v>
      </c>
      <c r="O968">
        <v>40</v>
      </c>
    </row>
    <row r="969" spans="13:15" x14ac:dyDescent="0.25">
      <c r="M969" s="5">
        <v>42781</v>
      </c>
      <c r="N969">
        <f t="shared" si="37"/>
        <v>5</v>
      </c>
      <c r="O969">
        <v>40</v>
      </c>
    </row>
    <row r="970" spans="13:15" x14ac:dyDescent="0.25">
      <c r="M970" s="5">
        <v>42780</v>
      </c>
      <c r="N970">
        <f t="shared" si="37"/>
        <v>5</v>
      </c>
      <c r="O970">
        <v>40</v>
      </c>
    </row>
    <row r="971" spans="13:15" x14ac:dyDescent="0.25">
      <c r="M971" s="5">
        <v>42779</v>
      </c>
      <c r="N971">
        <f t="shared" si="37"/>
        <v>5</v>
      </c>
      <c r="O971">
        <v>40</v>
      </c>
    </row>
    <row r="972" spans="13:15" x14ac:dyDescent="0.25">
      <c r="M972" s="5">
        <v>42778</v>
      </c>
      <c r="N972">
        <f t="shared" si="37"/>
        <v>4</v>
      </c>
      <c r="O972">
        <v>40</v>
      </c>
    </row>
    <row r="973" spans="13:15" x14ac:dyDescent="0.25">
      <c r="M973" s="5">
        <v>42777</v>
      </c>
      <c r="N973">
        <f t="shared" si="37"/>
        <v>4</v>
      </c>
      <c r="O973">
        <v>40</v>
      </c>
    </row>
    <row r="974" spans="13:15" x14ac:dyDescent="0.25">
      <c r="M974" s="5">
        <v>42776</v>
      </c>
      <c r="N974">
        <f t="shared" si="37"/>
        <v>4</v>
      </c>
      <c r="O974">
        <v>40</v>
      </c>
    </row>
    <row r="975" spans="13:15" x14ac:dyDescent="0.25">
      <c r="M975" s="5">
        <v>42775</v>
      </c>
      <c r="N975">
        <f t="shared" si="37"/>
        <v>4</v>
      </c>
      <c r="O975">
        <v>40</v>
      </c>
    </row>
    <row r="976" spans="13:15" x14ac:dyDescent="0.25">
      <c r="M976" s="5">
        <v>42774</v>
      </c>
      <c r="N976">
        <f t="shared" si="37"/>
        <v>4</v>
      </c>
      <c r="O976">
        <v>40</v>
      </c>
    </row>
    <row r="977" spans="13:15" x14ac:dyDescent="0.25">
      <c r="M977" s="5">
        <v>42773</v>
      </c>
      <c r="N977">
        <f t="shared" si="37"/>
        <v>4</v>
      </c>
      <c r="O977">
        <v>40</v>
      </c>
    </row>
    <row r="978" spans="13:15" x14ac:dyDescent="0.25">
      <c r="M978" s="5">
        <v>42772</v>
      </c>
      <c r="N978">
        <f t="shared" si="37"/>
        <v>4</v>
      </c>
      <c r="O978">
        <v>40</v>
      </c>
    </row>
    <row r="979" spans="13:15" x14ac:dyDescent="0.25">
      <c r="M979" s="5">
        <v>42771</v>
      </c>
      <c r="N979">
        <f t="shared" si="37"/>
        <v>3</v>
      </c>
      <c r="O979">
        <v>40</v>
      </c>
    </row>
    <row r="980" spans="13:15" x14ac:dyDescent="0.25">
      <c r="M980" s="5">
        <v>42770</v>
      </c>
      <c r="N980">
        <f t="shared" si="37"/>
        <v>3</v>
      </c>
      <c r="O980">
        <v>40</v>
      </c>
    </row>
    <row r="981" spans="13:15" x14ac:dyDescent="0.25">
      <c r="M981" s="5">
        <v>42769</v>
      </c>
      <c r="N981">
        <f t="shared" si="37"/>
        <v>3</v>
      </c>
      <c r="O981">
        <v>40</v>
      </c>
    </row>
    <row r="982" spans="13:15" x14ac:dyDescent="0.25">
      <c r="M982" s="5">
        <v>42768</v>
      </c>
      <c r="N982">
        <f t="shared" si="37"/>
        <v>3</v>
      </c>
      <c r="O982">
        <v>40</v>
      </c>
    </row>
    <row r="983" spans="13:15" x14ac:dyDescent="0.25">
      <c r="M983" s="5">
        <v>42767</v>
      </c>
      <c r="N983">
        <f t="shared" si="37"/>
        <v>3</v>
      </c>
      <c r="O983">
        <v>40</v>
      </c>
    </row>
    <row r="984" spans="13:15" x14ac:dyDescent="0.25">
      <c r="M984" s="5">
        <v>42766</v>
      </c>
      <c r="N984">
        <f t="shared" si="37"/>
        <v>3</v>
      </c>
      <c r="O984">
        <v>40</v>
      </c>
    </row>
    <row r="985" spans="13:15" x14ac:dyDescent="0.25">
      <c r="M985" s="5">
        <v>42765</v>
      </c>
      <c r="N985">
        <f t="shared" si="37"/>
        <v>3</v>
      </c>
      <c r="O985">
        <v>40</v>
      </c>
    </row>
    <row r="986" spans="13:15" x14ac:dyDescent="0.25">
      <c r="M986" s="5">
        <v>42764</v>
      </c>
      <c r="N986">
        <f t="shared" si="37"/>
        <v>2</v>
      </c>
      <c r="O986">
        <v>40</v>
      </c>
    </row>
    <row r="987" spans="13:15" x14ac:dyDescent="0.25">
      <c r="M987" s="5">
        <v>42763</v>
      </c>
      <c r="N987">
        <f t="shared" si="37"/>
        <v>2</v>
      </c>
      <c r="O987">
        <v>40</v>
      </c>
    </row>
    <row r="988" spans="13:15" x14ac:dyDescent="0.25">
      <c r="M988" s="5">
        <v>42762</v>
      </c>
      <c r="N988">
        <f t="shared" si="37"/>
        <v>2</v>
      </c>
      <c r="O988">
        <v>40</v>
      </c>
    </row>
    <row r="989" spans="13:15" x14ac:dyDescent="0.25">
      <c r="M989" s="5">
        <v>42761</v>
      </c>
      <c r="N989">
        <f t="shared" si="37"/>
        <v>2</v>
      </c>
      <c r="O989">
        <v>40</v>
      </c>
    </row>
    <row r="990" spans="13:15" x14ac:dyDescent="0.25">
      <c r="M990" s="5">
        <v>42760</v>
      </c>
      <c r="N990">
        <f t="shared" si="37"/>
        <v>2</v>
      </c>
      <c r="O990">
        <v>40</v>
      </c>
    </row>
    <row r="991" spans="13:15" x14ac:dyDescent="0.25">
      <c r="M991" s="5">
        <v>42759</v>
      </c>
      <c r="N991">
        <f t="shared" ref="N991:N999" si="38">N984-1</f>
        <v>2</v>
      </c>
      <c r="O991">
        <v>40</v>
      </c>
    </row>
    <row r="992" spans="13:15" x14ac:dyDescent="0.25">
      <c r="M992" s="5">
        <v>42758</v>
      </c>
      <c r="N992">
        <f t="shared" si="38"/>
        <v>2</v>
      </c>
      <c r="O992">
        <v>40</v>
      </c>
    </row>
    <row r="993" spans="13:15" x14ac:dyDescent="0.25">
      <c r="M993" s="5">
        <v>42757</v>
      </c>
      <c r="N993">
        <f t="shared" si="38"/>
        <v>1</v>
      </c>
      <c r="O993">
        <v>40</v>
      </c>
    </row>
    <row r="994" spans="13:15" x14ac:dyDescent="0.25">
      <c r="M994" s="5">
        <v>42756</v>
      </c>
      <c r="N994">
        <f t="shared" si="38"/>
        <v>1</v>
      </c>
      <c r="O994">
        <v>40</v>
      </c>
    </row>
    <row r="995" spans="13:15" x14ac:dyDescent="0.25">
      <c r="M995" s="5">
        <v>42755</v>
      </c>
      <c r="N995">
        <f t="shared" si="38"/>
        <v>1</v>
      </c>
      <c r="O995">
        <v>40</v>
      </c>
    </row>
    <row r="996" spans="13:15" x14ac:dyDescent="0.25">
      <c r="M996" s="5">
        <v>42754</v>
      </c>
      <c r="N996">
        <f t="shared" si="38"/>
        <v>1</v>
      </c>
      <c r="O996">
        <v>40</v>
      </c>
    </row>
    <row r="997" spans="13:15" x14ac:dyDescent="0.25">
      <c r="M997" s="5">
        <v>42753</v>
      </c>
      <c r="N997">
        <f t="shared" si="38"/>
        <v>1</v>
      </c>
      <c r="O997">
        <v>40</v>
      </c>
    </row>
    <row r="998" spans="13:15" x14ac:dyDescent="0.25">
      <c r="M998" s="5">
        <v>42752</v>
      </c>
      <c r="N998">
        <f t="shared" si="38"/>
        <v>1</v>
      </c>
      <c r="O998">
        <v>40</v>
      </c>
    </row>
    <row r="999" spans="13:15" x14ac:dyDescent="0.25">
      <c r="M999" s="5">
        <v>42751</v>
      </c>
      <c r="N999">
        <f t="shared" si="38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9">N1000-1</f>
        <v>15</v>
      </c>
      <c r="O1007">
        <v>39</v>
      </c>
    </row>
    <row r="1008" spans="13:15" x14ac:dyDescent="0.25">
      <c r="M1008" s="5">
        <v>42742</v>
      </c>
      <c r="N1008">
        <f t="shared" si="39"/>
        <v>15</v>
      </c>
      <c r="O1008">
        <v>39</v>
      </c>
    </row>
    <row r="1009" spans="13:15" x14ac:dyDescent="0.25">
      <c r="M1009" s="5">
        <v>42741</v>
      </c>
      <c r="N1009">
        <f t="shared" si="39"/>
        <v>15</v>
      </c>
      <c r="O1009">
        <v>39</v>
      </c>
    </row>
    <row r="1010" spans="13:15" x14ac:dyDescent="0.25">
      <c r="M1010" s="5">
        <v>42740</v>
      </c>
      <c r="N1010">
        <f t="shared" si="39"/>
        <v>15</v>
      </c>
      <c r="O1010">
        <v>39</v>
      </c>
    </row>
    <row r="1011" spans="13:15" x14ac:dyDescent="0.25">
      <c r="M1011" s="5">
        <v>42739</v>
      </c>
      <c r="N1011">
        <f t="shared" si="39"/>
        <v>15</v>
      </c>
      <c r="O1011">
        <v>39</v>
      </c>
    </row>
    <row r="1012" spans="13:15" x14ac:dyDescent="0.25">
      <c r="M1012" s="5">
        <v>42738</v>
      </c>
      <c r="N1012">
        <f t="shared" si="39"/>
        <v>15</v>
      </c>
      <c r="O1012">
        <v>39</v>
      </c>
    </row>
    <row r="1013" spans="13:15" x14ac:dyDescent="0.25">
      <c r="M1013" s="5">
        <v>42737</v>
      </c>
      <c r="N1013">
        <f t="shared" si="39"/>
        <v>15</v>
      </c>
      <c r="O1013">
        <v>39</v>
      </c>
    </row>
    <row r="1014" spans="13:15" x14ac:dyDescent="0.25">
      <c r="M1014" s="5">
        <v>42736</v>
      </c>
      <c r="N1014">
        <f t="shared" si="39"/>
        <v>14</v>
      </c>
      <c r="O1014">
        <v>39</v>
      </c>
    </row>
    <row r="1015" spans="13:15" x14ac:dyDescent="0.25">
      <c r="M1015" s="5">
        <v>42735</v>
      </c>
      <c r="N1015">
        <f t="shared" si="39"/>
        <v>14</v>
      </c>
      <c r="O1015">
        <v>39</v>
      </c>
    </row>
    <row r="1016" spans="13:15" x14ac:dyDescent="0.25">
      <c r="M1016" s="5">
        <v>42734</v>
      </c>
      <c r="N1016">
        <f t="shared" si="39"/>
        <v>14</v>
      </c>
      <c r="O1016">
        <v>39</v>
      </c>
    </row>
    <row r="1017" spans="13:15" x14ac:dyDescent="0.25">
      <c r="M1017" s="5">
        <v>42733</v>
      </c>
      <c r="N1017">
        <f t="shared" si="39"/>
        <v>14</v>
      </c>
      <c r="O1017">
        <v>39</v>
      </c>
    </row>
    <row r="1018" spans="13:15" x14ac:dyDescent="0.25">
      <c r="M1018" s="5">
        <v>42732</v>
      </c>
      <c r="N1018">
        <f t="shared" si="39"/>
        <v>14</v>
      </c>
      <c r="O1018">
        <v>39</v>
      </c>
    </row>
    <row r="1019" spans="13:15" x14ac:dyDescent="0.25">
      <c r="M1019" s="5">
        <v>42731</v>
      </c>
      <c r="N1019">
        <f t="shared" si="39"/>
        <v>14</v>
      </c>
      <c r="O1019">
        <v>39</v>
      </c>
    </row>
    <row r="1020" spans="13:15" x14ac:dyDescent="0.25">
      <c r="M1020" s="5">
        <v>42730</v>
      </c>
      <c r="N1020">
        <f t="shared" si="39"/>
        <v>14</v>
      </c>
      <c r="O1020">
        <v>39</v>
      </c>
    </row>
    <row r="1021" spans="13:15" x14ac:dyDescent="0.25">
      <c r="M1021" s="5">
        <v>42729</v>
      </c>
      <c r="N1021">
        <f t="shared" si="39"/>
        <v>13</v>
      </c>
      <c r="O1021">
        <v>39</v>
      </c>
    </row>
    <row r="1022" spans="13:15" x14ac:dyDescent="0.25">
      <c r="M1022" s="5">
        <v>42728</v>
      </c>
      <c r="N1022">
        <f t="shared" si="39"/>
        <v>13</v>
      </c>
      <c r="O1022">
        <v>39</v>
      </c>
    </row>
    <row r="1023" spans="13:15" x14ac:dyDescent="0.25">
      <c r="M1023" s="5">
        <v>42727</v>
      </c>
      <c r="N1023">
        <f t="shared" si="39"/>
        <v>13</v>
      </c>
      <c r="O1023">
        <v>39</v>
      </c>
    </row>
    <row r="1024" spans="13:15" x14ac:dyDescent="0.25">
      <c r="M1024" s="5">
        <v>42726</v>
      </c>
      <c r="N1024">
        <f t="shared" si="39"/>
        <v>13</v>
      </c>
      <c r="O1024">
        <v>39</v>
      </c>
    </row>
    <row r="1025" spans="13:15" x14ac:dyDescent="0.25">
      <c r="M1025" s="5">
        <v>42725</v>
      </c>
      <c r="N1025">
        <f t="shared" si="39"/>
        <v>13</v>
      </c>
      <c r="O1025">
        <v>39</v>
      </c>
    </row>
    <row r="1026" spans="13:15" x14ac:dyDescent="0.25">
      <c r="M1026" s="5">
        <v>42724</v>
      </c>
      <c r="N1026">
        <f t="shared" si="39"/>
        <v>13</v>
      </c>
      <c r="O1026">
        <v>39</v>
      </c>
    </row>
    <row r="1027" spans="13:15" x14ac:dyDescent="0.25">
      <c r="M1027" s="5">
        <v>42723</v>
      </c>
      <c r="N1027">
        <f t="shared" si="39"/>
        <v>13</v>
      </c>
      <c r="O1027">
        <v>39</v>
      </c>
    </row>
    <row r="1028" spans="13:15" x14ac:dyDescent="0.25">
      <c r="M1028" s="5">
        <v>42722</v>
      </c>
      <c r="N1028">
        <f t="shared" si="39"/>
        <v>12</v>
      </c>
      <c r="O1028">
        <v>39</v>
      </c>
    </row>
    <row r="1029" spans="13:15" x14ac:dyDescent="0.25">
      <c r="M1029" s="5">
        <v>42721</v>
      </c>
      <c r="N1029">
        <f t="shared" si="39"/>
        <v>12</v>
      </c>
      <c r="O1029">
        <v>39</v>
      </c>
    </row>
    <row r="1030" spans="13:15" x14ac:dyDescent="0.25">
      <c r="M1030" s="5">
        <v>42720</v>
      </c>
      <c r="N1030">
        <f t="shared" si="39"/>
        <v>12</v>
      </c>
      <c r="O1030">
        <v>39</v>
      </c>
    </row>
    <row r="1031" spans="13:15" x14ac:dyDescent="0.25">
      <c r="M1031" s="5">
        <v>42719</v>
      </c>
      <c r="N1031">
        <f t="shared" si="39"/>
        <v>12</v>
      </c>
      <c r="O1031">
        <v>39</v>
      </c>
    </row>
    <row r="1032" spans="13:15" x14ac:dyDescent="0.25">
      <c r="M1032" s="5">
        <v>42718</v>
      </c>
      <c r="N1032">
        <f t="shared" si="39"/>
        <v>12</v>
      </c>
      <c r="O1032">
        <v>39</v>
      </c>
    </row>
    <row r="1033" spans="13:15" x14ac:dyDescent="0.25">
      <c r="M1033" s="5">
        <v>42717</v>
      </c>
      <c r="N1033">
        <f t="shared" si="39"/>
        <v>12</v>
      </c>
      <c r="O1033">
        <v>39</v>
      </c>
    </row>
    <row r="1034" spans="13:15" x14ac:dyDescent="0.25">
      <c r="M1034" s="5">
        <v>42716</v>
      </c>
      <c r="N1034">
        <f t="shared" si="39"/>
        <v>12</v>
      </c>
      <c r="O1034">
        <v>39</v>
      </c>
    </row>
    <row r="1035" spans="13:15" x14ac:dyDescent="0.25">
      <c r="M1035" s="5">
        <v>42715</v>
      </c>
      <c r="N1035">
        <f t="shared" si="39"/>
        <v>11</v>
      </c>
      <c r="O1035">
        <v>39</v>
      </c>
    </row>
    <row r="1036" spans="13:15" x14ac:dyDescent="0.25">
      <c r="M1036" s="5">
        <v>42714</v>
      </c>
      <c r="N1036">
        <f t="shared" si="39"/>
        <v>11</v>
      </c>
      <c r="O1036">
        <v>39</v>
      </c>
    </row>
    <row r="1037" spans="13:15" x14ac:dyDescent="0.25">
      <c r="M1037" s="5">
        <v>42713</v>
      </c>
      <c r="N1037">
        <f t="shared" si="39"/>
        <v>11</v>
      </c>
      <c r="O1037">
        <v>39</v>
      </c>
    </row>
    <row r="1038" spans="13:15" x14ac:dyDescent="0.25">
      <c r="M1038" s="5">
        <v>42712</v>
      </c>
      <c r="N1038">
        <f t="shared" si="39"/>
        <v>11</v>
      </c>
      <c r="O1038">
        <v>39</v>
      </c>
    </row>
    <row r="1039" spans="13:15" x14ac:dyDescent="0.25">
      <c r="M1039" s="5">
        <v>42711</v>
      </c>
      <c r="N1039">
        <f t="shared" ref="N1039:N1070" si="40">N1032-1</f>
        <v>11</v>
      </c>
      <c r="O1039">
        <v>39</v>
      </c>
    </row>
    <row r="1040" spans="13:15" x14ac:dyDescent="0.25">
      <c r="M1040" s="5">
        <v>42710</v>
      </c>
      <c r="N1040">
        <f t="shared" si="40"/>
        <v>11</v>
      </c>
      <c r="O1040">
        <v>39</v>
      </c>
    </row>
    <row r="1041" spans="13:15" x14ac:dyDescent="0.25">
      <c r="M1041" s="5">
        <v>42709</v>
      </c>
      <c r="N1041">
        <f t="shared" si="40"/>
        <v>11</v>
      </c>
      <c r="O1041">
        <v>39</v>
      </c>
    </row>
    <row r="1042" spans="13:15" x14ac:dyDescent="0.25">
      <c r="M1042" s="5">
        <v>42708</v>
      </c>
      <c r="N1042">
        <f t="shared" si="40"/>
        <v>10</v>
      </c>
      <c r="O1042">
        <v>39</v>
      </c>
    </row>
    <row r="1043" spans="13:15" x14ac:dyDescent="0.25">
      <c r="M1043" s="5">
        <v>42707</v>
      </c>
      <c r="N1043">
        <f t="shared" si="40"/>
        <v>10</v>
      </c>
      <c r="O1043">
        <v>39</v>
      </c>
    </row>
    <row r="1044" spans="13:15" x14ac:dyDescent="0.25">
      <c r="M1044" s="5">
        <v>42706</v>
      </c>
      <c r="N1044">
        <f t="shared" si="40"/>
        <v>10</v>
      </c>
      <c r="O1044">
        <v>39</v>
      </c>
    </row>
    <row r="1045" spans="13:15" x14ac:dyDescent="0.25">
      <c r="M1045" s="5">
        <v>42705</v>
      </c>
      <c r="N1045">
        <f t="shared" si="40"/>
        <v>10</v>
      </c>
      <c r="O1045">
        <v>39</v>
      </c>
    </row>
    <row r="1046" spans="13:15" x14ac:dyDescent="0.25">
      <c r="M1046" s="5">
        <v>42704</v>
      </c>
      <c r="N1046">
        <f t="shared" si="40"/>
        <v>10</v>
      </c>
      <c r="O1046">
        <v>39</v>
      </c>
    </row>
    <row r="1047" spans="13:15" x14ac:dyDescent="0.25">
      <c r="M1047" s="5">
        <v>42703</v>
      </c>
      <c r="N1047">
        <f t="shared" si="40"/>
        <v>10</v>
      </c>
      <c r="O1047">
        <v>39</v>
      </c>
    </row>
    <row r="1048" spans="13:15" x14ac:dyDescent="0.25">
      <c r="M1048" s="5">
        <v>42702</v>
      </c>
      <c r="N1048">
        <f t="shared" si="40"/>
        <v>10</v>
      </c>
      <c r="O1048">
        <v>39</v>
      </c>
    </row>
    <row r="1049" spans="13:15" x14ac:dyDescent="0.25">
      <c r="M1049" s="5">
        <v>42701</v>
      </c>
      <c r="N1049">
        <f t="shared" si="40"/>
        <v>9</v>
      </c>
      <c r="O1049">
        <v>39</v>
      </c>
    </row>
    <row r="1050" spans="13:15" x14ac:dyDescent="0.25">
      <c r="M1050" s="5">
        <v>42700</v>
      </c>
      <c r="N1050">
        <f t="shared" si="40"/>
        <v>9</v>
      </c>
      <c r="O1050">
        <v>39</v>
      </c>
    </row>
    <row r="1051" spans="13:15" x14ac:dyDescent="0.25">
      <c r="M1051" s="5">
        <v>42699</v>
      </c>
      <c r="N1051">
        <f t="shared" si="40"/>
        <v>9</v>
      </c>
      <c r="O1051">
        <v>39</v>
      </c>
    </row>
    <row r="1052" spans="13:15" x14ac:dyDescent="0.25">
      <c r="M1052" s="5">
        <v>42698</v>
      </c>
      <c r="N1052">
        <f t="shared" si="40"/>
        <v>9</v>
      </c>
      <c r="O1052">
        <v>39</v>
      </c>
    </row>
    <row r="1053" spans="13:15" x14ac:dyDescent="0.25">
      <c r="M1053" s="5">
        <v>42697</v>
      </c>
      <c r="N1053">
        <f t="shared" si="40"/>
        <v>9</v>
      </c>
      <c r="O1053">
        <v>39</v>
      </c>
    </row>
    <row r="1054" spans="13:15" x14ac:dyDescent="0.25">
      <c r="M1054" s="5">
        <v>42696</v>
      </c>
      <c r="N1054">
        <f t="shared" si="40"/>
        <v>9</v>
      </c>
      <c r="O1054">
        <v>39</v>
      </c>
    </row>
    <row r="1055" spans="13:15" x14ac:dyDescent="0.25">
      <c r="M1055" s="5">
        <v>42695</v>
      </c>
      <c r="N1055">
        <f t="shared" si="40"/>
        <v>9</v>
      </c>
      <c r="O1055">
        <v>39</v>
      </c>
    </row>
    <row r="1056" spans="13:15" x14ac:dyDescent="0.25">
      <c r="M1056" s="5">
        <v>42694</v>
      </c>
      <c r="N1056">
        <f t="shared" si="40"/>
        <v>8</v>
      </c>
      <c r="O1056">
        <v>39</v>
      </c>
    </row>
    <row r="1057" spans="13:15" x14ac:dyDescent="0.25">
      <c r="M1057" s="5">
        <v>42693</v>
      </c>
      <c r="N1057">
        <f t="shared" si="40"/>
        <v>8</v>
      </c>
      <c r="O1057">
        <v>39</v>
      </c>
    </row>
    <row r="1058" spans="13:15" x14ac:dyDescent="0.25">
      <c r="M1058" s="5">
        <v>42692</v>
      </c>
      <c r="N1058">
        <f t="shared" si="40"/>
        <v>8</v>
      </c>
      <c r="O1058">
        <v>39</v>
      </c>
    </row>
    <row r="1059" spans="13:15" x14ac:dyDescent="0.25">
      <c r="M1059" s="5">
        <v>42691</v>
      </c>
      <c r="N1059">
        <f t="shared" si="40"/>
        <v>8</v>
      </c>
      <c r="O1059">
        <v>39</v>
      </c>
    </row>
    <row r="1060" spans="13:15" x14ac:dyDescent="0.25">
      <c r="M1060" s="5">
        <v>42690</v>
      </c>
      <c r="N1060">
        <f t="shared" si="40"/>
        <v>8</v>
      </c>
      <c r="O1060">
        <v>39</v>
      </c>
    </row>
    <row r="1061" spans="13:15" x14ac:dyDescent="0.25">
      <c r="M1061" s="5">
        <v>42689</v>
      </c>
      <c r="N1061">
        <f t="shared" si="40"/>
        <v>8</v>
      </c>
      <c r="O1061">
        <v>39</v>
      </c>
    </row>
    <row r="1062" spans="13:15" x14ac:dyDescent="0.25">
      <c r="M1062" s="5">
        <v>42688</v>
      </c>
      <c r="N1062">
        <f t="shared" si="40"/>
        <v>8</v>
      </c>
      <c r="O1062">
        <v>39</v>
      </c>
    </row>
    <row r="1063" spans="13:15" x14ac:dyDescent="0.25">
      <c r="M1063" s="5">
        <v>42687</v>
      </c>
      <c r="N1063">
        <f t="shared" si="40"/>
        <v>7</v>
      </c>
      <c r="O1063">
        <v>39</v>
      </c>
    </row>
    <row r="1064" spans="13:15" x14ac:dyDescent="0.25">
      <c r="M1064" s="5">
        <v>42686</v>
      </c>
      <c r="N1064">
        <f t="shared" si="40"/>
        <v>7</v>
      </c>
      <c r="O1064">
        <v>39</v>
      </c>
    </row>
    <row r="1065" spans="13:15" x14ac:dyDescent="0.25">
      <c r="M1065" s="5">
        <v>42685</v>
      </c>
      <c r="N1065">
        <f t="shared" si="40"/>
        <v>7</v>
      </c>
      <c r="O1065">
        <v>39</v>
      </c>
    </row>
    <row r="1066" spans="13:15" x14ac:dyDescent="0.25">
      <c r="M1066" s="5">
        <v>42684</v>
      </c>
      <c r="N1066">
        <f t="shared" si="40"/>
        <v>7</v>
      </c>
      <c r="O1066">
        <v>39</v>
      </c>
    </row>
    <row r="1067" spans="13:15" x14ac:dyDescent="0.25">
      <c r="M1067" s="5">
        <v>42683</v>
      </c>
      <c r="N1067">
        <f t="shared" si="40"/>
        <v>7</v>
      </c>
      <c r="O1067">
        <v>39</v>
      </c>
    </row>
    <row r="1068" spans="13:15" x14ac:dyDescent="0.25">
      <c r="M1068" s="5">
        <v>42682</v>
      </c>
      <c r="N1068">
        <f t="shared" si="40"/>
        <v>7</v>
      </c>
      <c r="O1068">
        <v>39</v>
      </c>
    </row>
    <row r="1069" spans="13:15" x14ac:dyDescent="0.25">
      <c r="M1069" s="5">
        <v>42681</v>
      </c>
      <c r="N1069">
        <f t="shared" si="40"/>
        <v>7</v>
      </c>
      <c r="O1069">
        <v>39</v>
      </c>
    </row>
    <row r="1070" spans="13:15" x14ac:dyDescent="0.25">
      <c r="M1070" s="5">
        <v>42680</v>
      </c>
      <c r="N1070">
        <f t="shared" si="40"/>
        <v>6</v>
      </c>
      <c r="O1070">
        <v>39</v>
      </c>
    </row>
    <row r="1071" spans="13:15" x14ac:dyDescent="0.25">
      <c r="M1071" s="5">
        <v>42679</v>
      </c>
      <c r="N1071">
        <f t="shared" ref="N1071:N1102" si="41">N1064-1</f>
        <v>6</v>
      </c>
      <c r="O1071">
        <v>39</v>
      </c>
    </row>
    <row r="1072" spans="13:15" x14ac:dyDescent="0.25">
      <c r="M1072" s="5">
        <v>42678</v>
      </c>
      <c r="N1072">
        <f t="shared" si="41"/>
        <v>6</v>
      </c>
      <c r="O1072">
        <v>39</v>
      </c>
    </row>
    <row r="1073" spans="13:15" x14ac:dyDescent="0.25">
      <c r="M1073" s="5">
        <v>42677</v>
      </c>
      <c r="N1073">
        <f t="shared" si="41"/>
        <v>6</v>
      </c>
      <c r="O1073">
        <v>39</v>
      </c>
    </row>
    <row r="1074" spans="13:15" x14ac:dyDescent="0.25">
      <c r="M1074" s="5">
        <v>42676</v>
      </c>
      <c r="N1074">
        <f t="shared" si="41"/>
        <v>6</v>
      </c>
      <c r="O1074">
        <v>39</v>
      </c>
    </row>
    <row r="1075" spans="13:15" x14ac:dyDescent="0.25">
      <c r="M1075" s="5">
        <v>42675</v>
      </c>
      <c r="N1075">
        <f t="shared" si="41"/>
        <v>6</v>
      </c>
      <c r="O1075">
        <v>39</v>
      </c>
    </row>
    <row r="1076" spans="13:15" x14ac:dyDescent="0.25">
      <c r="M1076" s="5">
        <v>42674</v>
      </c>
      <c r="N1076">
        <f t="shared" si="41"/>
        <v>6</v>
      </c>
      <c r="O1076">
        <v>39</v>
      </c>
    </row>
    <row r="1077" spans="13:15" x14ac:dyDescent="0.25">
      <c r="M1077" s="5">
        <v>42673</v>
      </c>
      <c r="N1077">
        <f t="shared" si="41"/>
        <v>5</v>
      </c>
      <c r="O1077">
        <v>39</v>
      </c>
    </row>
    <row r="1078" spans="13:15" x14ac:dyDescent="0.25">
      <c r="M1078" s="5">
        <v>42672</v>
      </c>
      <c r="N1078">
        <f t="shared" si="41"/>
        <v>5</v>
      </c>
      <c r="O1078">
        <v>39</v>
      </c>
    </row>
    <row r="1079" spans="13:15" x14ac:dyDescent="0.25">
      <c r="M1079" s="5">
        <v>42671</v>
      </c>
      <c r="N1079">
        <f t="shared" si="41"/>
        <v>5</v>
      </c>
      <c r="O1079">
        <v>39</v>
      </c>
    </row>
    <row r="1080" spans="13:15" x14ac:dyDescent="0.25">
      <c r="M1080" s="5">
        <v>42670</v>
      </c>
      <c r="N1080">
        <f t="shared" si="41"/>
        <v>5</v>
      </c>
      <c r="O1080">
        <v>39</v>
      </c>
    </row>
    <row r="1081" spans="13:15" x14ac:dyDescent="0.25">
      <c r="M1081" s="5">
        <v>42669</v>
      </c>
      <c r="N1081">
        <f t="shared" si="41"/>
        <v>5</v>
      </c>
      <c r="O1081">
        <v>39</v>
      </c>
    </row>
    <row r="1082" spans="13:15" x14ac:dyDescent="0.25">
      <c r="M1082" s="5">
        <v>42668</v>
      </c>
      <c r="N1082">
        <f t="shared" si="41"/>
        <v>5</v>
      </c>
      <c r="O1082">
        <v>39</v>
      </c>
    </row>
    <row r="1083" spans="13:15" x14ac:dyDescent="0.25">
      <c r="M1083" s="5">
        <v>42667</v>
      </c>
      <c r="N1083">
        <f t="shared" si="41"/>
        <v>5</v>
      </c>
      <c r="O1083">
        <v>39</v>
      </c>
    </row>
    <row r="1084" spans="13:15" x14ac:dyDescent="0.25">
      <c r="M1084" s="5">
        <v>42666</v>
      </c>
      <c r="N1084">
        <f t="shared" si="41"/>
        <v>4</v>
      </c>
      <c r="O1084">
        <v>39</v>
      </c>
    </row>
    <row r="1085" spans="13:15" x14ac:dyDescent="0.25">
      <c r="M1085" s="5">
        <v>42665</v>
      </c>
      <c r="N1085">
        <f t="shared" si="41"/>
        <v>4</v>
      </c>
      <c r="O1085">
        <v>39</v>
      </c>
    </row>
    <row r="1086" spans="13:15" x14ac:dyDescent="0.25">
      <c r="M1086" s="5">
        <v>42664</v>
      </c>
      <c r="N1086">
        <f t="shared" si="41"/>
        <v>4</v>
      </c>
      <c r="O1086">
        <v>39</v>
      </c>
    </row>
    <row r="1087" spans="13:15" x14ac:dyDescent="0.25">
      <c r="M1087" s="5">
        <v>42663</v>
      </c>
      <c r="N1087">
        <f t="shared" si="41"/>
        <v>4</v>
      </c>
      <c r="O1087">
        <v>39</v>
      </c>
    </row>
    <row r="1088" spans="13:15" x14ac:dyDescent="0.25">
      <c r="M1088" s="5">
        <v>42662</v>
      </c>
      <c r="N1088">
        <f t="shared" si="41"/>
        <v>4</v>
      </c>
      <c r="O1088">
        <v>39</v>
      </c>
    </row>
    <row r="1089" spans="13:15" x14ac:dyDescent="0.25">
      <c r="M1089" s="5">
        <v>42661</v>
      </c>
      <c r="N1089">
        <f t="shared" si="41"/>
        <v>4</v>
      </c>
      <c r="O1089">
        <v>39</v>
      </c>
    </row>
    <row r="1090" spans="13:15" x14ac:dyDescent="0.25">
      <c r="M1090" s="5">
        <v>42660</v>
      </c>
      <c r="N1090">
        <f t="shared" si="41"/>
        <v>4</v>
      </c>
      <c r="O1090">
        <v>39</v>
      </c>
    </row>
    <row r="1091" spans="13:15" x14ac:dyDescent="0.25">
      <c r="M1091" s="5">
        <v>42659</v>
      </c>
      <c r="N1091">
        <f t="shared" si="41"/>
        <v>3</v>
      </c>
      <c r="O1091">
        <v>39</v>
      </c>
    </row>
    <row r="1092" spans="13:15" x14ac:dyDescent="0.25">
      <c r="M1092" s="5">
        <v>42658</v>
      </c>
      <c r="N1092">
        <f t="shared" si="41"/>
        <v>3</v>
      </c>
      <c r="O1092">
        <v>39</v>
      </c>
    </row>
    <row r="1093" spans="13:15" x14ac:dyDescent="0.25">
      <c r="M1093" s="5">
        <v>42657</v>
      </c>
      <c r="N1093">
        <f t="shared" si="41"/>
        <v>3</v>
      </c>
      <c r="O1093">
        <v>39</v>
      </c>
    </row>
    <row r="1094" spans="13:15" x14ac:dyDescent="0.25">
      <c r="M1094" s="5">
        <v>42656</v>
      </c>
      <c r="N1094">
        <f t="shared" si="41"/>
        <v>3</v>
      </c>
      <c r="O1094">
        <v>39</v>
      </c>
    </row>
    <row r="1095" spans="13:15" x14ac:dyDescent="0.25">
      <c r="M1095" s="5">
        <v>42655</v>
      </c>
      <c r="N1095">
        <f t="shared" si="41"/>
        <v>3</v>
      </c>
      <c r="O1095">
        <v>39</v>
      </c>
    </row>
    <row r="1096" spans="13:15" x14ac:dyDescent="0.25">
      <c r="M1096" s="5">
        <v>42654</v>
      </c>
      <c r="N1096">
        <f t="shared" si="41"/>
        <v>3</v>
      </c>
      <c r="O1096">
        <v>39</v>
      </c>
    </row>
    <row r="1097" spans="13:15" x14ac:dyDescent="0.25">
      <c r="M1097" s="5">
        <v>42653</v>
      </c>
      <c r="N1097">
        <f t="shared" si="41"/>
        <v>3</v>
      </c>
      <c r="O1097">
        <v>39</v>
      </c>
    </row>
    <row r="1098" spans="13:15" x14ac:dyDescent="0.25">
      <c r="M1098" s="5">
        <v>42652</v>
      </c>
      <c r="N1098">
        <f t="shared" si="41"/>
        <v>2</v>
      </c>
      <c r="O1098">
        <v>39</v>
      </c>
    </row>
    <row r="1099" spans="13:15" x14ac:dyDescent="0.25">
      <c r="M1099" s="5">
        <v>42651</v>
      </c>
      <c r="N1099">
        <f t="shared" si="41"/>
        <v>2</v>
      </c>
      <c r="O1099">
        <v>39</v>
      </c>
    </row>
    <row r="1100" spans="13:15" x14ac:dyDescent="0.25">
      <c r="M1100" s="5">
        <v>42650</v>
      </c>
      <c r="N1100">
        <f t="shared" si="41"/>
        <v>2</v>
      </c>
      <c r="O1100">
        <v>39</v>
      </c>
    </row>
    <row r="1101" spans="13:15" x14ac:dyDescent="0.25">
      <c r="M1101" s="5">
        <v>42649</v>
      </c>
      <c r="N1101">
        <f t="shared" si="41"/>
        <v>2</v>
      </c>
      <c r="O1101">
        <v>39</v>
      </c>
    </row>
    <row r="1102" spans="13:15" x14ac:dyDescent="0.25">
      <c r="M1102" s="5">
        <v>42648</v>
      </c>
      <c r="N1102">
        <f t="shared" si="41"/>
        <v>2</v>
      </c>
      <c r="O1102">
        <v>39</v>
      </c>
    </row>
    <row r="1103" spans="13:15" x14ac:dyDescent="0.25">
      <c r="M1103" s="5">
        <v>42647</v>
      </c>
      <c r="N1103">
        <f t="shared" ref="N1103:N1111" si="42">N1096-1</f>
        <v>2</v>
      </c>
      <c r="O1103">
        <v>39</v>
      </c>
    </row>
    <row r="1104" spans="13:15" x14ac:dyDescent="0.25">
      <c r="M1104" s="5">
        <v>42646</v>
      </c>
      <c r="N1104">
        <f t="shared" si="42"/>
        <v>2</v>
      </c>
      <c r="O1104">
        <v>39</v>
      </c>
    </row>
    <row r="1105" spans="13:15" x14ac:dyDescent="0.25">
      <c r="M1105" s="5">
        <v>42645</v>
      </c>
      <c r="N1105">
        <f t="shared" si="42"/>
        <v>1</v>
      </c>
      <c r="O1105">
        <v>39</v>
      </c>
    </row>
    <row r="1106" spans="13:15" x14ac:dyDescent="0.25">
      <c r="M1106" s="5">
        <v>42644</v>
      </c>
      <c r="N1106">
        <f t="shared" si="42"/>
        <v>1</v>
      </c>
      <c r="O1106">
        <v>39</v>
      </c>
    </row>
    <row r="1107" spans="13:15" x14ac:dyDescent="0.25">
      <c r="M1107" s="5">
        <v>42643</v>
      </c>
      <c r="N1107">
        <f t="shared" si="42"/>
        <v>1</v>
      </c>
      <c r="O1107">
        <v>39</v>
      </c>
    </row>
    <row r="1108" spans="13:15" x14ac:dyDescent="0.25">
      <c r="M1108" s="5">
        <v>42642</v>
      </c>
      <c r="N1108">
        <f t="shared" si="42"/>
        <v>1</v>
      </c>
      <c r="O1108">
        <v>39</v>
      </c>
    </row>
    <row r="1109" spans="13:15" x14ac:dyDescent="0.25">
      <c r="M1109" s="5">
        <v>42641</v>
      </c>
      <c r="N1109">
        <f t="shared" si="42"/>
        <v>1</v>
      </c>
      <c r="O1109">
        <v>39</v>
      </c>
    </row>
    <row r="1110" spans="13:15" x14ac:dyDescent="0.25">
      <c r="M1110" s="5">
        <v>42640</v>
      </c>
      <c r="N1110">
        <f t="shared" si="42"/>
        <v>1</v>
      </c>
      <c r="O1110">
        <v>39</v>
      </c>
    </row>
    <row r="1111" spans="13:15" x14ac:dyDescent="0.25">
      <c r="M1111" s="5">
        <v>42639</v>
      </c>
      <c r="N1111">
        <f t="shared" si="42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3">N1112-1</f>
        <v>15</v>
      </c>
      <c r="O1119">
        <v>38</v>
      </c>
    </row>
    <row r="1120" spans="13:15" x14ac:dyDescent="0.25">
      <c r="M1120" s="5">
        <v>42630</v>
      </c>
      <c r="N1120">
        <f t="shared" si="43"/>
        <v>15</v>
      </c>
      <c r="O1120">
        <v>38</v>
      </c>
    </row>
    <row r="1121" spans="13:15" x14ac:dyDescent="0.25">
      <c r="M1121" s="5">
        <v>42629</v>
      </c>
      <c r="N1121">
        <f t="shared" si="43"/>
        <v>15</v>
      </c>
      <c r="O1121">
        <v>38</v>
      </c>
    </row>
    <row r="1122" spans="13:15" x14ac:dyDescent="0.25">
      <c r="M1122" s="5">
        <v>42628</v>
      </c>
      <c r="N1122">
        <f t="shared" si="43"/>
        <v>15</v>
      </c>
      <c r="O1122">
        <v>38</v>
      </c>
    </row>
    <row r="1123" spans="13:15" x14ac:dyDescent="0.25">
      <c r="M1123" s="5">
        <v>42627</v>
      </c>
      <c r="N1123">
        <f t="shared" si="43"/>
        <v>15</v>
      </c>
      <c r="O1123">
        <v>38</v>
      </c>
    </row>
    <row r="1124" spans="13:15" x14ac:dyDescent="0.25">
      <c r="M1124" s="5">
        <v>42626</v>
      </c>
      <c r="N1124">
        <f t="shared" si="43"/>
        <v>15</v>
      </c>
      <c r="O1124">
        <v>38</v>
      </c>
    </row>
    <row r="1125" spans="13:15" x14ac:dyDescent="0.25">
      <c r="M1125" s="5">
        <v>42625</v>
      </c>
      <c r="N1125">
        <f t="shared" si="43"/>
        <v>15</v>
      </c>
      <c r="O1125">
        <v>38</v>
      </c>
    </row>
    <row r="1126" spans="13:15" x14ac:dyDescent="0.25">
      <c r="M1126" s="5">
        <v>42624</v>
      </c>
      <c r="N1126">
        <f t="shared" si="43"/>
        <v>14</v>
      </c>
      <c r="O1126">
        <v>38</v>
      </c>
    </row>
    <row r="1127" spans="13:15" x14ac:dyDescent="0.25">
      <c r="M1127" s="5">
        <v>42623</v>
      </c>
      <c r="N1127">
        <f t="shared" si="43"/>
        <v>14</v>
      </c>
      <c r="O1127">
        <v>38</v>
      </c>
    </row>
    <row r="1128" spans="13:15" x14ac:dyDescent="0.25">
      <c r="M1128" s="5">
        <v>42622</v>
      </c>
      <c r="N1128">
        <f t="shared" si="43"/>
        <v>14</v>
      </c>
      <c r="O1128">
        <v>38</v>
      </c>
    </row>
    <row r="1129" spans="13:15" x14ac:dyDescent="0.25">
      <c r="M1129" s="5">
        <v>42621</v>
      </c>
      <c r="N1129">
        <f t="shared" si="43"/>
        <v>14</v>
      </c>
      <c r="O1129">
        <v>38</v>
      </c>
    </row>
    <row r="1130" spans="13:15" x14ac:dyDescent="0.25">
      <c r="M1130" s="5">
        <v>42620</v>
      </c>
      <c r="N1130">
        <f t="shared" si="43"/>
        <v>14</v>
      </c>
      <c r="O1130">
        <v>38</v>
      </c>
    </row>
    <row r="1131" spans="13:15" x14ac:dyDescent="0.25">
      <c r="M1131" s="5">
        <v>42619</v>
      </c>
      <c r="N1131">
        <f t="shared" si="43"/>
        <v>14</v>
      </c>
      <c r="O1131">
        <v>38</v>
      </c>
    </row>
    <row r="1132" spans="13:15" x14ac:dyDescent="0.25">
      <c r="M1132" s="5">
        <v>42618</v>
      </c>
      <c r="N1132">
        <f t="shared" si="43"/>
        <v>14</v>
      </c>
      <c r="O1132">
        <v>38</v>
      </c>
    </row>
    <row r="1133" spans="13:15" x14ac:dyDescent="0.25">
      <c r="M1133" s="5">
        <v>42617</v>
      </c>
      <c r="N1133">
        <f t="shared" si="43"/>
        <v>13</v>
      </c>
      <c r="O1133">
        <v>38</v>
      </c>
    </row>
    <row r="1134" spans="13:15" x14ac:dyDescent="0.25">
      <c r="M1134" s="5">
        <v>42616</v>
      </c>
      <c r="N1134">
        <f t="shared" si="43"/>
        <v>13</v>
      </c>
      <c r="O1134">
        <v>38</v>
      </c>
    </row>
    <row r="1135" spans="13:15" x14ac:dyDescent="0.25">
      <c r="M1135" s="5">
        <v>42615</v>
      </c>
      <c r="N1135">
        <f t="shared" si="43"/>
        <v>13</v>
      </c>
      <c r="O1135">
        <v>38</v>
      </c>
    </row>
    <row r="1136" spans="13:15" x14ac:dyDescent="0.25">
      <c r="M1136" s="5">
        <v>42614</v>
      </c>
      <c r="N1136">
        <f t="shared" si="43"/>
        <v>13</v>
      </c>
      <c r="O1136">
        <v>38</v>
      </c>
    </row>
    <row r="1137" spans="13:15" x14ac:dyDescent="0.25">
      <c r="M1137" s="5">
        <v>42613</v>
      </c>
      <c r="N1137">
        <f t="shared" si="43"/>
        <v>13</v>
      </c>
      <c r="O1137">
        <v>38</v>
      </c>
    </row>
    <row r="1138" spans="13:15" x14ac:dyDescent="0.25">
      <c r="M1138" s="5">
        <v>42612</v>
      </c>
      <c r="N1138">
        <f t="shared" si="43"/>
        <v>13</v>
      </c>
      <c r="O1138">
        <v>38</v>
      </c>
    </row>
    <row r="1139" spans="13:15" x14ac:dyDescent="0.25">
      <c r="M1139" s="5">
        <v>42611</v>
      </c>
      <c r="N1139">
        <f t="shared" si="43"/>
        <v>13</v>
      </c>
      <c r="O1139">
        <v>38</v>
      </c>
    </row>
    <row r="1140" spans="13:15" x14ac:dyDescent="0.25">
      <c r="M1140" s="5">
        <v>42610</v>
      </c>
      <c r="N1140">
        <f t="shared" si="43"/>
        <v>12</v>
      </c>
      <c r="O1140">
        <v>38</v>
      </c>
    </row>
    <row r="1141" spans="13:15" x14ac:dyDescent="0.25">
      <c r="M1141" s="5">
        <v>42609</v>
      </c>
      <c r="N1141">
        <f t="shared" si="43"/>
        <v>12</v>
      </c>
      <c r="O1141">
        <v>38</v>
      </c>
    </row>
    <row r="1142" spans="13:15" x14ac:dyDescent="0.25">
      <c r="M1142" s="5">
        <v>42608</v>
      </c>
      <c r="N1142">
        <f t="shared" si="43"/>
        <v>12</v>
      </c>
      <c r="O1142">
        <v>38</v>
      </c>
    </row>
    <row r="1143" spans="13:15" x14ac:dyDescent="0.25">
      <c r="M1143" s="5">
        <v>42607</v>
      </c>
      <c r="N1143">
        <f t="shared" si="43"/>
        <v>12</v>
      </c>
      <c r="O1143">
        <v>38</v>
      </c>
    </row>
    <row r="1144" spans="13:15" x14ac:dyDescent="0.25">
      <c r="M1144" s="5">
        <v>42606</v>
      </c>
      <c r="N1144">
        <f t="shared" si="43"/>
        <v>12</v>
      </c>
      <c r="O1144">
        <v>38</v>
      </c>
    </row>
    <row r="1145" spans="13:15" x14ac:dyDescent="0.25">
      <c r="M1145" s="5">
        <v>42605</v>
      </c>
      <c r="N1145">
        <f t="shared" si="43"/>
        <v>12</v>
      </c>
      <c r="O1145">
        <v>38</v>
      </c>
    </row>
    <row r="1146" spans="13:15" x14ac:dyDescent="0.25">
      <c r="M1146" s="5">
        <v>42604</v>
      </c>
      <c r="N1146">
        <f t="shared" si="43"/>
        <v>12</v>
      </c>
      <c r="O1146">
        <v>38</v>
      </c>
    </row>
    <row r="1147" spans="13:15" x14ac:dyDescent="0.25">
      <c r="M1147" s="5">
        <v>42603</v>
      </c>
      <c r="N1147">
        <f t="shared" si="43"/>
        <v>11</v>
      </c>
      <c r="O1147">
        <v>38</v>
      </c>
    </row>
    <row r="1148" spans="13:15" x14ac:dyDescent="0.25">
      <c r="M1148" s="5">
        <v>42602</v>
      </c>
      <c r="N1148">
        <f t="shared" si="43"/>
        <v>11</v>
      </c>
      <c r="O1148">
        <v>38</v>
      </c>
    </row>
    <row r="1149" spans="13:15" x14ac:dyDescent="0.25">
      <c r="M1149" s="5">
        <v>42601</v>
      </c>
      <c r="N1149">
        <f t="shared" si="43"/>
        <v>11</v>
      </c>
      <c r="O1149">
        <v>38</v>
      </c>
    </row>
    <row r="1150" spans="13:15" x14ac:dyDescent="0.25">
      <c r="M1150" s="5">
        <v>42600</v>
      </c>
      <c r="N1150">
        <f t="shared" si="43"/>
        <v>11</v>
      </c>
      <c r="O1150">
        <v>38</v>
      </c>
    </row>
    <row r="1151" spans="13:15" x14ac:dyDescent="0.25">
      <c r="M1151" s="5">
        <v>42599</v>
      </c>
      <c r="N1151">
        <f t="shared" ref="N1151:N1182" si="44">N1144-1</f>
        <v>11</v>
      </c>
      <c r="O1151">
        <v>38</v>
      </c>
    </row>
    <row r="1152" spans="13:15" x14ac:dyDescent="0.25">
      <c r="M1152" s="5">
        <v>42598</v>
      </c>
      <c r="N1152">
        <f t="shared" si="44"/>
        <v>11</v>
      </c>
      <c r="O1152">
        <v>38</v>
      </c>
    </row>
    <row r="1153" spans="13:15" x14ac:dyDescent="0.25">
      <c r="M1153" s="5">
        <v>42597</v>
      </c>
      <c r="N1153">
        <f t="shared" si="44"/>
        <v>11</v>
      </c>
      <c r="O1153">
        <v>38</v>
      </c>
    </row>
    <row r="1154" spans="13:15" x14ac:dyDescent="0.25">
      <c r="M1154" s="5">
        <v>42596</v>
      </c>
      <c r="N1154">
        <f t="shared" si="44"/>
        <v>10</v>
      </c>
      <c r="O1154">
        <v>38</v>
      </c>
    </row>
    <row r="1155" spans="13:15" x14ac:dyDescent="0.25">
      <c r="M1155" s="5">
        <v>42595</v>
      </c>
      <c r="N1155">
        <f t="shared" si="44"/>
        <v>10</v>
      </c>
      <c r="O1155">
        <v>38</v>
      </c>
    </row>
    <row r="1156" spans="13:15" x14ac:dyDescent="0.25">
      <c r="M1156" s="5">
        <v>42594</v>
      </c>
      <c r="N1156">
        <f t="shared" si="44"/>
        <v>10</v>
      </c>
      <c r="O1156">
        <v>38</v>
      </c>
    </row>
    <row r="1157" spans="13:15" x14ac:dyDescent="0.25">
      <c r="M1157" s="5">
        <v>42593</v>
      </c>
      <c r="N1157">
        <f t="shared" si="44"/>
        <v>10</v>
      </c>
      <c r="O1157">
        <v>38</v>
      </c>
    </row>
    <row r="1158" spans="13:15" x14ac:dyDescent="0.25">
      <c r="M1158" s="5">
        <v>42592</v>
      </c>
      <c r="N1158">
        <f t="shared" si="44"/>
        <v>10</v>
      </c>
      <c r="O1158">
        <v>38</v>
      </c>
    </row>
    <row r="1159" spans="13:15" x14ac:dyDescent="0.25">
      <c r="M1159" s="5">
        <v>42591</v>
      </c>
      <c r="N1159">
        <f t="shared" si="44"/>
        <v>10</v>
      </c>
      <c r="O1159">
        <v>38</v>
      </c>
    </row>
    <row r="1160" spans="13:15" x14ac:dyDescent="0.25">
      <c r="M1160" s="5">
        <v>42590</v>
      </c>
      <c r="N1160">
        <f t="shared" si="44"/>
        <v>10</v>
      </c>
      <c r="O1160">
        <v>38</v>
      </c>
    </row>
    <row r="1161" spans="13:15" x14ac:dyDescent="0.25">
      <c r="M1161" s="5">
        <v>42589</v>
      </c>
      <c r="N1161">
        <f t="shared" si="44"/>
        <v>9</v>
      </c>
      <c r="O1161">
        <v>38</v>
      </c>
    </row>
    <row r="1162" spans="13:15" x14ac:dyDescent="0.25">
      <c r="M1162" s="5">
        <v>42588</v>
      </c>
      <c r="N1162">
        <f t="shared" si="44"/>
        <v>9</v>
      </c>
      <c r="O1162">
        <v>38</v>
      </c>
    </row>
    <row r="1163" spans="13:15" x14ac:dyDescent="0.25">
      <c r="M1163" s="5">
        <v>42587</v>
      </c>
      <c r="N1163">
        <f t="shared" si="44"/>
        <v>9</v>
      </c>
      <c r="O1163">
        <v>38</v>
      </c>
    </row>
    <row r="1164" spans="13:15" x14ac:dyDescent="0.25">
      <c r="M1164" s="5">
        <v>42586</v>
      </c>
      <c r="N1164">
        <f t="shared" si="44"/>
        <v>9</v>
      </c>
      <c r="O1164">
        <v>38</v>
      </c>
    </row>
    <row r="1165" spans="13:15" x14ac:dyDescent="0.25">
      <c r="M1165" s="5">
        <v>42585</v>
      </c>
      <c r="N1165">
        <f t="shared" si="44"/>
        <v>9</v>
      </c>
      <c r="O1165">
        <v>38</v>
      </c>
    </row>
    <row r="1166" spans="13:15" x14ac:dyDescent="0.25">
      <c r="M1166" s="5">
        <v>42584</v>
      </c>
      <c r="N1166">
        <f t="shared" si="44"/>
        <v>9</v>
      </c>
      <c r="O1166">
        <v>38</v>
      </c>
    </row>
    <row r="1167" spans="13:15" x14ac:dyDescent="0.25">
      <c r="M1167" s="5">
        <v>42583</v>
      </c>
      <c r="N1167">
        <f t="shared" si="44"/>
        <v>9</v>
      </c>
      <c r="O1167">
        <v>38</v>
      </c>
    </row>
    <row r="1168" spans="13:15" x14ac:dyDescent="0.25">
      <c r="M1168" s="5">
        <v>42582</v>
      </c>
      <c r="N1168">
        <f t="shared" si="44"/>
        <v>8</v>
      </c>
      <c r="O1168">
        <v>38</v>
      </c>
    </row>
    <row r="1169" spans="13:15" x14ac:dyDescent="0.25">
      <c r="M1169" s="5">
        <v>42581</v>
      </c>
      <c r="N1169">
        <f t="shared" si="44"/>
        <v>8</v>
      </c>
      <c r="O1169">
        <v>38</v>
      </c>
    </row>
    <row r="1170" spans="13:15" x14ac:dyDescent="0.25">
      <c r="M1170" s="5">
        <v>42580</v>
      </c>
      <c r="N1170">
        <f t="shared" si="44"/>
        <v>8</v>
      </c>
      <c r="O1170">
        <v>38</v>
      </c>
    </row>
    <row r="1171" spans="13:15" x14ac:dyDescent="0.25">
      <c r="M1171" s="5">
        <v>42579</v>
      </c>
      <c r="N1171">
        <f t="shared" si="44"/>
        <v>8</v>
      </c>
      <c r="O1171">
        <v>38</v>
      </c>
    </row>
    <row r="1172" spans="13:15" x14ac:dyDescent="0.25">
      <c r="M1172" s="5">
        <v>42578</v>
      </c>
      <c r="N1172">
        <f t="shared" si="44"/>
        <v>8</v>
      </c>
      <c r="O1172">
        <v>38</v>
      </c>
    </row>
    <row r="1173" spans="13:15" x14ac:dyDescent="0.25">
      <c r="M1173" s="5">
        <v>42577</v>
      </c>
      <c r="N1173">
        <f t="shared" si="44"/>
        <v>8</v>
      </c>
      <c r="O1173">
        <v>38</v>
      </c>
    </row>
    <row r="1174" spans="13:15" x14ac:dyDescent="0.25">
      <c r="M1174" s="5">
        <v>42576</v>
      </c>
      <c r="N1174">
        <f t="shared" si="44"/>
        <v>8</v>
      </c>
      <c r="O1174">
        <v>38</v>
      </c>
    </row>
    <row r="1175" spans="13:15" x14ac:dyDescent="0.25">
      <c r="M1175" s="5">
        <v>42575</v>
      </c>
      <c r="N1175">
        <f t="shared" si="44"/>
        <v>7</v>
      </c>
      <c r="O1175">
        <v>38</v>
      </c>
    </row>
    <row r="1176" spans="13:15" x14ac:dyDescent="0.25">
      <c r="M1176" s="5">
        <v>42574</v>
      </c>
      <c r="N1176">
        <f t="shared" si="44"/>
        <v>7</v>
      </c>
      <c r="O1176">
        <v>38</v>
      </c>
    </row>
    <row r="1177" spans="13:15" x14ac:dyDescent="0.25">
      <c r="M1177" s="5">
        <v>42573</v>
      </c>
      <c r="N1177">
        <f t="shared" si="44"/>
        <v>7</v>
      </c>
      <c r="O1177">
        <v>38</v>
      </c>
    </row>
    <row r="1178" spans="13:15" x14ac:dyDescent="0.25">
      <c r="M1178" s="5">
        <v>42572</v>
      </c>
      <c r="N1178">
        <f t="shared" si="44"/>
        <v>7</v>
      </c>
      <c r="O1178">
        <v>38</v>
      </c>
    </row>
    <row r="1179" spans="13:15" x14ac:dyDescent="0.25">
      <c r="M1179" s="5">
        <v>42571</v>
      </c>
      <c r="N1179">
        <f t="shared" si="44"/>
        <v>7</v>
      </c>
      <c r="O1179">
        <v>38</v>
      </c>
    </row>
    <row r="1180" spans="13:15" x14ac:dyDescent="0.25">
      <c r="M1180" s="5">
        <v>42570</v>
      </c>
      <c r="N1180">
        <f t="shared" si="44"/>
        <v>7</v>
      </c>
      <c r="O1180">
        <v>38</v>
      </c>
    </row>
    <row r="1181" spans="13:15" x14ac:dyDescent="0.25">
      <c r="M1181" s="5">
        <v>42569</v>
      </c>
      <c r="N1181">
        <f t="shared" si="44"/>
        <v>7</v>
      </c>
      <c r="O1181">
        <v>38</v>
      </c>
    </row>
    <row r="1182" spans="13:15" x14ac:dyDescent="0.25">
      <c r="M1182" s="5">
        <v>42568</v>
      </c>
      <c r="N1182">
        <f t="shared" si="44"/>
        <v>6</v>
      </c>
      <c r="O1182">
        <v>38</v>
      </c>
    </row>
    <row r="1183" spans="13:15" x14ac:dyDescent="0.25">
      <c r="M1183" s="5">
        <v>42567</v>
      </c>
      <c r="N1183">
        <f t="shared" ref="N1183:N1214" si="45">N1176-1</f>
        <v>6</v>
      </c>
      <c r="O1183">
        <v>38</v>
      </c>
    </row>
    <row r="1184" spans="13:15" x14ac:dyDescent="0.25">
      <c r="M1184" s="5">
        <v>42566</v>
      </c>
      <c r="N1184">
        <f t="shared" si="45"/>
        <v>6</v>
      </c>
      <c r="O1184">
        <v>38</v>
      </c>
    </row>
    <row r="1185" spans="13:15" x14ac:dyDescent="0.25">
      <c r="M1185" s="5">
        <v>42565</v>
      </c>
      <c r="N1185">
        <f t="shared" si="45"/>
        <v>6</v>
      </c>
      <c r="O1185">
        <v>38</v>
      </c>
    </row>
    <row r="1186" spans="13:15" x14ac:dyDescent="0.25">
      <c r="M1186" s="5">
        <v>42564</v>
      </c>
      <c r="N1186">
        <f t="shared" si="45"/>
        <v>6</v>
      </c>
      <c r="O1186">
        <v>38</v>
      </c>
    </row>
    <row r="1187" spans="13:15" x14ac:dyDescent="0.25">
      <c r="M1187" s="5">
        <v>42563</v>
      </c>
      <c r="N1187">
        <f t="shared" si="45"/>
        <v>6</v>
      </c>
      <c r="O1187">
        <v>38</v>
      </c>
    </row>
    <row r="1188" spans="13:15" x14ac:dyDescent="0.25">
      <c r="M1188" s="5">
        <v>42562</v>
      </c>
      <c r="N1188">
        <f t="shared" si="45"/>
        <v>6</v>
      </c>
      <c r="O1188">
        <v>38</v>
      </c>
    </row>
    <row r="1189" spans="13:15" x14ac:dyDescent="0.25">
      <c r="M1189" s="5">
        <v>42561</v>
      </c>
      <c r="N1189">
        <f t="shared" si="45"/>
        <v>5</v>
      </c>
      <c r="O1189">
        <v>38</v>
      </c>
    </row>
    <row r="1190" spans="13:15" x14ac:dyDescent="0.25">
      <c r="M1190" s="5">
        <v>42560</v>
      </c>
      <c r="N1190">
        <f t="shared" si="45"/>
        <v>5</v>
      </c>
      <c r="O1190">
        <v>38</v>
      </c>
    </row>
    <row r="1191" spans="13:15" x14ac:dyDescent="0.25">
      <c r="M1191" s="5">
        <v>42559</v>
      </c>
      <c r="N1191">
        <f t="shared" si="45"/>
        <v>5</v>
      </c>
      <c r="O1191">
        <v>38</v>
      </c>
    </row>
    <row r="1192" spans="13:15" x14ac:dyDescent="0.25">
      <c r="M1192" s="5">
        <v>42558</v>
      </c>
      <c r="N1192">
        <f t="shared" si="45"/>
        <v>5</v>
      </c>
      <c r="O1192">
        <v>38</v>
      </c>
    </row>
    <row r="1193" spans="13:15" x14ac:dyDescent="0.25">
      <c r="M1193" s="5">
        <v>42557</v>
      </c>
      <c r="N1193">
        <f t="shared" si="45"/>
        <v>5</v>
      </c>
      <c r="O1193">
        <v>38</v>
      </c>
    </row>
    <row r="1194" spans="13:15" x14ac:dyDescent="0.25">
      <c r="M1194" s="5">
        <v>42556</v>
      </c>
      <c r="N1194">
        <f t="shared" si="45"/>
        <v>5</v>
      </c>
      <c r="O1194">
        <v>38</v>
      </c>
    </row>
    <row r="1195" spans="13:15" x14ac:dyDescent="0.25">
      <c r="M1195" s="5">
        <v>42555</v>
      </c>
      <c r="N1195">
        <f t="shared" si="45"/>
        <v>5</v>
      </c>
      <c r="O1195">
        <v>38</v>
      </c>
    </row>
    <row r="1196" spans="13:15" x14ac:dyDescent="0.25">
      <c r="M1196" s="5">
        <v>42554</v>
      </c>
      <c r="N1196">
        <f t="shared" si="45"/>
        <v>4</v>
      </c>
      <c r="O1196">
        <v>38</v>
      </c>
    </row>
    <row r="1197" spans="13:15" x14ac:dyDescent="0.25">
      <c r="M1197" s="5">
        <v>42553</v>
      </c>
      <c r="N1197">
        <f t="shared" si="45"/>
        <v>4</v>
      </c>
      <c r="O1197">
        <v>38</v>
      </c>
    </row>
    <row r="1198" spans="13:15" x14ac:dyDescent="0.25">
      <c r="M1198" s="5">
        <v>42552</v>
      </c>
      <c r="N1198">
        <f t="shared" si="45"/>
        <v>4</v>
      </c>
      <c r="O1198">
        <v>38</v>
      </c>
    </row>
    <row r="1199" spans="13:15" x14ac:dyDescent="0.25">
      <c r="M1199" s="5">
        <v>42551</v>
      </c>
      <c r="N1199">
        <f t="shared" si="45"/>
        <v>4</v>
      </c>
      <c r="O1199">
        <v>38</v>
      </c>
    </row>
    <row r="1200" spans="13:15" x14ac:dyDescent="0.25">
      <c r="M1200" s="5">
        <v>42550</v>
      </c>
      <c r="N1200">
        <f t="shared" si="45"/>
        <v>4</v>
      </c>
      <c r="O1200">
        <v>38</v>
      </c>
    </row>
    <row r="1201" spans="13:15" x14ac:dyDescent="0.25">
      <c r="M1201" s="5">
        <v>42549</v>
      </c>
      <c r="N1201">
        <f t="shared" si="45"/>
        <v>4</v>
      </c>
      <c r="O1201">
        <v>38</v>
      </c>
    </row>
    <row r="1202" spans="13:15" x14ac:dyDescent="0.25">
      <c r="M1202" s="5">
        <v>42548</v>
      </c>
      <c r="N1202">
        <f t="shared" si="45"/>
        <v>4</v>
      </c>
      <c r="O1202">
        <v>38</v>
      </c>
    </row>
    <row r="1203" spans="13:15" x14ac:dyDescent="0.25">
      <c r="M1203" s="5">
        <v>42547</v>
      </c>
      <c r="N1203">
        <f t="shared" si="45"/>
        <v>3</v>
      </c>
      <c r="O1203">
        <v>38</v>
      </c>
    </row>
    <row r="1204" spans="13:15" x14ac:dyDescent="0.25">
      <c r="M1204" s="5">
        <v>42546</v>
      </c>
      <c r="N1204">
        <f t="shared" si="45"/>
        <v>3</v>
      </c>
      <c r="O1204">
        <v>38</v>
      </c>
    </row>
    <row r="1205" spans="13:15" x14ac:dyDescent="0.25">
      <c r="M1205" s="5">
        <v>42545</v>
      </c>
      <c r="N1205">
        <f t="shared" si="45"/>
        <v>3</v>
      </c>
      <c r="O1205">
        <v>38</v>
      </c>
    </row>
    <row r="1206" spans="13:15" x14ac:dyDescent="0.25">
      <c r="M1206" s="5">
        <v>42544</v>
      </c>
      <c r="N1206">
        <f t="shared" si="45"/>
        <v>3</v>
      </c>
      <c r="O1206">
        <v>38</v>
      </c>
    </row>
    <row r="1207" spans="13:15" x14ac:dyDescent="0.25">
      <c r="M1207" s="5">
        <v>42543</v>
      </c>
      <c r="N1207">
        <f t="shared" si="45"/>
        <v>3</v>
      </c>
      <c r="O1207">
        <v>38</v>
      </c>
    </row>
    <row r="1208" spans="13:15" x14ac:dyDescent="0.25">
      <c r="M1208" s="5">
        <v>42542</v>
      </c>
      <c r="N1208">
        <f t="shared" si="45"/>
        <v>3</v>
      </c>
      <c r="O1208">
        <v>38</v>
      </c>
    </row>
    <row r="1209" spans="13:15" x14ac:dyDescent="0.25">
      <c r="M1209" s="5">
        <v>42541</v>
      </c>
      <c r="N1209">
        <f t="shared" si="45"/>
        <v>3</v>
      </c>
      <c r="O1209">
        <v>38</v>
      </c>
    </row>
    <row r="1210" spans="13:15" x14ac:dyDescent="0.25">
      <c r="M1210" s="5">
        <v>42540</v>
      </c>
      <c r="N1210">
        <f t="shared" si="45"/>
        <v>2</v>
      </c>
      <c r="O1210">
        <v>38</v>
      </c>
    </row>
    <row r="1211" spans="13:15" x14ac:dyDescent="0.25">
      <c r="M1211" s="5">
        <v>42539</v>
      </c>
      <c r="N1211">
        <f t="shared" si="45"/>
        <v>2</v>
      </c>
      <c r="O1211">
        <v>38</v>
      </c>
    </row>
    <row r="1212" spans="13:15" x14ac:dyDescent="0.25">
      <c r="M1212" s="5">
        <v>42538</v>
      </c>
      <c r="N1212">
        <f t="shared" si="45"/>
        <v>2</v>
      </c>
      <c r="O1212">
        <v>38</v>
      </c>
    </row>
    <row r="1213" spans="13:15" x14ac:dyDescent="0.25">
      <c r="M1213" s="5">
        <v>42537</v>
      </c>
      <c r="N1213">
        <f t="shared" si="45"/>
        <v>2</v>
      </c>
      <c r="O1213">
        <v>38</v>
      </c>
    </row>
    <row r="1214" spans="13:15" x14ac:dyDescent="0.25">
      <c r="M1214" s="5">
        <v>42536</v>
      </c>
      <c r="N1214">
        <f t="shared" si="45"/>
        <v>2</v>
      </c>
      <c r="O1214">
        <v>38</v>
      </c>
    </row>
    <row r="1215" spans="13:15" x14ac:dyDescent="0.25">
      <c r="M1215" s="5">
        <v>42535</v>
      </c>
      <c r="N1215">
        <f t="shared" ref="N1215:N1223" si="46">N1208-1</f>
        <v>2</v>
      </c>
      <c r="O1215">
        <v>38</v>
      </c>
    </row>
    <row r="1216" spans="13:15" x14ac:dyDescent="0.25">
      <c r="M1216" s="5">
        <v>42534</v>
      </c>
      <c r="N1216">
        <f t="shared" si="46"/>
        <v>2</v>
      </c>
      <c r="O1216">
        <v>38</v>
      </c>
    </row>
    <row r="1217" spans="13:15" x14ac:dyDescent="0.25">
      <c r="M1217" s="5">
        <v>42533</v>
      </c>
      <c r="N1217">
        <f t="shared" si="46"/>
        <v>1</v>
      </c>
      <c r="O1217">
        <v>38</v>
      </c>
    </row>
    <row r="1218" spans="13:15" x14ac:dyDescent="0.25">
      <c r="M1218" s="5">
        <v>42532</v>
      </c>
      <c r="N1218">
        <f t="shared" si="46"/>
        <v>1</v>
      </c>
      <c r="O1218">
        <v>38</v>
      </c>
    </row>
    <row r="1219" spans="13:15" x14ac:dyDescent="0.25">
      <c r="M1219" s="5">
        <v>42531</v>
      </c>
      <c r="N1219">
        <f t="shared" si="46"/>
        <v>1</v>
      </c>
      <c r="O1219">
        <v>38</v>
      </c>
    </row>
    <row r="1220" spans="13:15" x14ac:dyDescent="0.25">
      <c r="M1220" s="5">
        <v>42530</v>
      </c>
      <c r="N1220">
        <f t="shared" si="46"/>
        <v>1</v>
      </c>
      <c r="O1220">
        <v>38</v>
      </c>
    </row>
    <row r="1221" spans="13:15" x14ac:dyDescent="0.25">
      <c r="M1221" s="5">
        <v>42529</v>
      </c>
      <c r="N1221">
        <f t="shared" si="46"/>
        <v>1</v>
      </c>
      <c r="O1221">
        <v>38</v>
      </c>
    </row>
    <row r="1222" spans="13:15" x14ac:dyDescent="0.25">
      <c r="M1222" s="5">
        <v>42528</v>
      </c>
      <c r="N1222">
        <f t="shared" si="46"/>
        <v>1</v>
      </c>
      <c r="O1222">
        <v>38</v>
      </c>
    </row>
    <row r="1223" spans="13:15" x14ac:dyDescent="0.25">
      <c r="M1223" s="5">
        <v>42527</v>
      </c>
      <c r="N1223">
        <f t="shared" si="46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7">N1224-1</f>
        <v>15</v>
      </c>
      <c r="O1231">
        <v>37</v>
      </c>
    </row>
    <row r="1232" spans="13:15" x14ac:dyDescent="0.25">
      <c r="M1232" s="5">
        <v>42518</v>
      </c>
      <c r="N1232">
        <f t="shared" si="47"/>
        <v>15</v>
      </c>
      <c r="O1232">
        <v>37</v>
      </c>
    </row>
    <row r="1233" spans="13:15" x14ac:dyDescent="0.25">
      <c r="M1233" s="5">
        <v>42517</v>
      </c>
      <c r="N1233">
        <f t="shared" si="47"/>
        <v>15</v>
      </c>
      <c r="O1233">
        <v>37</v>
      </c>
    </row>
    <row r="1234" spans="13:15" x14ac:dyDescent="0.25">
      <c r="M1234" s="5">
        <v>42516</v>
      </c>
      <c r="N1234">
        <f t="shared" si="47"/>
        <v>15</v>
      </c>
      <c r="O1234">
        <v>37</v>
      </c>
    </row>
    <row r="1235" spans="13:15" x14ac:dyDescent="0.25">
      <c r="M1235" s="5">
        <v>42515</v>
      </c>
      <c r="N1235">
        <f t="shared" si="47"/>
        <v>15</v>
      </c>
      <c r="O1235">
        <v>37</v>
      </c>
    </row>
    <row r="1236" spans="13:15" x14ac:dyDescent="0.25">
      <c r="M1236" s="5">
        <v>42514</v>
      </c>
      <c r="N1236">
        <f t="shared" si="47"/>
        <v>15</v>
      </c>
      <c r="O1236">
        <v>37</v>
      </c>
    </row>
    <row r="1237" spans="13:15" x14ac:dyDescent="0.25">
      <c r="M1237" s="5">
        <v>42513</v>
      </c>
      <c r="N1237">
        <f t="shared" si="47"/>
        <v>15</v>
      </c>
      <c r="O1237">
        <v>37</v>
      </c>
    </row>
    <row r="1238" spans="13:15" x14ac:dyDescent="0.25">
      <c r="M1238" s="5">
        <v>42512</v>
      </c>
      <c r="N1238">
        <f t="shared" si="47"/>
        <v>14</v>
      </c>
      <c r="O1238">
        <v>37</v>
      </c>
    </row>
    <row r="1239" spans="13:15" x14ac:dyDescent="0.25">
      <c r="M1239" s="5">
        <v>42511</v>
      </c>
      <c r="N1239">
        <f t="shared" si="47"/>
        <v>14</v>
      </c>
      <c r="O1239">
        <v>37</v>
      </c>
    </row>
    <row r="1240" spans="13:15" x14ac:dyDescent="0.25">
      <c r="M1240" s="5">
        <v>42510</v>
      </c>
      <c r="N1240">
        <f t="shared" si="47"/>
        <v>14</v>
      </c>
      <c r="O1240">
        <v>37</v>
      </c>
    </row>
    <row r="1241" spans="13:15" x14ac:dyDescent="0.25">
      <c r="M1241" s="5">
        <v>42509</v>
      </c>
      <c r="N1241">
        <f t="shared" si="47"/>
        <v>14</v>
      </c>
      <c r="O1241">
        <v>37</v>
      </c>
    </row>
    <row r="1242" spans="13:15" x14ac:dyDescent="0.25">
      <c r="M1242" s="5">
        <v>42508</v>
      </c>
      <c r="N1242">
        <f t="shared" si="47"/>
        <v>14</v>
      </c>
      <c r="O1242">
        <v>37</v>
      </c>
    </row>
    <row r="1243" spans="13:15" x14ac:dyDescent="0.25">
      <c r="M1243" s="5">
        <v>42507</v>
      </c>
      <c r="N1243">
        <f t="shared" si="47"/>
        <v>14</v>
      </c>
      <c r="O1243">
        <v>37</v>
      </c>
    </row>
    <row r="1244" spans="13:15" x14ac:dyDescent="0.25">
      <c r="M1244" s="5">
        <v>42506</v>
      </c>
      <c r="N1244">
        <f t="shared" si="47"/>
        <v>14</v>
      </c>
      <c r="O1244">
        <v>37</v>
      </c>
    </row>
    <row r="1245" spans="13:15" x14ac:dyDescent="0.25">
      <c r="M1245" s="5">
        <v>42505</v>
      </c>
      <c r="N1245">
        <f t="shared" si="47"/>
        <v>13</v>
      </c>
      <c r="O1245">
        <v>37</v>
      </c>
    </row>
    <row r="1246" spans="13:15" x14ac:dyDescent="0.25">
      <c r="M1246" s="5">
        <v>42504</v>
      </c>
      <c r="N1246">
        <f t="shared" si="47"/>
        <v>13</v>
      </c>
      <c r="O1246">
        <v>37</v>
      </c>
    </row>
    <row r="1247" spans="13:15" x14ac:dyDescent="0.25">
      <c r="M1247" s="5">
        <v>42503</v>
      </c>
      <c r="N1247">
        <f t="shared" si="47"/>
        <v>13</v>
      </c>
      <c r="O1247">
        <v>37</v>
      </c>
    </row>
    <row r="1248" spans="13:15" x14ac:dyDescent="0.25">
      <c r="M1248" s="5">
        <v>42502</v>
      </c>
      <c r="N1248">
        <f t="shared" si="47"/>
        <v>13</v>
      </c>
      <c r="O1248">
        <v>37</v>
      </c>
    </row>
    <row r="1249" spans="13:15" x14ac:dyDescent="0.25">
      <c r="M1249" s="5">
        <v>42501</v>
      </c>
      <c r="N1249">
        <f t="shared" si="47"/>
        <v>13</v>
      </c>
      <c r="O1249">
        <v>37</v>
      </c>
    </row>
    <row r="1250" spans="13:15" x14ac:dyDescent="0.25">
      <c r="M1250" s="5">
        <v>42500</v>
      </c>
      <c r="N1250">
        <f t="shared" si="47"/>
        <v>13</v>
      </c>
      <c r="O1250">
        <v>37</v>
      </c>
    </row>
    <row r="1251" spans="13:15" x14ac:dyDescent="0.25">
      <c r="M1251" s="5">
        <v>42499</v>
      </c>
      <c r="N1251">
        <f t="shared" si="47"/>
        <v>13</v>
      </c>
      <c r="O1251">
        <v>37</v>
      </c>
    </row>
    <row r="1252" spans="13:15" x14ac:dyDescent="0.25">
      <c r="M1252" s="5">
        <v>42498</v>
      </c>
      <c r="N1252">
        <f t="shared" si="47"/>
        <v>12</v>
      </c>
      <c r="O1252">
        <v>37</v>
      </c>
    </row>
    <row r="1253" spans="13:15" x14ac:dyDescent="0.25">
      <c r="M1253" s="5">
        <v>42497</v>
      </c>
      <c r="N1253">
        <f t="shared" si="47"/>
        <v>12</v>
      </c>
      <c r="O1253">
        <v>37</v>
      </c>
    </row>
    <row r="1254" spans="13:15" x14ac:dyDescent="0.25">
      <c r="M1254" s="5">
        <v>42496</v>
      </c>
      <c r="N1254">
        <f t="shared" si="47"/>
        <v>12</v>
      </c>
      <c r="O1254">
        <v>37</v>
      </c>
    </row>
    <row r="1255" spans="13:15" x14ac:dyDescent="0.25">
      <c r="M1255" s="5">
        <v>42495</v>
      </c>
      <c r="N1255">
        <f t="shared" si="47"/>
        <v>12</v>
      </c>
      <c r="O1255">
        <v>37</v>
      </c>
    </row>
    <row r="1256" spans="13:15" x14ac:dyDescent="0.25">
      <c r="M1256" s="5">
        <v>42494</v>
      </c>
      <c r="N1256">
        <f t="shared" si="47"/>
        <v>12</v>
      </c>
      <c r="O1256">
        <v>37</v>
      </c>
    </row>
    <row r="1257" spans="13:15" x14ac:dyDescent="0.25">
      <c r="M1257" s="5">
        <v>42493</v>
      </c>
      <c r="N1257">
        <f t="shared" si="47"/>
        <v>12</v>
      </c>
      <c r="O1257">
        <v>37</v>
      </c>
    </row>
    <row r="1258" spans="13:15" x14ac:dyDescent="0.25">
      <c r="M1258" s="5">
        <v>42492</v>
      </c>
      <c r="N1258">
        <f t="shared" si="47"/>
        <v>12</v>
      </c>
      <c r="O1258">
        <v>37</v>
      </c>
    </row>
    <row r="1259" spans="13:15" x14ac:dyDescent="0.25">
      <c r="M1259" s="5">
        <v>42491</v>
      </c>
      <c r="N1259">
        <f t="shared" si="47"/>
        <v>11</v>
      </c>
      <c r="O1259">
        <v>37</v>
      </c>
    </row>
    <row r="1260" spans="13:15" x14ac:dyDescent="0.25">
      <c r="M1260" s="5">
        <v>42490</v>
      </c>
      <c r="N1260">
        <f t="shared" si="47"/>
        <v>11</v>
      </c>
      <c r="O1260">
        <v>37</v>
      </c>
    </row>
    <row r="1261" spans="13:15" x14ac:dyDescent="0.25">
      <c r="M1261" s="5">
        <v>42489</v>
      </c>
      <c r="N1261">
        <f t="shared" si="47"/>
        <v>11</v>
      </c>
      <c r="O1261">
        <v>37</v>
      </c>
    </row>
    <row r="1262" spans="13:15" x14ac:dyDescent="0.25">
      <c r="M1262" s="5">
        <v>42488</v>
      </c>
      <c r="N1262">
        <f t="shared" si="47"/>
        <v>11</v>
      </c>
      <c r="O1262">
        <v>37</v>
      </c>
    </row>
    <row r="1263" spans="13:15" x14ac:dyDescent="0.25">
      <c r="M1263" s="5">
        <v>42487</v>
      </c>
      <c r="N1263">
        <f t="shared" ref="N1263:N1294" si="48">N1256-1</f>
        <v>11</v>
      </c>
      <c r="O1263">
        <v>37</v>
      </c>
    </row>
    <row r="1264" spans="13:15" x14ac:dyDescent="0.25">
      <c r="M1264" s="5">
        <v>42486</v>
      </c>
      <c r="N1264">
        <f t="shared" si="48"/>
        <v>11</v>
      </c>
      <c r="O1264">
        <v>37</v>
      </c>
    </row>
    <row r="1265" spans="13:15" x14ac:dyDescent="0.25">
      <c r="M1265" s="5">
        <v>42485</v>
      </c>
      <c r="N1265">
        <f t="shared" si="48"/>
        <v>11</v>
      </c>
      <c r="O1265">
        <v>37</v>
      </c>
    </row>
    <row r="1266" spans="13:15" x14ac:dyDescent="0.25">
      <c r="M1266" s="5">
        <v>42484</v>
      </c>
      <c r="N1266">
        <f t="shared" si="48"/>
        <v>10</v>
      </c>
      <c r="O1266">
        <v>37</v>
      </c>
    </row>
    <row r="1267" spans="13:15" x14ac:dyDescent="0.25">
      <c r="M1267" s="5">
        <v>42483</v>
      </c>
      <c r="N1267">
        <f t="shared" si="48"/>
        <v>10</v>
      </c>
      <c r="O1267">
        <v>37</v>
      </c>
    </row>
    <row r="1268" spans="13:15" x14ac:dyDescent="0.25">
      <c r="M1268" s="5">
        <v>42482</v>
      </c>
      <c r="N1268">
        <f t="shared" si="48"/>
        <v>10</v>
      </c>
      <c r="O1268">
        <v>37</v>
      </c>
    </row>
    <row r="1269" spans="13:15" x14ac:dyDescent="0.25">
      <c r="M1269" s="5">
        <v>42481</v>
      </c>
      <c r="N1269">
        <f t="shared" si="48"/>
        <v>10</v>
      </c>
      <c r="O1269">
        <v>37</v>
      </c>
    </row>
    <row r="1270" spans="13:15" x14ac:dyDescent="0.25">
      <c r="M1270" s="5">
        <v>42480</v>
      </c>
      <c r="N1270">
        <f t="shared" si="48"/>
        <v>10</v>
      </c>
      <c r="O1270">
        <v>37</v>
      </c>
    </row>
    <row r="1271" spans="13:15" x14ac:dyDescent="0.25">
      <c r="M1271" s="5">
        <v>42479</v>
      </c>
      <c r="N1271">
        <f t="shared" si="48"/>
        <v>10</v>
      </c>
      <c r="O1271">
        <v>37</v>
      </c>
    </row>
    <row r="1272" spans="13:15" x14ac:dyDescent="0.25">
      <c r="M1272" s="5">
        <v>42478</v>
      </c>
      <c r="N1272">
        <f t="shared" si="48"/>
        <v>10</v>
      </c>
      <c r="O1272">
        <v>37</v>
      </c>
    </row>
    <row r="1273" spans="13:15" x14ac:dyDescent="0.25">
      <c r="M1273" s="5">
        <v>42477</v>
      </c>
      <c r="N1273">
        <f t="shared" si="48"/>
        <v>9</v>
      </c>
      <c r="O1273">
        <v>37</v>
      </c>
    </row>
    <row r="1274" spans="13:15" x14ac:dyDescent="0.25">
      <c r="M1274" s="5">
        <v>42476</v>
      </c>
      <c r="N1274">
        <f t="shared" si="48"/>
        <v>9</v>
      </c>
      <c r="O1274">
        <v>37</v>
      </c>
    </row>
    <row r="1275" spans="13:15" x14ac:dyDescent="0.25">
      <c r="M1275" s="5">
        <v>42475</v>
      </c>
      <c r="N1275">
        <f t="shared" si="48"/>
        <v>9</v>
      </c>
      <c r="O1275">
        <v>37</v>
      </c>
    </row>
    <row r="1276" spans="13:15" x14ac:dyDescent="0.25">
      <c r="M1276" s="5">
        <v>42474</v>
      </c>
      <c r="N1276">
        <f t="shared" si="48"/>
        <v>9</v>
      </c>
      <c r="O1276">
        <v>37</v>
      </c>
    </row>
    <row r="1277" spans="13:15" x14ac:dyDescent="0.25">
      <c r="M1277" s="5">
        <v>42473</v>
      </c>
      <c r="N1277">
        <f t="shared" si="48"/>
        <v>9</v>
      </c>
      <c r="O1277">
        <v>37</v>
      </c>
    </row>
    <row r="1278" spans="13:15" x14ac:dyDescent="0.25">
      <c r="M1278" s="5">
        <v>42472</v>
      </c>
      <c r="N1278">
        <f t="shared" si="48"/>
        <v>9</v>
      </c>
      <c r="O1278">
        <v>37</v>
      </c>
    </row>
    <row r="1279" spans="13:15" x14ac:dyDescent="0.25">
      <c r="M1279" s="5">
        <v>42471</v>
      </c>
      <c r="N1279">
        <f t="shared" si="48"/>
        <v>9</v>
      </c>
      <c r="O1279">
        <v>37</v>
      </c>
    </row>
    <row r="1280" spans="13:15" x14ac:dyDescent="0.25">
      <c r="M1280" s="5">
        <v>42470</v>
      </c>
      <c r="N1280">
        <f t="shared" si="48"/>
        <v>8</v>
      </c>
      <c r="O1280">
        <v>37</v>
      </c>
    </row>
    <row r="1281" spans="13:15" x14ac:dyDescent="0.25">
      <c r="M1281" s="5">
        <v>42469</v>
      </c>
      <c r="N1281">
        <f t="shared" si="48"/>
        <v>8</v>
      </c>
      <c r="O1281">
        <v>37</v>
      </c>
    </row>
    <row r="1282" spans="13:15" x14ac:dyDescent="0.25">
      <c r="M1282" s="5">
        <v>42468</v>
      </c>
      <c r="N1282">
        <f t="shared" si="48"/>
        <v>8</v>
      </c>
      <c r="O1282">
        <v>37</v>
      </c>
    </row>
    <row r="1283" spans="13:15" x14ac:dyDescent="0.25">
      <c r="M1283" s="5">
        <v>42467</v>
      </c>
      <c r="N1283">
        <f t="shared" si="48"/>
        <v>8</v>
      </c>
      <c r="O1283">
        <v>37</v>
      </c>
    </row>
    <row r="1284" spans="13:15" x14ac:dyDescent="0.25">
      <c r="M1284" s="5">
        <v>42466</v>
      </c>
      <c r="N1284">
        <f t="shared" si="48"/>
        <v>8</v>
      </c>
      <c r="O1284">
        <v>37</v>
      </c>
    </row>
    <row r="1285" spans="13:15" x14ac:dyDescent="0.25">
      <c r="M1285" s="5">
        <v>42465</v>
      </c>
      <c r="N1285">
        <f t="shared" si="48"/>
        <v>8</v>
      </c>
      <c r="O1285">
        <v>37</v>
      </c>
    </row>
    <row r="1286" spans="13:15" x14ac:dyDescent="0.25">
      <c r="M1286" s="5">
        <v>42464</v>
      </c>
      <c r="N1286">
        <f t="shared" si="48"/>
        <v>8</v>
      </c>
      <c r="O1286">
        <v>37</v>
      </c>
    </row>
    <row r="1287" spans="13:15" x14ac:dyDescent="0.25">
      <c r="M1287" s="5">
        <v>42463</v>
      </c>
      <c r="N1287">
        <f t="shared" si="48"/>
        <v>7</v>
      </c>
      <c r="O1287">
        <v>37</v>
      </c>
    </row>
    <row r="1288" spans="13:15" x14ac:dyDescent="0.25">
      <c r="M1288" s="5">
        <v>42462</v>
      </c>
      <c r="N1288">
        <f t="shared" si="48"/>
        <v>7</v>
      </c>
      <c r="O1288">
        <v>37</v>
      </c>
    </row>
    <row r="1289" spans="13:15" x14ac:dyDescent="0.25">
      <c r="M1289" s="5">
        <v>42461</v>
      </c>
      <c r="N1289">
        <f t="shared" si="48"/>
        <v>7</v>
      </c>
      <c r="O1289">
        <v>37</v>
      </c>
    </row>
    <row r="1290" spans="13:15" x14ac:dyDescent="0.25">
      <c r="M1290" s="5">
        <v>42460</v>
      </c>
      <c r="N1290">
        <f t="shared" si="48"/>
        <v>7</v>
      </c>
      <c r="O1290">
        <v>37</v>
      </c>
    </row>
    <row r="1291" spans="13:15" x14ac:dyDescent="0.25">
      <c r="M1291" s="5">
        <v>42459</v>
      </c>
      <c r="N1291">
        <f t="shared" si="48"/>
        <v>7</v>
      </c>
      <c r="O1291">
        <v>37</v>
      </c>
    </row>
    <row r="1292" spans="13:15" x14ac:dyDescent="0.25">
      <c r="M1292" s="5">
        <v>42458</v>
      </c>
      <c r="N1292">
        <f t="shared" si="48"/>
        <v>7</v>
      </c>
      <c r="O1292">
        <v>37</v>
      </c>
    </row>
    <row r="1293" spans="13:15" x14ac:dyDescent="0.25">
      <c r="M1293" s="5">
        <v>42457</v>
      </c>
      <c r="N1293">
        <f t="shared" si="48"/>
        <v>7</v>
      </c>
      <c r="O1293">
        <v>37</v>
      </c>
    </row>
    <row r="1294" spans="13:15" x14ac:dyDescent="0.25">
      <c r="M1294" s="5">
        <v>42456</v>
      </c>
      <c r="N1294">
        <f t="shared" si="48"/>
        <v>6</v>
      </c>
      <c r="O1294">
        <v>37</v>
      </c>
    </row>
    <row r="1295" spans="13:15" x14ac:dyDescent="0.25">
      <c r="M1295" s="5">
        <v>42455</v>
      </c>
      <c r="N1295">
        <f t="shared" ref="N1295:N1326" si="49">N1288-1</f>
        <v>6</v>
      </c>
      <c r="O1295">
        <v>37</v>
      </c>
    </row>
    <row r="1296" spans="13:15" x14ac:dyDescent="0.25">
      <c r="M1296" s="5">
        <v>42454</v>
      </c>
      <c r="N1296">
        <f t="shared" si="49"/>
        <v>6</v>
      </c>
      <c r="O1296">
        <v>37</v>
      </c>
    </row>
    <row r="1297" spans="13:15" x14ac:dyDescent="0.25">
      <c r="M1297" s="5">
        <v>42453</v>
      </c>
      <c r="N1297">
        <f t="shared" si="49"/>
        <v>6</v>
      </c>
      <c r="O1297">
        <v>37</v>
      </c>
    </row>
    <row r="1298" spans="13:15" x14ac:dyDescent="0.25">
      <c r="M1298" s="5">
        <v>42452</v>
      </c>
      <c r="N1298">
        <f t="shared" si="49"/>
        <v>6</v>
      </c>
      <c r="O1298">
        <v>37</v>
      </c>
    </row>
    <row r="1299" spans="13:15" x14ac:dyDescent="0.25">
      <c r="M1299" s="5">
        <v>42451</v>
      </c>
      <c r="N1299">
        <f t="shared" si="49"/>
        <v>6</v>
      </c>
      <c r="O1299">
        <v>37</v>
      </c>
    </row>
    <row r="1300" spans="13:15" x14ac:dyDescent="0.25">
      <c r="M1300" s="5">
        <v>42450</v>
      </c>
      <c r="N1300">
        <f t="shared" si="49"/>
        <v>6</v>
      </c>
      <c r="O1300">
        <v>37</v>
      </c>
    </row>
    <row r="1301" spans="13:15" x14ac:dyDescent="0.25">
      <c r="M1301" s="5">
        <v>42449</v>
      </c>
      <c r="N1301">
        <f t="shared" si="49"/>
        <v>5</v>
      </c>
      <c r="O1301">
        <v>37</v>
      </c>
    </row>
    <row r="1302" spans="13:15" x14ac:dyDescent="0.25">
      <c r="M1302" s="5">
        <v>42448</v>
      </c>
      <c r="N1302">
        <f t="shared" si="49"/>
        <v>5</v>
      </c>
      <c r="O1302">
        <v>37</v>
      </c>
    </row>
    <row r="1303" spans="13:15" x14ac:dyDescent="0.25">
      <c r="M1303" s="5">
        <v>42447</v>
      </c>
      <c r="N1303">
        <f t="shared" si="49"/>
        <v>5</v>
      </c>
      <c r="O1303">
        <v>37</v>
      </c>
    </row>
    <row r="1304" spans="13:15" x14ac:dyDescent="0.25">
      <c r="M1304" s="5">
        <v>42446</v>
      </c>
      <c r="N1304">
        <f t="shared" si="49"/>
        <v>5</v>
      </c>
      <c r="O1304">
        <v>37</v>
      </c>
    </row>
    <row r="1305" spans="13:15" x14ac:dyDescent="0.25">
      <c r="M1305" s="5">
        <v>42445</v>
      </c>
      <c r="N1305">
        <f t="shared" si="49"/>
        <v>5</v>
      </c>
      <c r="O1305">
        <v>37</v>
      </c>
    </row>
    <row r="1306" spans="13:15" x14ac:dyDescent="0.25">
      <c r="M1306" s="5">
        <v>42444</v>
      </c>
      <c r="N1306">
        <f t="shared" si="49"/>
        <v>5</v>
      </c>
      <c r="O1306">
        <v>37</v>
      </c>
    </row>
    <row r="1307" spans="13:15" x14ac:dyDescent="0.25">
      <c r="M1307" s="5">
        <v>42443</v>
      </c>
      <c r="N1307">
        <f t="shared" si="49"/>
        <v>5</v>
      </c>
      <c r="O1307">
        <v>37</v>
      </c>
    </row>
    <row r="1308" spans="13:15" x14ac:dyDescent="0.25">
      <c r="M1308" s="5">
        <v>42442</v>
      </c>
      <c r="N1308">
        <f t="shared" si="49"/>
        <v>4</v>
      </c>
      <c r="O1308">
        <v>37</v>
      </c>
    </row>
    <row r="1309" spans="13:15" x14ac:dyDescent="0.25">
      <c r="M1309" s="5">
        <v>42441</v>
      </c>
      <c r="N1309">
        <f t="shared" si="49"/>
        <v>4</v>
      </c>
      <c r="O1309">
        <v>37</v>
      </c>
    </row>
    <row r="1310" spans="13:15" x14ac:dyDescent="0.25">
      <c r="M1310" s="5">
        <v>42440</v>
      </c>
      <c r="N1310">
        <f t="shared" si="49"/>
        <v>4</v>
      </c>
      <c r="O1310">
        <v>37</v>
      </c>
    </row>
    <row r="1311" spans="13:15" x14ac:dyDescent="0.25">
      <c r="M1311" s="5">
        <v>42439</v>
      </c>
      <c r="N1311">
        <f t="shared" si="49"/>
        <v>4</v>
      </c>
      <c r="O1311">
        <v>37</v>
      </c>
    </row>
    <row r="1312" spans="13:15" x14ac:dyDescent="0.25">
      <c r="M1312" s="5">
        <v>42438</v>
      </c>
      <c r="N1312">
        <f t="shared" si="49"/>
        <v>4</v>
      </c>
      <c r="O1312">
        <v>37</v>
      </c>
    </row>
    <row r="1313" spans="13:15" x14ac:dyDescent="0.25">
      <c r="M1313" s="5">
        <v>42437</v>
      </c>
      <c r="N1313">
        <f t="shared" si="49"/>
        <v>4</v>
      </c>
      <c r="O1313">
        <v>37</v>
      </c>
    </row>
    <row r="1314" spans="13:15" x14ac:dyDescent="0.25">
      <c r="M1314" s="5">
        <v>42436</v>
      </c>
      <c r="N1314">
        <f t="shared" si="49"/>
        <v>4</v>
      </c>
      <c r="O1314">
        <v>37</v>
      </c>
    </row>
    <row r="1315" spans="13:15" x14ac:dyDescent="0.25">
      <c r="M1315" s="5">
        <v>42435</v>
      </c>
      <c r="N1315">
        <f t="shared" si="49"/>
        <v>3</v>
      </c>
      <c r="O1315">
        <v>37</v>
      </c>
    </row>
    <row r="1316" spans="13:15" x14ac:dyDescent="0.25">
      <c r="M1316" s="5">
        <v>42434</v>
      </c>
      <c r="N1316">
        <f t="shared" si="49"/>
        <v>3</v>
      </c>
      <c r="O1316">
        <v>37</v>
      </c>
    </row>
    <row r="1317" spans="13:15" x14ac:dyDescent="0.25">
      <c r="M1317" s="5">
        <v>42433</v>
      </c>
      <c r="N1317">
        <f t="shared" si="49"/>
        <v>3</v>
      </c>
      <c r="O1317">
        <v>37</v>
      </c>
    </row>
    <row r="1318" spans="13:15" x14ac:dyDescent="0.25">
      <c r="M1318" s="5">
        <v>42432</v>
      </c>
      <c r="N1318">
        <f t="shared" si="49"/>
        <v>3</v>
      </c>
      <c r="O1318">
        <v>37</v>
      </c>
    </row>
    <row r="1319" spans="13:15" x14ac:dyDescent="0.25">
      <c r="M1319" s="5">
        <v>42431</v>
      </c>
      <c r="N1319">
        <f t="shared" si="49"/>
        <v>3</v>
      </c>
      <c r="O1319">
        <v>37</v>
      </c>
    </row>
    <row r="1320" spans="13:15" x14ac:dyDescent="0.25">
      <c r="M1320" s="5">
        <v>42430</v>
      </c>
      <c r="N1320">
        <f t="shared" si="49"/>
        <v>3</v>
      </c>
      <c r="O1320">
        <v>37</v>
      </c>
    </row>
    <row r="1321" spans="13:15" x14ac:dyDescent="0.25">
      <c r="M1321" s="5">
        <v>42429</v>
      </c>
      <c r="N1321">
        <f t="shared" si="49"/>
        <v>3</v>
      </c>
      <c r="O1321">
        <v>37</v>
      </c>
    </row>
    <row r="1322" spans="13:15" x14ac:dyDescent="0.25">
      <c r="M1322" s="5">
        <v>42428</v>
      </c>
      <c r="N1322">
        <f t="shared" si="49"/>
        <v>2</v>
      </c>
      <c r="O1322">
        <v>37</v>
      </c>
    </row>
    <row r="1323" spans="13:15" x14ac:dyDescent="0.25">
      <c r="M1323" s="5">
        <v>42427</v>
      </c>
      <c r="N1323">
        <f t="shared" si="49"/>
        <v>2</v>
      </c>
      <c r="O1323">
        <v>37</v>
      </c>
    </row>
    <row r="1324" spans="13:15" x14ac:dyDescent="0.25">
      <c r="M1324" s="5">
        <v>42426</v>
      </c>
      <c r="N1324">
        <f t="shared" si="49"/>
        <v>2</v>
      </c>
      <c r="O1324">
        <v>37</v>
      </c>
    </row>
    <row r="1325" spans="13:15" x14ac:dyDescent="0.25">
      <c r="M1325" s="5">
        <v>42425</v>
      </c>
      <c r="N1325">
        <f t="shared" si="49"/>
        <v>2</v>
      </c>
      <c r="O1325">
        <v>37</v>
      </c>
    </row>
    <row r="1326" spans="13:15" x14ac:dyDescent="0.25">
      <c r="M1326" s="5">
        <v>42424</v>
      </c>
      <c r="N1326">
        <f t="shared" si="49"/>
        <v>2</v>
      </c>
      <c r="O1326">
        <v>37</v>
      </c>
    </row>
    <row r="1327" spans="13:15" x14ac:dyDescent="0.25">
      <c r="M1327" s="5">
        <v>42423</v>
      </c>
      <c r="N1327">
        <f t="shared" ref="N1327:N1335" si="50">N1320-1</f>
        <v>2</v>
      </c>
      <c r="O1327">
        <v>37</v>
      </c>
    </row>
    <row r="1328" spans="13:15" x14ac:dyDescent="0.25">
      <c r="M1328" s="5">
        <v>42422</v>
      </c>
      <c r="N1328">
        <f t="shared" si="50"/>
        <v>2</v>
      </c>
      <c r="O1328">
        <v>37</v>
      </c>
    </row>
    <row r="1329" spans="13:15" x14ac:dyDescent="0.25">
      <c r="M1329" s="5">
        <v>42421</v>
      </c>
      <c r="N1329">
        <f t="shared" si="50"/>
        <v>1</v>
      </c>
      <c r="O1329">
        <v>37</v>
      </c>
    </row>
    <row r="1330" spans="13:15" x14ac:dyDescent="0.25">
      <c r="M1330" s="5">
        <v>42420</v>
      </c>
      <c r="N1330">
        <f t="shared" si="50"/>
        <v>1</v>
      </c>
      <c r="O1330">
        <v>37</v>
      </c>
    </row>
    <row r="1331" spans="13:15" x14ac:dyDescent="0.25">
      <c r="M1331" s="5">
        <v>42419</v>
      </c>
      <c r="N1331">
        <f t="shared" si="50"/>
        <v>1</v>
      </c>
      <c r="O1331">
        <v>37</v>
      </c>
    </row>
    <row r="1332" spans="13:15" x14ac:dyDescent="0.25">
      <c r="M1332" s="5">
        <v>42418</v>
      </c>
      <c r="N1332">
        <f t="shared" si="50"/>
        <v>1</v>
      </c>
      <c r="O1332">
        <v>37</v>
      </c>
    </row>
    <row r="1333" spans="13:15" x14ac:dyDescent="0.25">
      <c r="M1333" s="5">
        <v>42417</v>
      </c>
      <c r="N1333">
        <f t="shared" si="50"/>
        <v>1</v>
      </c>
      <c r="O1333">
        <v>37</v>
      </c>
    </row>
    <row r="1334" spans="13:15" x14ac:dyDescent="0.25">
      <c r="M1334" s="5">
        <v>42416</v>
      </c>
      <c r="N1334">
        <f t="shared" si="50"/>
        <v>1</v>
      </c>
      <c r="O1334">
        <v>37</v>
      </c>
    </row>
    <row r="1335" spans="13:15" x14ac:dyDescent="0.25">
      <c r="M1335" s="5">
        <v>42415</v>
      </c>
      <c r="N1335">
        <f t="shared" si="50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1">N1336-1</f>
        <v>15</v>
      </c>
      <c r="O1343">
        <v>36</v>
      </c>
    </row>
    <row r="1344" spans="13:15" x14ac:dyDescent="0.25">
      <c r="M1344" s="5">
        <v>42406</v>
      </c>
      <c r="N1344">
        <f t="shared" si="51"/>
        <v>15</v>
      </c>
      <c r="O1344">
        <v>36</v>
      </c>
    </row>
    <row r="1345" spans="13:15" x14ac:dyDescent="0.25">
      <c r="M1345" s="5">
        <v>42405</v>
      </c>
      <c r="N1345">
        <f t="shared" si="51"/>
        <v>15</v>
      </c>
      <c r="O1345">
        <v>36</v>
      </c>
    </row>
    <row r="1346" spans="13:15" x14ac:dyDescent="0.25">
      <c r="M1346" s="5">
        <v>42404</v>
      </c>
      <c r="N1346">
        <f t="shared" si="51"/>
        <v>15</v>
      </c>
      <c r="O1346">
        <v>36</v>
      </c>
    </row>
    <row r="1347" spans="13:15" x14ac:dyDescent="0.25">
      <c r="M1347" s="5">
        <v>42403</v>
      </c>
      <c r="N1347">
        <f t="shared" si="51"/>
        <v>15</v>
      </c>
      <c r="O1347">
        <v>36</v>
      </c>
    </row>
    <row r="1348" spans="13:15" x14ac:dyDescent="0.25">
      <c r="M1348" s="5">
        <v>42402</v>
      </c>
      <c r="N1348">
        <f t="shared" si="51"/>
        <v>15</v>
      </c>
      <c r="O1348">
        <v>36</v>
      </c>
    </row>
    <row r="1349" spans="13:15" x14ac:dyDescent="0.25">
      <c r="M1349" s="5">
        <v>42401</v>
      </c>
      <c r="N1349">
        <f t="shared" si="51"/>
        <v>15</v>
      </c>
      <c r="O1349">
        <v>36</v>
      </c>
    </row>
    <row r="1350" spans="13:15" x14ac:dyDescent="0.25">
      <c r="M1350" s="5">
        <v>42400</v>
      </c>
      <c r="N1350">
        <f t="shared" si="51"/>
        <v>14</v>
      </c>
      <c r="O1350">
        <v>36</v>
      </c>
    </row>
    <row r="1351" spans="13:15" x14ac:dyDescent="0.25">
      <c r="M1351" s="5">
        <v>42399</v>
      </c>
      <c r="N1351">
        <f t="shared" si="51"/>
        <v>14</v>
      </c>
      <c r="O1351">
        <v>36</v>
      </c>
    </row>
    <row r="1352" spans="13:15" x14ac:dyDescent="0.25">
      <c r="M1352" s="5">
        <v>42398</v>
      </c>
      <c r="N1352">
        <f t="shared" si="51"/>
        <v>14</v>
      </c>
      <c r="O1352">
        <v>36</v>
      </c>
    </row>
    <row r="1353" spans="13:15" x14ac:dyDescent="0.25">
      <c r="M1353" s="5">
        <v>42397</v>
      </c>
      <c r="N1353">
        <f t="shared" si="51"/>
        <v>14</v>
      </c>
      <c r="O1353">
        <v>36</v>
      </c>
    </row>
    <row r="1354" spans="13:15" x14ac:dyDescent="0.25">
      <c r="M1354" s="5">
        <v>42396</v>
      </c>
      <c r="N1354">
        <f t="shared" si="51"/>
        <v>14</v>
      </c>
      <c r="O1354">
        <v>36</v>
      </c>
    </row>
    <row r="1355" spans="13:15" x14ac:dyDescent="0.25">
      <c r="M1355" s="5">
        <v>42395</v>
      </c>
      <c r="N1355">
        <f t="shared" si="51"/>
        <v>14</v>
      </c>
      <c r="O1355">
        <v>36</v>
      </c>
    </row>
    <row r="1356" spans="13:15" x14ac:dyDescent="0.25">
      <c r="M1356" s="5">
        <v>42394</v>
      </c>
      <c r="N1356">
        <f t="shared" si="51"/>
        <v>14</v>
      </c>
      <c r="O1356">
        <v>36</v>
      </c>
    </row>
    <row r="1357" spans="13:15" x14ac:dyDescent="0.25">
      <c r="M1357" s="5">
        <v>42393</v>
      </c>
      <c r="N1357">
        <f t="shared" si="51"/>
        <v>13</v>
      </c>
      <c r="O1357">
        <v>36</v>
      </c>
    </row>
    <row r="1358" spans="13:15" x14ac:dyDescent="0.25">
      <c r="M1358" s="5">
        <v>42392</v>
      </c>
      <c r="N1358">
        <f t="shared" si="51"/>
        <v>13</v>
      </c>
      <c r="O1358">
        <v>36</v>
      </c>
    </row>
    <row r="1359" spans="13:15" x14ac:dyDescent="0.25">
      <c r="M1359" s="5">
        <v>42391</v>
      </c>
      <c r="N1359">
        <f t="shared" si="51"/>
        <v>13</v>
      </c>
      <c r="O1359">
        <v>36</v>
      </c>
    </row>
    <row r="1360" spans="13:15" x14ac:dyDescent="0.25">
      <c r="M1360" s="5">
        <v>42390</v>
      </c>
      <c r="N1360">
        <f t="shared" si="51"/>
        <v>13</v>
      </c>
      <c r="O1360">
        <v>36</v>
      </c>
    </row>
    <row r="1361" spans="13:15" x14ac:dyDescent="0.25">
      <c r="M1361" s="5">
        <v>42389</v>
      </c>
      <c r="N1361">
        <f t="shared" si="51"/>
        <v>13</v>
      </c>
      <c r="O1361">
        <v>36</v>
      </c>
    </row>
    <row r="1362" spans="13:15" x14ac:dyDescent="0.25">
      <c r="M1362" s="5">
        <v>42388</v>
      </c>
      <c r="N1362">
        <f t="shared" si="51"/>
        <v>13</v>
      </c>
      <c r="O1362">
        <v>36</v>
      </c>
    </row>
    <row r="1363" spans="13:15" x14ac:dyDescent="0.25">
      <c r="M1363" s="5">
        <v>42387</v>
      </c>
      <c r="N1363">
        <f t="shared" si="51"/>
        <v>13</v>
      </c>
      <c r="O1363">
        <v>36</v>
      </c>
    </row>
    <row r="1364" spans="13:15" x14ac:dyDescent="0.25">
      <c r="M1364" s="5">
        <v>42386</v>
      </c>
      <c r="N1364">
        <f t="shared" si="51"/>
        <v>12</v>
      </c>
      <c r="O1364">
        <v>36</v>
      </c>
    </row>
    <row r="1365" spans="13:15" x14ac:dyDescent="0.25">
      <c r="M1365" s="5">
        <v>42385</v>
      </c>
      <c r="N1365">
        <f t="shared" si="51"/>
        <v>12</v>
      </c>
      <c r="O1365">
        <v>36</v>
      </c>
    </row>
    <row r="1366" spans="13:15" x14ac:dyDescent="0.25">
      <c r="M1366" s="5">
        <v>42384</v>
      </c>
      <c r="N1366">
        <f t="shared" si="51"/>
        <v>12</v>
      </c>
      <c r="O1366">
        <v>36</v>
      </c>
    </row>
    <row r="1367" spans="13:15" x14ac:dyDescent="0.25">
      <c r="M1367" s="5">
        <v>42383</v>
      </c>
      <c r="N1367">
        <f t="shared" si="51"/>
        <v>12</v>
      </c>
      <c r="O1367">
        <v>36</v>
      </c>
    </row>
    <row r="1368" spans="13:15" x14ac:dyDescent="0.25">
      <c r="M1368" s="5">
        <v>42382</v>
      </c>
      <c r="N1368">
        <f t="shared" si="51"/>
        <v>12</v>
      </c>
      <c r="O1368">
        <v>36</v>
      </c>
    </row>
    <row r="1369" spans="13:15" x14ac:dyDescent="0.25">
      <c r="M1369" s="5">
        <v>42381</v>
      </c>
      <c r="N1369">
        <f t="shared" si="51"/>
        <v>12</v>
      </c>
      <c r="O1369">
        <v>36</v>
      </c>
    </row>
    <row r="1370" spans="13:15" x14ac:dyDescent="0.25">
      <c r="M1370" s="5">
        <v>42380</v>
      </c>
      <c r="N1370">
        <f t="shared" si="51"/>
        <v>12</v>
      </c>
      <c r="O1370">
        <v>36</v>
      </c>
    </row>
    <row r="1371" spans="13:15" x14ac:dyDescent="0.25">
      <c r="M1371" s="5">
        <v>42379</v>
      </c>
      <c r="N1371">
        <f t="shared" si="51"/>
        <v>11</v>
      </c>
      <c r="O1371">
        <v>36</v>
      </c>
    </row>
    <row r="1372" spans="13:15" x14ac:dyDescent="0.25">
      <c r="M1372" s="5">
        <v>42378</v>
      </c>
      <c r="N1372">
        <f t="shared" si="51"/>
        <v>11</v>
      </c>
      <c r="O1372">
        <v>36</v>
      </c>
    </row>
    <row r="1373" spans="13:15" x14ac:dyDescent="0.25">
      <c r="M1373" s="5">
        <v>42377</v>
      </c>
      <c r="N1373">
        <f t="shared" si="51"/>
        <v>11</v>
      </c>
      <c r="O1373">
        <v>36</v>
      </c>
    </row>
    <row r="1374" spans="13:15" x14ac:dyDescent="0.25">
      <c r="M1374" s="5">
        <v>42376</v>
      </c>
      <c r="N1374">
        <f t="shared" si="51"/>
        <v>11</v>
      </c>
      <c r="O1374">
        <v>36</v>
      </c>
    </row>
    <row r="1375" spans="13:15" x14ac:dyDescent="0.25">
      <c r="M1375" s="5">
        <v>42375</v>
      </c>
      <c r="N1375">
        <f t="shared" ref="N1375:N1406" si="52">N1368-1</f>
        <v>11</v>
      </c>
      <c r="O1375">
        <v>36</v>
      </c>
    </row>
    <row r="1376" spans="13:15" x14ac:dyDescent="0.25">
      <c r="M1376" s="5">
        <v>42374</v>
      </c>
      <c r="N1376">
        <f t="shared" si="52"/>
        <v>11</v>
      </c>
      <c r="O1376">
        <v>36</v>
      </c>
    </row>
    <row r="1377" spans="13:15" x14ac:dyDescent="0.25">
      <c r="M1377" s="5">
        <v>42373</v>
      </c>
      <c r="N1377">
        <f t="shared" si="52"/>
        <v>11</v>
      </c>
      <c r="O1377">
        <v>36</v>
      </c>
    </row>
    <row r="1378" spans="13:15" x14ac:dyDescent="0.25">
      <c r="M1378" s="5">
        <v>42372</v>
      </c>
      <c r="N1378">
        <f t="shared" si="52"/>
        <v>10</v>
      </c>
      <c r="O1378">
        <v>36</v>
      </c>
    </row>
    <row r="1379" spans="13:15" x14ac:dyDescent="0.25">
      <c r="M1379" s="5">
        <v>42371</v>
      </c>
      <c r="N1379">
        <f t="shared" si="52"/>
        <v>10</v>
      </c>
      <c r="O1379">
        <v>36</v>
      </c>
    </row>
    <row r="1380" spans="13:15" x14ac:dyDescent="0.25">
      <c r="M1380" s="5">
        <v>42370</v>
      </c>
      <c r="N1380">
        <f t="shared" si="52"/>
        <v>10</v>
      </c>
      <c r="O1380">
        <v>36</v>
      </c>
    </row>
    <row r="1381" spans="13:15" x14ac:dyDescent="0.25">
      <c r="M1381" s="5">
        <v>42369</v>
      </c>
      <c r="N1381">
        <f t="shared" si="52"/>
        <v>10</v>
      </c>
      <c r="O1381">
        <v>36</v>
      </c>
    </row>
    <row r="1382" spans="13:15" x14ac:dyDescent="0.25">
      <c r="M1382" s="5">
        <v>42368</v>
      </c>
      <c r="N1382">
        <f t="shared" si="52"/>
        <v>10</v>
      </c>
      <c r="O1382">
        <v>36</v>
      </c>
    </row>
    <row r="1383" spans="13:15" x14ac:dyDescent="0.25">
      <c r="M1383" s="5">
        <v>42367</v>
      </c>
      <c r="N1383">
        <f t="shared" si="52"/>
        <v>10</v>
      </c>
      <c r="O1383">
        <v>36</v>
      </c>
    </row>
    <row r="1384" spans="13:15" x14ac:dyDescent="0.25">
      <c r="M1384" s="5">
        <v>42366</v>
      </c>
      <c r="N1384">
        <f t="shared" si="52"/>
        <v>10</v>
      </c>
      <c r="O1384">
        <v>36</v>
      </c>
    </row>
    <row r="1385" spans="13:15" x14ac:dyDescent="0.25">
      <c r="M1385" s="5">
        <v>42365</v>
      </c>
      <c r="N1385">
        <f t="shared" si="52"/>
        <v>9</v>
      </c>
      <c r="O1385">
        <v>36</v>
      </c>
    </row>
    <row r="1386" spans="13:15" x14ac:dyDescent="0.25">
      <c r="M1386" s="5">
        <v>42364</v>
      </c>
      <c r="N1386">
        <f t="shared" si="52"/>
        <v>9</v>
      </c>
      <c r="O1386">
        <v>36</v>
      </c>
    </row>
    <row r="1387" spans="13:15" x14ac:dyDescent="0.25">
      <c r="M1387" s="5">
        <v>42363</v>
      </c>
      <c r="N1387">
        <f t="shared" si="52"/>
        <v>9</v>
      </c>
      <c r="O1387">
        <v>36</v>
      </c>
    </row>
    <row r="1388" spans="13:15" x14ac:dyDescent="0.25">
      <c r="M1388" s="5">
        <v>42362</v>
      </c>
      <c r="N1388">
        <f t="shared" si="52"/>
        <v>9</v>
      </c>
      <c r="O1388">
        <v>36</v>
      </c>
    </row>
    <row r="1389" spans="13:15" x14ac:dyDescent="0.25">
      <c r="M1389" s="5">
        <v>42361</v>
      </c>
      <c r="N1389">
        <f t="shared" si="52"/>
        <v>9</v>
      </c>
      <c r="O1389">
        <v>36</v>
      </c>
    </row>
    <row r="1390" spans="13:15" x14ac:dyDescent="0.25">
      <c r="M1390" s="5">
        <v>42360</v>
      </c>
      <c r="N1390">
        <f t="shared" si="52"/>
        <v>9</v>
      </c>
      <c r="O1390">
        <v>36</v>
      </c>
    </row>
    <row r="1391" spans="13:15" x14ac:dyDescent="0.25">
      <c r="M1391" s="5">
        <v>42359</v>
      </c>
      <c r="N1391">
        <f t="shared" si="52"/>
        <v>9</v>
      </c>
      <c r="O1391">
        <v>36</v>
      </c>
    </row>
    <row r="1392" spans="13:15" x14ac:dyDescent="0.25">
      <c r="M1392" s="5">
        <v>42358</v>
      </c>
      <c r="N1392">
        <f t="shared" si="52"/>
        <v>8</v>
      </c>
      <c r="O1392">
        <v>36</v>
      </c>
    </row>
    <row r="1393" spans="13:15" x14ac:dyDescent="0.25">
      <c r="M1393" s="5">
        <v>42357</v>
      </c>
      <c r="N1393">
        <f t="shared" si="52"/>
        <v>8</v>
      </c>
      <c r="O1393">
        <v>36</v>
      </c>
    </row>
    <row r="1394" spans="13:15" x14ac:dyDescent="0.25">
      <c r="M1394" s="5">
        <v>42356</v>
      </c>
      <c r="N1394">
        <f t="shared" si="52"/>
        <v>8</v>
      </c>
      <c r="O1394">
        <v>36</v>
      </c>
    </row>
    <row r="1395" spans="13:15" x14ac:dyDescent="0.25">
      <c r="M1395" s="5">
        <v>42355</v>
      </c>
      <c r="N1395">
        <f t="shared" si="52"/>
        <v>8</v>
      </c>
      <c r="O1395">
        <v>36</v>
      </c>
    </row>
    <row r="1396" spans="13:15" x14ac:dyDescent="0.25">
      <c r="M1396" s="5">
        <v>42354</v>
      </c>
      <c r="N1396">
        <f t="shared" si="52"/>
        <v>8</v>
      </c>
      <c r="O1396">
        <v>36</v>
      </c>
    </row>
    <row r="1397" spans="13:15" x14ac:dyDescent="0.25">
      <c r="M1397" s="5">
        <v>42353</v>
      </c>
      <c r="N1397">
        <f t="shared" si="52"/>
        <v>8</v>
      </c>
      <c r="O1397">
        <v>36</v>
      </c>
    </row>
    <row r="1398" spans="13:15" x14ac:dyDescent="0.25">
      <c r="M1398" s="5">
        <v>42352</v>
      </c>
      <c r="N1398">
        <f t="shared" si="52"/>
        <v>8</v>
      </c>
      <c r="O1398">
        <v>36</v>
      </c>
    </row>
    <row r="1399" spans="13:15" x14ac:dyDescent="0.25">
      <c r="M1399" s="5">
        <v>42351</v>
      </c>
      <c r="N1399">
        <f t="shared" si="52"/>
        <v>7</v>
      </c>
      <c r="O1399">
        <v>36</v>
      </c>
    </row>
    <row r="1400" spans="13:15" x14ac:dyDescent="0.25">
      <c r="M1400" s="5">
        <v>42350</v>
      </c>
      <c r="N1400">
        <f t="shared" si="52"/>
        <v>7</v>
      </c>
      <c r="O1400">
        <v>36</v>
      </c>
    </row>
    <row r="1401" spans="13:15" x14ac:dyDescent="0.25">
      <c r="M1401" s="5">
        <v>42349</v>
      </c>
      <c r="N1401">
        <f t="shared" si="52"/>
        <v>7</v>
      </c>
      <c r="O1401">
        <v>36</v>
      </c>
    </row>
    <row r="1402" spans="13:15" x14ac:dyDescent="0.25">
      <c r="M1402" s="5">
        <v>42348</v>
      </c>
      <c r="N1402">
        <f t="shared" si="52"/>
        <v>7</v>
      </c>
      <c r="O1402">
        <v>36</v>
      </c>
    </row>
    <row r="1403" spans="13:15" x14ac:dyDescent="0.25">
      <c r="M1403" s="5">
        <v>42347</v>
      </c>
      <c r="N1403">
        <f t="shared" si="52"/>
        <v>7</v>
      </c>
      <c r="O1403">
        <v>36</v>
      </c>
    </row>
    <row r="1404" spans="13:15" x14ac:dyDescent="0.25">
      <c r="M1404" s="5">
        <v>42346</v>
      </c>
      <c r="N1404">
        <f t="shared" si="52"/>
        <v>7</v>
      </c>
      <c r="O1404">
        <v>36</v>
      </c>
    </row>
    <row r="1405" spans="13:15" x14ac:dyDescent="0.25">
      <c r="M1405" s="5">
        <v>42345</v>
      </c>
      <c r="N1405">
        <f t="shared" si="52"/>
        <v>7</v>
      </c>
      <c r="O1405">
        <v>36</v>
      </c>
    </row>
    <row r="1406" spans="13:15" x14ac:dyDescent="0.25">
      <c r="M1406" s="5">
        <v>42344</v>
      </c>
      <c r="N1406">
        <f t="shared" si="52"/>
        <v>6</v>
      </c>
      <c r="O1406">
        <v>36</v>
      </c>
    </row>
    <row r="1407" spans="13:15" x14ac:dyDescent="0.25">
      <c r="M1407" s="5">
        <v>42343</v>
      </c>
      <c r="N1407">
        <f t="shared" ref="N1407:N1438" si="53">N1400-1</f>
        <v>6</v>
      </c>
      <c r="O1407">
        <v>36</v>
      </c>
    </row>
    <row r="1408" spans="13:15" x14ac:dyDescent="0.25">
      <c r="M1408" s="5">
        <v>42342</v>
      </c>
      <c r="N1408">
        <f t="shared" si="53"/>
        <v>6</v>
      </c>
      <c r="O1408">
        <v>36</v>
      </c>
    </row>
    <row r="1409" spans="13:15" x14ac:dyDescent="0.25">
      <c r="M1409" s="5">
        <v>42341</v>
      </c>
      <c r="N1409">
        <f t="shared" si="53"/>
        <v>6</v>
      </c>
      <c r="O1409">
        <v>36</v>
      </c>
    </row>
    <row r="1410" spans="13:15" x14ac:dyDescent="0.25">
      <c r="M1410" s="5">
        <v>42340</v>
      </c>
      <c r="N1410">
        <f t="shared" si="53"/>
        <v>6</v>
      </c>
      <c r="O1410">
        <v>36</v>
      </c>
    </row>
    <row r="1411" spans="13:15" x14ac:dyDescent="0.25">
      <c r="M1411" s="5">
        <v>42339</v>
      </c>
      <c r="N1411">
        <f t="shared" si="53"/>
        <v>6</v>
      </c>
      <c r="O1411">
        <v>36</v>
      </c>
    </row>
    <row r="1412" spans="13:15" x14ac:dyDescent="0.25">
      <c r="M1412" s="5">
        <v>42338</v>
      </c>
      <c r="N1412">
        <f t="shared" si="53"/>
        <v>6</v>
      </c>
      <c r="O1412">
        <v>36</v>
      </c>
    </row>
    <row r="1413" spans="13:15" x14ac:dyDescent="0.25">
      <c r="M1413" s="5">
        <v>42337</v>
      </c>
      <c r="N1413">
        <f t="shared" si="53"/>
        <v>5</v>
      </c>
      <c r="O1413">
        <v>36</v>
      </c>
    </row>
    <row r="1414" spans="13:15" x14ac:dyDescent="0.25">
      <c r="M1414" s="5">
        <v>42336</v>
      </c>
      <c r="N1414">
        <f t="shared" si="53"/>
        <v>5</v>
      </c>
      <c r="O1414">
        <v>36</v>
      </c>
    </row>
    <row r="1415" spans="13:15" x14ac:dyDescent="0.25">
      <c r="M1415" s="5">
        <v>42335</v>
      </c>
      <c r="N1415">
        <f t="shared" si="53"/>
        <v>5</v>
      </c>
      <c r="O1415">
        <v>36</v>
      </c>
    </row>
    <row r="1416" spans="13:15" x14ac:dyDescent="0.25">
      <c r="M1416" s="5">
        <v>42334</v>
      </c>
      <c r="N1416">
        <f t="shared" si="53"/>
        <v>5</v>
      </c>
      <c r="O1416">
        <v>36</v>
      </c>
    </row>
    <row r="1417" spans="13:15" x14ac:dyDescent="0.25">
      <c r="M1417" s="5">
        <v>42333</v>
      </c>
      <c r="N1417">
        <f t="shared" si="53"/>
        <v>5</v>
      </c>
      <c r="O1417">
        <v>36</v>
      </c>
    </row>
    <row r="1418" spans="13:15" x14ac:dyDescent="0.25">
      <c r="M1418" s="5">
        <v>42332</v>
      </c>
      <c r="N1418">
        <f t="shared" si="53"/>
        <v>5</v>
      </c>
      <c r="O1418">
        <v>36</v>
      </c>
    </row>
    <row r="1419" spans="13:15" x14ac:dyDescent="0.25">
      <c r="M1419" s="5">
        <v>42331</v>
      </c>
      <c r="N1419">
        <f t="shared" si="53"/>
        <v>5</v>
      </c>
      <c r="O1419">
        <v>36</v>
      </c>
    </row>
    <row r="1420" spans="13:15" x14ac:dyDescent="0.25">
      <c r="M1420" s="5">
        <v>42330</v>
      </c>
      <c r="N1420">
        <f t="shared" si="53"/>
        <v>4</v>
      </c>
      <c r="O1420">
        <v>36</v>
      </c>
    </row>
    <row r="1421" spans="13:15" x14ac:dyDescent="0.25">
      <c r="M1421" s="5">
        <v>42329</v>
      </c>
      <c r="N1421">
        <f t="shared" si="53"/>
        <v>4</v>
      </c>
      <c r="O1421">
        <v>36</v>
      </c>
    </row>
    <row r="1422" spans="13:15" x14ac:dyDescent="0.25">
      <c r="M1422" s="5">
        <v>42328</v>
      </c>
      <c r="N1422">
        <f t="shared" si="53"/>
        <v>4</v>
      </c>
      <c r="O1422">
        <v>36</v>
      </c>
    </row>
    <row r="1423" spans="13:15" x14ac:dyDescent="0.25">
      <c r="M1423" s="5">
        <v>42327</v>
      </c>
      <c r="N1423">
        <f t="shared" si="53"/>
        <v>4</v>
      </c>
      <c r="O1423">
        <v>36</v>
      </c>
    </row>
    <row r="1424" spans="13:15" x14ac:dyDescent="0.25">
      <c r="M1424" s="5">
        <v>42326</v>
      </c>
      <c r="N1424">
        <f t="shared" si="53"/>
        <v>4</v>
      </c>
      <c r="O1424">
        <v>36</v>
      </c>
    </row>
    <row r="1425" spans="13:15" x14ac:dyDescent="0.25">
      <c r="M1425" s="5">
        <v>42325</v>
      </c>
      <c r="N1425">
        <f t="shared" si="53"/>
        <v>4</v>
      </c>
      <c r="O1425">
        <v>36</v>
      </c>
    </row>
    <row r="1426" spans="13:15" x14ac:dyDescent="0.25">
      <c r="M1426" s="5">
        <v>42324</v>
      </c>
      <c r="N1426">
        <f t="shared" si="53"/>
        <v>4</v>
      </c>
      <c r="O1426">
        <v>36</v>
      </c>
    </row>
    <row r="1427" spans="13:15" x14ac:dyDescent="0.25">
      <c r="M1427" s="5">
        <v>42323</v>
      </c>
      <c r="N1427">
        <f t="shared" si="53"/>
        <v>3</v>
      </c>
      <c r="O1427">
        <v>36</v>
      </c>
    </row>
    <row r="1428" spans="13:15" x14ac:dyDescent="0.25">
      <c r="M1428" s="5">
        <v>42322</v>
      </c>
      <c r="N1428">
        <f t="shared" si="53"/>
        <v>3</v>
      </c>
      <c r="O1428">
        <v>36</v>
      </c>
    </row>
    <row r="1429" spans="13:15" x14ac:dyDescent="0.25">
      <c r="M1429" s="5">
        <v>42321</v>
      </c>
      <c r="N1429">
        <f t="shared" si="53"/>
        <v>3</v>
      </c>
      <c r="O1429">
        <v>36</v>
      </c>
    </row>
    <row r="1430" spans="13:15" x14ac:dyDescent="0.25">
      <c r="M1430" s="5">
        <v>42320</v>
      </c>
      <c r="N1430">
        <f t="shared" si="53"/>
        <v>3</v>
      </c>
      <c r="O1430">
        <v>36</v>
      </c>
    </row>
    <row r="1431" spans="13:15" x14ac:dyDescent="0.25">
      <c r="M1431" s="5">
        <v>42319</v>
      </c>
      <c r="N1431">
        <f t="shared" si="53"/>
        <v>3</v>
      </c>
      <c r="O1431">
        <v>36</v>
      </c>
    </row>
    <row r="1432" spans="13:15" x14ac:dyDescent="0.25">
      <c r="M1432" s="5">
        <v>42318</v>
      </c>
      <c r="N1432">
        <f t="shared" si="53"/>
        <v>3</v>
      </c>
      <c r="O1432">
        <v>36</v>
      </c>
    </row>
    <row r="1433" spans="13:15" x14ac:dyDescent="0.25">
      <c r="M1433" s="5">
        <v>42317</v>
      </c>
      <c r="N1433">
        <f t="shared" si="53"/>
        <v>3</v>
      </c>
      <c r="O1433">
        <v>36</v>
      </c>
    </row>
    <row r="1434" spans="13:15" x14ac:dyDescent="0.25">
      <c r="M1434" s="5">
        <v>42316</v>
      </c>
      <c r="N1434">
        <f t="shared" si="53"/>
        <v>2</v>
      </c>
      <c r="O1434">
        <v>36</v>
      </c>
    </row>
    <row r="1435" spans="13:15" x14ac:dyDescent="0.25">
      <c r="M1435" s="5">
        <v>42315</v>
      </c>
      <c r="N1435">
        <f t="shared" si="53"/>
        <v>2</v>
      </c>
      <c r="O1435">
        <v>36</v>
      </c>
    </row>
    <row r="1436" spans="13:15" x14ac:dyDescent="0.25">
      <c r="M1436" s="5">
        <v>42314</v>
      </c>
      <c r="N1436">
        <f t="shared" si="53"/>
        <v>2</v>
      </c>
      <c r="O1436">
        <v>36</v>
      </c>
    </row>
    <row r="1437" spans="13:15" x14ac:dyDescent="0.25">
      <c r="M1437" s="5">
        <v>42313</v>
      </c>
      <c r="N1437">
        <f t="shared" si="53"/>
        <v>2</v>
      </c>
      <c r="O1437">
        <v>36</v>
      </c>
    </row>
    <row r="1438" spans="13:15" x14ac:dyDescent="0.25">
      <c r="M1438" s="5">
        <v>42312</v>
      </c>
      <c r="N1438">
        <f t="shared" si="53"/>
        <v>2</v>
      </c>
      <c r="O1438">
        <v>36</v>
      </c>
    </row>
    <row r="1439" spans="13:15" x14ac:dyDescent="0.25">
      <c r="M1439" s="5">
        <v>42311</v>
      </c>
      <c r="N1439">
        <f t="shared" ref="N1439:N1447" si="54">N1432-1</f>
        <v>2</v>
      </c>
      <c r="O1439">
        <v>36</v>
      </c>
    </row>
    <row r="1440" spans="13:15" x14ac:dyDescent="0.25">
      <c r="M1440" s="5">
        <v>42310</v>
      </c>
      <c r="N1440">
        <f t="shared" si="54"/>
        <v>2</v>
      </c>
      <c r="O1440">
        <v>36</v>
      </c>
    </row>
    <row r="1441" spans="13:15" x14ac:dyDescent="0.25">
      <c r="M1441" s="5">
        <v>42309</v>
      </c>
      <c r="N1441">
        <f t="shared" si="54"/>
        <v>1</v>
      </c>
      <c r="O1441">
        <v>36</v>
      </c>
    </row>
    <row r="1442" spans="13:15" x14ac:dyDescent="0.25">
      <c r="M1442" s="5">
        <v>42308</v>
      </c>
      <c r="N1442">
        <f t="shared" si="54"/>
        <v>1</v>
      </c>
      <c r="O1442">
        <v>36</v>
      </c>
    </row>
    <row r="1443" spans="13:15" x14ac:dyDescent="0.25">
      <c r="M1443" s="5">
        <v>42307</v>
      </c>
      <c r="N1443">
        <f t="shared" si="54"/>
        <v>1</v>
      </c>
      <c r="O1443">
        <v>36</v>
      </c>
    </row>
    <row r="1444" spans="13:15" x14ac:dyDescent="0.25">
      <c r="M1444" s="5">
        <v>42306</v>
      </c>
      <c r="N1444">
        <f t="shared" si="54"/>
        <v>1</v>
      </c>
      <c r="O1444">
        <v>36</v>
      </c>
    </row>
    <row r="1445" spans="13:15" x14ac:dyDescent="0.25">
      <c r="M1445" s="5">
        <v>42305</v>
      </c>
      <c r="N1445">
        <f t="shared" si="54"/>
        <v>1</v>
      </c>
      <c r="O1445">
        <v>36</v>
      </c>
    </row>
    <row r="1446" spans="13:15" x14ac:dyDescent="0.25">
      <c r="M1446" s="5">
        <v>42304</v>
      </c>
      <c r="N1446">
        <f t="shared" si="54"/>
        <v>1</v>
      </c>
      <c r="O1446">
        <v>36</v>
      </c>
    </row>
    <row r="1447" spans="13:15" x14ac:dyDescent="0.25">
      <c r="M1447" s="5">
        <v>42303</v>
      </c>
      <c r="N1447">
        <f t="shared" si="54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5">N1448-1</f>
        <v>15</v>
      </c>
      <c r="O1455">
        <v>35</v>
      </c>
    </row>
    <row r="1456" spans="13:15" x14ac:dyDescent="0.25">
      <c r="M1456" s="5">
        <v>42294</v>
      </c>
      <c r="N1456">
        <f t="shared" si="55"/>
        <v>15</v>
      </c>
      <c r="O1456">
        <v>35</v>
      </c>
    </row>
    <row r="1457" spans="13:15" x14ac:dyDescent="0.25">
      <c r="M1457" s="5">
        <v>42293</v>
      </c>
      <c r="N1457">
        <f t="shared" si="55"/>
        <v>15</v>
      </c>
      <c r="O1457">
        <v>35</v>
      </c>
    </row>
    <row r="1458" spans="13:15" x14ac:dyDescent="0.25">
      <c r="M1458" s="5">
        <v>42292</v>
      </c>
      <c r="N1458">
        <f t="shared" si="55"/>
        <v>15</v>
      </c>
      <c r="O1458">
        <v>35</v>
      </c>
    </row>
    <row r="1459" spans="13:15" x14ac:dyDescent="0.25">
      <c r="M1459" s="5">
        <v>42291</v>
      </c>
      <c r="N1459">
        <f t="shared" si="55"/>
        <v>15</v>
      </c>
      <c r="O1459">
        <v>35</v>
      </c>
    </row>
    <row r="1460" spans="13:15" x14ac:dyDescent="0.25">
      <c r="M1460" s="5">
        <v>42290</v>
      </c>
      <c r="N1460">
        <f t="shared" si="55"/>
        <v>15</v>
      </c>
      <c r="O1460">
        <v>35</v>
      </c>
    </row>
    <row r="1461" spans="13:15" x14ac:dyDescent="0.25">
      <c r="M1461" s="5">
        <v>42289</v>
      </c>
      <c r="N1461">
        <f t="shared" si="55"/>
        <v>15</v>
      </c>
      <c r="O1461">
        <v>35</v>
      </c>
    </row>
    <row r="1462" spans="13:15" x14ac:dyDescent="0.25">
      <c r="M1462" s="5">
        <v>42288</v>
      </c>
      <c r="N1462">
        <f t="shared" si="55"/>
        <v>14</v>
      </c>
      <c r="O1462">
        <v>35</v>
      </c>
    </row>
    <row r="1463" spans="13:15" x14ac:dyDescent="0.25">
      <c r="M1463" s="5">
        <v>42287</v>
      </c>
      <c r="N1463">
        <f t="shared" si="55"/>
        <v>14</v>
      </c>
      <c r="O1463">
        <v>35</v>
      </c>
    </row>
    <row r="1464" spans="13:15" x14ac:dyDescent="0.25">
      <c r="M1464" s="5">
        <v>42286</v>
      </c>
      <c r="N1464">
        <f t="shared" si="55"/>
        <v>14</v>
      </c>
      <c r="O1464">
        <v>35</v>
      </c>
    </row>
    <row r="1465" spans="13:15" x14ac:dyDescent="0.25">
      <c r="M1465" s="5">
        <v>42285</v>
      </c>
      <c r="N1465">
        <f t="shared" si="55"/>
        <v>14</v>
      </c>
      <c r="O1465">
        <v>35</v>
      </c>
    </row>
    <row r="1466" spans="13:15" x14ac:dyDescent="0.25">
      <c r="M1466" s="5">
        <v>42284</v>
      </c>
      <c r="N1466">
        <f t="shared" si="55"/>
        <v>14</v>
      </c>
      <c r="O1466">
        <v>35</v>
      </c>
    </row>
    <row r="1467" spans="13:15" x14ac:dyDescent="0.25">
      <c r="M1467" s="5">
        <v>42283</v>
      </c>
      <c r="N1467">
        <f t="shared" si="55"/>
        <v>14</v>
      </c>
      <c r="O1467">
        <v>35</v>
      </c>
    </row>
    <row r="1468" spans="13:15" x14ac:dyDescent="0.25">
      <c r="M1468" s="5">
        <v>42282</v>
      </c>
      <c r="N1468">
        <f t="shared" si="55"/>
        <v>14</v>
      </c>
      <c r="O1468">
        <v>35</v>
      </c>
    </row>
    <row r="1469" spans="13:15" x14ac:dyDescent="0.25">
      <c r="M1469" s="5">
        <v>42281</v>
      </c>
      <c r="N1469">
        <f t="shared" si="55"/>
        <v>13</v>
      </c>
      <c r="O1469">
        <v>35</v>
      </c>
    </row>
    <row r="1470" spans="13:15" x14ac:dyDescent="0.25">
      <c r="M1470" s="5">
        <v>42280</v>
      </c>
      <c r="N1470">
        <f t="shared" si="55"/>
        <v>13</v>
      </c>
      <c r="O1470">
        <v>35</v>
      </c>
    </row>
    <row r="1471" spans="13:15" x14ac:dyDescent="0.25">
      <c r="M1471" s="5">
        <v>42279</v>
      </c>
      <c r="N1471">
        <f t="shared" si="55"/>
        <v>13</v>
      </c>
      <c r="O1471">
        <v>35</v>
      </c>
    </row>
    <row r="1472" spans="13:15" x14ac:dyDescent="0.25">
      <c r="M1472" s="5">
        <v>42278</v>
      </c>
      <c r="N1472">
        <f t="shared" si="55"/>
        <v>13</v>
      </c>
      <c r="O1472">
        <v>35</v>
      </c>
    </row>
    <row r="1473" spans="13:15" x14ac:dyDescent="0.25">
      <c r="M1473" s="5">
        <v>42277</v>
      </c>
      <c r="N1473">
        <f t="shared" si="55"/>
        <v>13</v>
      </c>
      <c r="O1473">
        <v>35</v>
      </c>
    </row>
    <row r="1474" spans="13:15" x14ac:dyDescent="0.25">
      <c r="M1474" s="5">
        <v>42276</v>
      </c>
      <c r="N1474">
        <f t="shared" si="55"/>
        <v>13</v>
      </c>
      <c r="O1474">
        <v>35</v>
      </c>
    </row>
    <row r="1475" spans="13:15" x14ac:dyDescent="0.25">
      <c r="M1475" s="5">
        <v>42275</v>
      </c>
      <c r="N1475">
        <f t="shared" si="55"/>
        <v>13</v>
      </c>
      <c r="O1475">
        <v>35</v>
      </c>
    </row>
    <row r="1476" spans="13:15" x14ac:dyDescent="0.25">
      <c r="M1476" s="5">
        <v>42274</v>
      </c>
      <c r="N1476">
        <f t="shared" si="55"/>
        <v>12</v>
      </c>
      <c r="O1476">
        <v>35</v>
      </c>
    </row>
    <row r="1477" spans="13:15" x14ac:dyDescent="0.25">
      <c r="M1477" s="5">
        <v>42273</v>
      </c>
      <c r="N1477">
        <f t="shared" si="55"/>
        <v>12</v>
      </c>
      <c r="O1477">
        <v>35</v>
      </c>
    </row>
    <row r="1478" spans="13:15" x14ac:dyDescent="0.25">
      <c r="M1478" s="5">
        <v>42272</v>
      </c>
      <c r="N1478">
        <f t="shared" si="55"/>
        <v>12</v>
      </c>
      <c r="O1478">
        <v>35</v>
      </c>
    </row>
    <row r="1479" spans="13:15" x14ac:dyDescent="0.25">
      <c r="M1479" s="5">
        <v>42271</v>
      </c>
      <c r="N1479">
        <f t="shared" si="55"/>
        <v>12</v>
      </c>
      <c r="O1479">
        <v>35</v>
      </c>
    </row>
    <row r="1480" spans="13:15" x14ac:dyDescent="0.25">
      <c r="M1480" s="5">
        <v>42270</v>
      </c>
      <c r="N1480">
        <f t="shared" si="55"/>
        <v>12</v>
      </c>
      <c r="O1480">
        <v>35</v>
      </c>
    </row>
    <row r="1481" spans="13:15" x14ac:dyDescent="0.25">
      <c r="M1481" s="5">
        <v>42269</v>
      </c>
      <c r="N1481">
        <f t="shared" si="55"/>
        <v>12</v>
      </c>
      <c r="O1481">
        <v>35</v>
      </c>
    </row>
    <row r="1482" spans="13:15" x14ac:dyDescent="0.25">
      <c r="M1482" s="5">
        <v>42268</v>
      </c>
      <c r="N1482">
        <f t="shared" si="55"/>
        <v>12</v>
      </c>
      <c r="O1482">
        <v>35</v>
      </c>
    </row>
    <row r="1483" spans="13:15" x14ac:dyDescent="0.25">
      <c r="M1483" s="5">
        <v>42267</v>
      </c>
      <c r="N1483">
        <f t="shared" si="55"/>
        <v>11</v>
      </c>
      <c r="O1483">
        <v>35</v>
      </c>
    </row>
    <row r="1484" spans="13:15" x14ac:dyDescent="0.25">
      <c r="M1484" s="5">
        <v>42266</v>
      </c>
      <c r="N1484">
        <f t="shared" si="55"/>
        <v>11</v>
      </c>
      <c r="O1484">
        <v>35</v>
      </c>
    </row>
    <row r="1485" spans="13:15" x14ac:dyDescent="0.25">
      <c r="M1485" s="5">
        <v>42265</v>
      </c>
      <c r="N1485">
        <f t="shared" si="55"/>
        <v>11</v>
      </c>
      <c r="O1485">
        <v>35</v>
      </c>
    </row>
    <row r="1486" spans="13:15" x14ac:dyDescent="0.25">
      <c r="M1486" s="5">
        <v>42264</v>
      </c>
      <c r="N1486">
        <f t="shared" si="55"/>
        <v>11</v>
      </c>
      <c r="O1486">
        <v>35</v>
      </c>
    </row>
    <row r="1487" spans="13:15" x14ac:dyDescent="0.25">
      <c r="M1487" s="5">
        <v>42263</v>
      </c>
      <c r="N1487">
        <f t="shared" ref="N1487:N1518" si="56">N1480-1</f>
        <v>11</v>
      </c>
      <c r="O1487">
        <v>35</v>
      </c>
    </row>
    <row r="1488" spans="13:15" x14ac:dyDescent="0.25">
      <c r="M1488" s="5">
        <v>42262</v>
      </c>
      <c r="N1488">
        <f t="shared" si="56"/>
        <v>11</v>
      </c>
      <c r="O1488">
        <v>35</v>
      </c>
    </row>
    <row r="1489" spans="13:15" x14ac:dyDescent="0.25">
      <c r="M1489" s="5">
        <v>42261</v>
      </c>
      <c r="N1489">
        <f t="shared" si="56"/>
        <v>11</v>
      </c>
      <c r="O1489">
        <v>35</v>
      </c>
    </row>
    <row r="1490" spans="13:15" x14ac:dyDescent="0.25">
      <c r="M1490" s="5">
        <v>42260</v>
      </c>
      <c r="N1490">
        <f t="shared" si="56"/>
        <v>10</v>
      </c>
      <c r="O1490">
        <v>35</v>
      </c>
    </row>
    <row r="1491" spans="13:15" x14ac:dyDescent="0.25">
      <c r="M1491" s="5">
        <v>42259</v>
      </c>
      <c r="N1491">
        <f t="shared" si="56"/>
        <v>10</v>
      </c>
      <c r="O1491">
        <v>35</v>
      </c>
    </row>
    <row r="1492" spans="13:15" x14ac:dyDescent="0.25">
      <c r="M1492" s="5">
        <v>42258</v>
      </c>
      <c r="N1492">
        <f t="shared" si="56"/>
        <v>10</v>
      </c>
      <c r="O1492">
        <v>35</v>
      </c>
    </row>
    <row r="1493" spans="13:15" x14ac:dyDescent="0.25">
      <c r="M1493" s="5">
        <v>42257</v>
      </c>
      <c r="N1493">
        <f t="shared" si="56"/>
        <v>10</v>
      </c>
      <c r="O1493">
        <v>35</v>
      </c>
    </row>
    <row r="1494" spans="13:15" x14ac:dyDescent="0.25">
      <c r="M1494" s="5">
        <v>42256</v>
      </c>
      <c r="N1494">
        <f t="shared" si="56"/>
        <v>10</v>
      </c>
      <c r="O1494">
        <v>35</v>
      </c>
    </row>
    <row r="1495" spans="13:15" x14ac:dyDescent="0.25">
      <c r="M1495" s="5">
        <v>42255</v>
      </c>
      <c r="N1495">
        <f t="shared" si="56"/>
        <v>10</v>
      </c>
      <c r="O1495">
        <v>35</v>
      </c>
    </row>
    <row r="1496" spans="13:15" x14ac:dyDescent="0.25">
      <c r="M1496" s="5">
        <v>42254</v>
      </c>
      <c r="N1496">
        <f t="shared" si="56"/>
        <v>10</v>
      </c>
      <c r="O1496">
        <v>35</v>
      </c>
    </row>
    <row r="1497" spans="13:15" x14ac:dyDescent="0.25">
      <c r="M1497" s="5">
        <v>42253</v>
      </c>
      <c r="N1497">
        <f t="shared" si="56"/>
        <v>9</v>
      </c>
      <c r="O1497">
        <v>35</v>
      </c>
    </row>
    <row r="1498" spans="13:15" x14ac:dyDescent="0.25">
      <c r="M1498" s="5">
        <v>42252</v>
      </c>
      <c r="N1498">
        <f t="shared" si="56"/>
        <v>9</v>
      </c>
      <c r="O1498">
        <v>35</v>
      </c>
    </row>
    <row r="1499" spans="13:15" x14ac:dyDescent="0.25">
      <c r="M1499" s="5">
        <v>42251</v>
      </c>
      <c r="N1499">
        <f t="shared" si="56"/>
        <v>9</v>
      </c>
      <c r="O1499">
        <v>35</v>
      </c>
    </row>
    <row r="1500" spans="13:15" x14ac:dyDescent="0.25">
      <c r="M1500" s="5">
        <v>42250</v>
      </c>
      <c r="N1500">
        <f t="shared" si="56"/>
        <v>9</v>
      </c>
      <c r="O1500">
        <v>35</v>
      </c>
    </row>
    <row r="1501" spans="13:15" x14ac:dyDescent="0.25">
      <c r="M1501" s="5">
        <v>42249</v>
      </c>
      <c r="N1501">
        <f t="shared" si="56"/>
        <v>9</v>
      </c>
      <c r="O1501">
        <v>35</v>
      </c>
    </row>
    <row r="1502" spans="13:15" x14ac:dyDescent="0.25">
      <c r="M1502" s="5">
        <v>42248</v>
      </c>
      <c r="N1502">
        <f t="shared" si="56"/>
        <v>9</v>
      </c>
      <c r="O1502">
        <v>35</v>
      </c>
    </row>
    <row r="1503" spans="13:15" x14ac:dyDescent="0.25">
      <c r="M1503" s="5">
        <v>42247</v>
      </c>
      <c r="N1503">
        <f t="shared" si="56"/>
        <v>9</v>
      </c>
      <c r="O1503">
        <v>35</v>
      </c>
    </row>
    <row r="1504" spans="13:15" x14ac:dyDescent="0.25">
      <c r="M1504" s="5">
        <v>42246</v>
      </c>
      <c r="N1504">
        <f t="shared" si="56"/>
        <v>8</v>
      </c>
      <c r="O1504">
        <v>35</v>
      </c>
    </row>
    <row r="1505" spans="13:15" x14ac:dyDescent="0.25">
      <c r="M1505" s="5">
        <v>42245</v>
      </c>
      <c r="N1505">
        <f t="shared" si="56"/>
        <v>8</v>
      </c>
      <c r="O1505">
        <v>35</v>
      </c>
    </row>
    <row r="1506" spans="13:15" x14ac:dyDescent="0.25">
      <c r="M1506" s="5">
        <v>42244</v>
      </c>
      <c r="N1506">
        <f t="shared" si="56"/>
        <v>8</v>
      </c>
      <c r="O1506">
        <v>35</v>
      </c>
    </row>
    <row r="1507" spans="13:15" x14ac:dyDescent="0.25">
      <c r="M1507" s="5">
        <v>42243</v>
      </c>
      <c r="N1507">
        <f t="shared" si="56"/>
        <v>8</v>
      </c>
      <c r="O1507">
        <v>35</v>
      </c>
    </row>
    <row r="1508" spans="13:15" x14ac:dyDescent="0.25">
      <c r="M1508" s="5">
        <v>42242</v>
      </c>
      <c r="N1508">
        <f t="shared" si="56"/>
        <v>8</v>
      </c>
      <c r="O1508">
        <v>35</v>
      </c>
    </row>
    <row r="1509" spans="13:15" x14ac:dyDescent="0.25">
      <c r="M1509" s="5">
        <v>42241</v>
      </c>
      <c r="N1509">
        <f t="shared" si="56"/>
        <v>8</v>
      </c>
      <c r="O1509">
        <v>35</v>
      </c>
    </row>
    <row r="1510" spans="13:15" x14ac:dyDescent="0.25">
      <c r="M1510" s="5">
        <v>42240</v>
      </c>
      <c r="N1510">
        <f t="shared" si="56"/>
        <v>8</v>
      </c>
      <c r="O1510">
        <v>35</v>
      </c>
    </row>
    <row r="1511" spans="13:15" x14ac:dyDescent="0.25">
      <c r="M1511" s="5">
        <v>42239</v>
      </c>
      <c r="N1511">
        <f t="shared" si="56"/>
        <v>7</v>
      </c>
      <c r="O1511">
        <v>35</v>
      </c>
    </row>
    <row r="1512" spans="13:15" x14ac:dyDescent="0.25">
      <c r="M1512" s="5">
        <v>42238</v>
      </c>
      <c r="N1512">
        <f t="shared" si="56"/>
        <v>7</v>
      </c>
      <c r="O1512">
        <v>35</v>
      </c>
    </row>
    <row r="1513" spans="13:15" x14ac:dyDescent="0.25">
      <c r="M1513" s="5">
        <v>42237</v>
      </c>
      <c r="N1513">
        <f t="shared" si="56"/>
        <v>7</v>
      </c>
      <c r="O1513">
        <v>35</v>
      </c>
    </row>
    <row r="1514" spans="13:15" x14ac:dyDescent="0.25">
      <c r="M1514" s="5">
        <v>42236</v>
      </c>
      <c r="N1514">
        <f t="shared" si="56"/>
        <v>7</v>
      </c>
      <c r="O1514">
        <v>35</v>
      </c>
    </row>
    <row r="1515" spans="13:15" x14ac:dyDescent="0.25">
      <c r="M1515" s="5">
        <v>42235</v>
      </c>
      <c r="N1515">
        <f t="shared" si="56"/>
        <v>7</v>
      </c>
      <c r="O1515">
        <v>35</v>
      </c>
    </row>
    <row r="1516" spans="13:15" x14ac:dyDescent="0.25">
      <c r="M1516" s="5">
        <v>42234</v>
      </c>
      <c r="N1516">
        <f t="shared" si="56"/>
        <v>7</v>
      </c>
      <c r="O1516">
        <v>35</v>
      </c>
    </row>
    <row r="1517" spans="13:15" x14ac:dyDescent="0.25">
      <c r="M1517" s="5">
        <v>42233</v>
      </c>
      <c r="N1517">
        <f t="shared" si="56"/>
        <v>7</v>
      </c>
      <c r="O1517">
        <v>35</v>
      </c>
    </row>
    <row r="1518" spans="13:15" x14ac:dyDescent="0.25">
      <c r="M1518" s="5">
        <v>42232</v>
      </c>
      <c r="N1518">
        <f t="shared" si="56"/>
        <v>6</v>
      </c>
      <c r="O1518">
        <v>35</v>
      </c>
    </row>
    <row r="1519" spans="13:15" x14ac:dyDescent="0.25">
      <c r="M1519" s="5">
        <v>42231</v>
      </c>
      <c r="N1519">
        <f t="shared" ref="N1519:N1550" si="57">N1512-1</f>
        <v>6</v>
      </c>
      <c r="O1519">
        <v>35</v>
      </c>
    </row>
    <row r="1520" spans="13:15" x14ac:dyDescent="0.25">
      <c r="M1520" s="5">
        <v>42230</v>
      </c>
      <c r="N1520">
        <f t="shared" si="57"/>
        <v>6</v>
      </c>
      <c r="O1520">
        <v>35</v>
      </c>
    </row>
    <row r="1521" spans="13:15" x14ac:dyDescent="0.25">
      <c r="M1521" s="5">
        <v>42229</v>
      </c>
      <c r="N1521">
        <f t="shared" si="57"/>
        <v>6</v>
      </c>
      <c r="O1521">
        <v>35</v>
      </c>
    </row>
    <row r="1522" spans="13:15" x14ac:dyDescent="0.25">
      <c r="M1522" s="5">
        <v>42228</v>
      </c>
      <c r="N1522">
        <f t="shared" si="57"/>
        <v>6</v>
      </c>
      <c r="O1522">
        <v>35</v>
      </c>
    </row>
    <row r="1523" spans="13:15" x14ac:dyDescent="0.25">
      <c r="M1523" s="5">
        <v>42227</v>
      </c>
      <c r="N1523">
        <f t="shared" si="57"/>
        <v>6</v>
      </c>
      <c r="O1523">
        <v>35</v>
      </c>
    </row>
    <row r="1524" spans="13:15" x14ac:dyDescent="0.25">
      <c r="M1524" s="5">
        <v>42226</v>
      </c>
      <c r="N1524">
        <f t="shared" si="57"/>
        <v>6</v>
      </c>
      <c r="O1524">
        <v>35</v>
      </c>
    </row>
    <row r="1525" spans="13:15" x14ac:dyDescent="0.25">
      <c r="M1525" s="5">
        <v>42225</v>
      </c>
      <c r="N1525">
        <f t="shared" si="57"/>
        <v>5</v>
      </c>
      <c r="O1525">
        <v>35</v>
      </c>
    </row>
    <row r="1526" spans="13:15" x14ac:dyDescent="0.25">
      <c r="M1526" s="5">
        <v>42224</v>
      </c>
      <c r="N1526">
        <f t="shared" si="57"/>
        <v>5</v>
      </c>
      <c r="O1526">
        <v>35</v>
      </c>
    </row>
    <row r="1527" spans="13:15" x14ac:dyDescent="0.25">
      <c r="M1527" s="5">
        <v>42223</v>
      </c>
      <c r="N1527">
        <f t="shared" si="57"/>
        <v>5</v>
      </c>
      <c r="O1527">
        <v>35</v>
      </c>
    </row>
    <row r="1528" spans="13:15" x14ac:dyDescent="0.25">
      <c r="M1528" s="5">
        <v>42222</v>
      </c>
      <c r="N1528">
        <f t="shared" si="57"/>
        <v>5</v>
      </c>
      <c r="O1528">
        <v>35</v>
      </c>
    </row>
    <row r="1529" spans="13:15" x14ac:dyDescent="0.25">
      <c r="M1529" s="5">
        <v>42221</v>
      </c>
      <c r="N1529">
        <f t="shared" si="57"/>
        <v>5</v>
      </c>
      <c r="O1529">
        <v>35</v>
      </c>
    </row>
    <row r="1530" spans="13:15" x14ac:dyDescent="0.25">
      <c r="M1530" s="5">
        <v>42220</v>
      </c>
      <c r="N1530">
        <f t="shared" si="57"/>
        <v>5</v>
      </c>
      <c r="O1530">
        <v>35</v>
      </c>
    </row>
    <row r="1531" spans="13:15" x14ac:dyDescent="0.25">
      <c r="M1531" s="5">
        <v>42219</v>
      </c>
      <c r="N1531">
        <f t="shared" si="57"/>
        <v>5</v>
      </c>
      <c r="O1531">
        <v>35</v>
      </c>
    </row>
    <row r="1532" spans="13:15" x14ac:dyDescent="0.25">
      <c r="M1532" s="5">
        <v>42218</v>
      </c>
      <c r="N1532">
        <f t="shared" si="57"/>
        <v>4</v>
      </c>
      <c r="O1532">
        <v>35</v>
      </c>
    </row>
    <row r="1533" spans="13:15" x14ac:dyDescent="0.25">
      <c r="M1533" s="5">
        <v>42217</v>
      </c>
      <c r="N1533">
        <f t="shared" si="57"/>
        <v>4</v>
      </c>
      <c r="O1533">
        <v>35</v>
      </c>
    </row>
    <row r="1534" spans="13:15" x14ac:dyDescent="0.25">
      <c r="M1534" s="5">
        <v>42216</v>
      </c>
      <c r="N1534">
        <f t="shared" si="57"/>
        <v>4</v>
      </c>
      <c r="O1534">
        <v>35</v>
      </c>
    </row>
    <row r="1535" spans="13:15" x14ac:dyDescent="0.25">
      <c r="M1535" s="5">
        <v>42215</v>
      </c>
      <c r="N1535">
        <f t="shared" si="57"/>
        <v>4</v>
      </c>
      <c r="O1535">
        <v>35</v>
      </c>
    </row>
    <row r="1536" spans="13:15" x14ac:dyDescent="0.25">
      <c r="M1536" s="5">
        <v>42214</v>
      </c>
      <c r="N1536">
        <f t="shared" si="57"/>
        <v>4</v>
      </c>
      <c r="O1536">
        <v>35</v>
      </c>
    </row>
    <row r="1537" spans="13:15" x14ac:dyDescent="0.25">
      <c r="M1537" s="5">
        <v>42213</v>
      </c>
      <c r="N1537">
        <f t="shared" si="57"/>
        <v>4</v>
      </c>
      <c r="O1537">
        <v>35</v>
      </c>
    </row>
    <row r="1538" spans="13:15" x14ac:dyDescent="0.25">
      <c r="M1538" s="5">
        <v>42212</v>
      </c>
      <c r="N1538">
        <f t="shared" si="57"/>
        <v>4</v>
      </c>
      <c r="O1538">
        <v>35</v>
      </c>
    </row>
    <row r="1539" spans="13:15" x14ac:dyDescent="0.25">
      <c r="M1539" s="5">
        <v>42211</v>
      </c>
      <c r="N1539">
        <f t="shared" si="57"/>
        <v>3</v>
      </c>
      <c r="O1539">
        <v>35</v>
      </c>
    </row>
    <row r="1540" spans="13:15" x14ac:dyDescent="0.25">
      <c r="M1540" s="5">
        <v>42210</v>
      </c>
      <c r="N1540">
        <f t="shared" si="57"/>
        <v>3</v>
      </c>
      <c r="O1540">
        <v>35</v>
      </c>
    </row>
    <row r="1541" spans="13:15" x14ac:dyDescent="0.25">
      <c r="M1541" s="5">
        <v>42209</v>
      </c>
      <c r="N1541">
        <f t="shared" si="57"/>
        <v>3</v>
      </c>
      <c r="O1541">
        <v>35</v>
      </c>
    </row>
    <row r="1542" spans="13:15" x14ac:dyDescent="0.25">
      <c r="M1542" s="5">
        <v>42208</v>
      </c>
      <c r="N1542">
        <f t="shared" si="57"/>
        <v>3</v>
      </c>
      <c r="O1542">
        <v>35</v>
      </c>
    </row>
    <row r="1543" spans="13:15" x14ac:dyDescent="0.25">
      <c r="M1543" s="5">
        <v>42207</v>
      </c>
      <c r="N1543">
        <f t="shared" si="57"/>
        <v>3</v>
      </c>
      <c r="O1543">
        <v>35</v>
      </c>
    </row>
    <row r="1544" spans="13:15" x14ac:dyDescent="0.25">
      <c r="M1544" s="5">
        <v>42206</v>
      </c>
      <c r="N1544">
        <f t="shared" si="57"/>
        <v>3</v>
      </c>
      <c r="O1544">
        <v>35</v>
      </c>
    </row>
    <row r="1545" spans="13:15" x14ac:dyDescent="0.25">
      <c r="M1545" s="5">
        <v>42205</v>
      </c>
      <c r="N1545">
        <f t="shared" si="57"/>
        <v>3</v>
      </c>
      <c r="O1545">
        <v>35</v>
      </c>
    </row>
    <row r="1546" spans="13:15" x14ac:dyDescent="0.25">
      <c r="M1546" s="5">
        <v>42204</v>
      </c>
      <c r="N1546">
        <f t="shared" si="57"/>
        <v>2</v>
      </c>
      <c r="O1546">
        <v>35</v>
      </c>
    </row>
    <row r="1547" spans="13:15" x14ac:dyDescent="0.25">
      <c r="M1547" s="5">
        <v>42203</v>
      </c>
      <c r="N1547">
        <f t="shared" si="57"/>
        <v>2</v>
      </c>
      <c r="O1547">
        <v>35</v>
      </c>
    </row>
    <row r="1548" spans="13:15" x14ac:dyDescent="0.25">
      <c r="M1548" s="5">
        <v>42202</v>
      </c>
      <c r="N1548">
        <f t="shared" si="57"/>
        <v>2</v>
      </c>
      <c r="O1548">
        <v>35</v>
      </c>
    </row>
    <row r="1549" spans="13:15" x14ac:dyDescent="0.25">
      <c r="M1549" s="5">
        <v>42201</v>
      </c>
      <c r="N1549">
        <f t="shared" si="57"/>
        <v>2</v>
      </c>
      <c r="O1549">
        <v>35</v>
      </c>
    </row>
    <row r="1550" spans="13:15" x14ac:dyDescent="0.25">
      <c r="M1550" s="5">
        <v>42200</v>
      </c>
      <c r="N1550">
        <f t="shared" si="57"/>
        <v>2</v>
      </c>
      <c r="O1550">
        <v>35</v>
      </c>
    </row>
    <row r="1551" spans="13:15" x14ac:dyDescent="0.25">
      <c r="M1551" s="5">
        <v>42199</v>
      </c>
      <c r="N1551">
        <f t="shared" ref="N1551:N1559" si="58">N1544-1</f>
        <v>2</v>
      </c>
      <c r="O1551">
        <v>35</v>
      </c>
    </row>
    <row r="1552" spans="13:15" x14ac:dyDescent="0.25">
      <c r="M1552" s="5">
        <v>42198</v>
      </c>
      <c r="N1552">
        <f t="shared" si="58"/>
        <v>2</v>
      </c>
      <c r="O1552">
        <v>35</v>
      </c>
    </row>
    <row r="1553" spans="13:15" x14ac:dyDescent="0.25">
      <c r="M1553" s="5">
        <v>42197</v>
      </c>
      <c r="N1553">
        <f t="shared" si="58"/>
        <v>1</v>
      </c>
      <c r="O1553">
        <v>35</v>
      </c>
    </row>
    <row r="1554" spans="13:15" x14ac:dyDescent="0.25">
      <c r="M1554" s="5">
        <v>42196</v>
      </c>
      <c r="N1554">
        <f t="shared" si="58"/>
        <v>1</v>
      </c>
      <c r="O1554">
        <v>35</v>
      </c>
    </row>
    <row r="1555" spans="13:15" x14ac:dyDescent="0.25">
      <c r="M1555" s="5">
        <v>42195</v>
      </c>
      <c r="N1555">
        <f t="shared" si="58"/>
        <v>1</v>
      </c>
      <c r="O1555">
        <v>35</v>
      </c>
    </row>
    <row r="1556" spans="13:15" x14ac:dyDescent="0.25">
      <c r="M1556" s="5">
        <v>42194</v>
      </c>
      <c r="N1556">
        <f t="shared" si="58"/>
        <v>1</v>
      </c>
      <c r="O1556">
        <v>35</v>
      </c>
    </row>
    <row r="1557" spans="13:15" x14ac:dyDescent="0.25">
      <c r="M1557" s="5">
        <v>42193</v>
      </c>
      <c r="N1557">
        <f t="shared" si="58"/>
        <v>1</v>
      </c>
      <c r="O1557">
        <v>35</v>
      </c>
    </row>
    <row r="1558" spans="13:15" x14ac:dyDescent="0.25">
      <c r="M1558" s="5">
        <v>42192</v>
      </c>
      <c r="N1558">
        <f t="shared" si="58"/>
        <v>1</v>
      </c>
      <c r="O1558">
        <v>35</v>
      </c>
    </row>
    <row r="1559" spans="13:15" x14ac:dyDescent="0.25">
      <c r="M1559" s="5">
        <v>42191</v>
      </c>
      <c r="N1559">
        <f t="shared" si="58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9">N1560-1</f>
        <v>15</v>
      </c>
      <c r="O1567">
        <v>34</v>
      </c>
    </row>
    <row r="1568" spans="13:15" x14ac:dyDescent="0.25">
      <c r="M1568" s="5">
        <v>42182</v>
      </c>
      <c r="N1568">
        <f t="shared" si="59"/>
        <v>15</v>
      </c>
      <c r="O1568">
        <v>34</v>
      </c>
    </row>
    <row r="1569" spans="13:15" x14ac:dyDescent="0.25">
      <c r="M1569" s="5">
        <v>42181</v>
      </c>
      <c r="N1569">
        <f t="shared" si="59"/>
        <v>15</v>
      </c>
      <c r="O1569">
        <v>34</v>
      </c>
    </row>
    <row r="1570" spans="13:15" x14ac:dyDescent="0.25">
      <c r="M1570" s="5">
        <v>42180</v>
      </c>
      <c r="N1570">
        <f t="shared" si="59"/>
        <v>15</v>
      </c>
      <c r="O1570">
        <v>34</v>
      </c>
    </row>
    <row r="1571" spans="13:15" x14ac:dyDescent="0.25">
      <c r="M1571" s="5">
        <v>42179</v>
      </c>
      <c r="N1571">
        <f t="shared" si="59"/>
        <v>15</v>
      </c>
      <c r="O1571">
        <v>34</v>
      </c>
    </row>
    <row r="1572" spans="13:15" x14ac:dyDescent="0.25">
      <c r="M1572" s="5">
        <v>42178</v>
      </c>
      <c r="N1572">
        <f t="shared" si="59"/>
        <v>15</v>
      </c>
      <c r="O1572">
        <v>34</v>
      </c>
    </row>
    <row r="1573" spans="13:15" x14ac:dyDescent="0.25">
      <c r="M1573" s="5">
        <v>42177</v>
      </c>
      <c r="N1573">
        <f t="shared" si="59"/>
        <v>15</v>
      </c>
      <c r="O1573">
        <v>34</v>
      </c>
    </row>
    <row r="1574" spans="13:15" x14ac:dyDescent="0.25">
      <c r="M1574" s="5">
        <v>42176</v>
      </c>
      <c r="N1574">
        <f t="shared" si="59"/>
        <v>14</v>
      </c>
      <c r="O1574">
        <v>34</v>
      </c>
    </row>
    <row r="1575" spans="13:15" x14ac:dyDescent="0.25">
      <c r="M1575" s="5">
        <v>42175</v>
      </c>
      <c r="N1575">
        <f t="shared" si="59"/>
        <v>14</v>
      </c>
      <c r="O1575">
        <v>34</v>
      </c>
    </row>
    <row r="1576" spans="13:15" x14ac:dyDescent="0.25">
      <c r="M1576" s="5">
        <v>42174</v>
      </c>
      <c r="N1576">
        <f t="shared" si="59"/>
        <v>14</v>
      </c>
      <c r="O1576">
        <v>34</v>
      </c>
    </row>
    <row r="1577" spans="13:15" x14ac:dyDescent="0.25">
      <c r="M1577" s="5">
        <v>42173</v>
      </c>
      <c r="N1577">
        <f t="shared" si="59"/>
        <v>14</v>
      </c>
      <c r="O1577">
        <v>34</v>
      </c>
    </row>
    <row r="1578" spans="13:15" x14ac:dyDescent="0.25">
      <c r="M1578" s="5">
        <v>42172</v>
      </c>
      <c r="N1578">
        <f t="shared" si="59"/>
        <v>14</v>
      </c>
      <c r="O1578">
        <v>34</v>
      </c>
    </row>
    <row r="1579" spans="13:15" x14ac:dyDescent="0.25">
      <c r="M1579" s="5">
        <v>42171</v>
      </c>
      <c r="N1579">
        <f t="shared" si="59"/>
        <v>14</v>
      </c>
      <c r="O1579">
        <v>34</v>
      </c>
    </row>
    <row r="1580" spans="13:15" x14ac:dyDescent="0.25">
      <c r="M1580" s="5">
        <v>42170</v>
      </c>
      <c r="N1580">
        <f t="shared" si="59"/>
        <v>14</v>
      </c>
      <c r="O1580">
        <v>34</v>
      </c>
    </row>
    <row r="1581" spans="13:15" x14ac:dyDescent="0.25">
      <c r="M1581" s="5">
        <v>42169</v>
      </c>
      <c r="N1581">
        <f t="shared" si="59"/>
        <v>13</v>
      </c>
      <c r="O1581">
        <v>34</v>
      </c>
    </row>
    <row r="1582" spans="13:15" x14ac:dyDescent="0.25">
      <c r="M1582" s="5">
        <v>42168</v>
      </c>
      <c r="N1582">
        <f t="shared" si="59"/>
        <v>13</v>
      </c>
      <c r="O1582">
        <v>34</v>
      </c>
    </row>
    <row r="1583" spans="13:15" x14ac:dyDescent="0.25">
      <c r="M1583" s="5">
        <v>42167</v>
      </c>
      <c r="N1583">
        <f t="shared" si="59"/>
        <v>13</v>
      </c>
      <c r="O1583">
        <v>34</v>
      </c>
    </row>
    <row r="1584" spans="13:15" x14ac:dyDescent="0.25">
      <c r="M1584" s="5">
        <v>42166</v>
      </c>
      <c r="N1584">
        <f t="shared" si="59"/>
        <v>13</v>
      </c>
      <c r="O1584">
        <v>34</v>
      </c>
    </row>
    <row r="1585" spans="13:15" x14ac:dyDescent="0.25">
      <c r="M1585" s="5">
        <v>42165</v>
      </c>
      <c r="N1585">
        <f t="shared" si="59"/>
        <v>13</v>
      </c>
      <c r="O1585">
        <v>34</v>
      </c>
    </row>
    <row r="1586" spans="13:15" x14ac:dyDescent="0.25">
      <c r="M1586" s="5">
        <v>42164</v>
      </c>
      <c r="N1586">
        <f t="shared" si="59"/>
        <v>13</v>
      </c>
      <c r="O1586">
        <v>34</v>
      </c>
    </row>
    <row r="1587" spans="13:15" x14ac:dyDescent="0.25">
      <c r="M1587" s="5">
        <v>42163</v>
      </c>
      <c r="N1587">
        <f t="shared" si="59"/>
        <v>13</v>
      </c>
      <c r="O1587">
        <v>34</v>
      </c>
    </row>
    <row r="1588" spans="13:15" x14ac:dyDescent="0.25">
      <c r="M1588" s="5">
        <v>42162</v>
      </c>
      <c r="N1588">
        <f t="shared" si="59"/>
        <v>12</v>
      </c>
      <c r="O1588">
        <v>34</v>
      </c>
    </row>
    <row r="1589" spans="13:15" x14ac:dyDescent="0.25">
      <c r="M1589" s="5">
        <v>42161</v>
      </c>
      <c r="N1589">
        <f t="shared" si="59"/>
        <v>12</v>
      </c>
      <c r="O1589">
        <v>34</v>
      </c>
    </row>
    <row r="1590" spans="13:15" x14ac:dyDescent="0.25">
      <c r="M1590" s="5">
        <v>42160</v>
      </c>
      <c r="N1590">
        <f t="shared" si="59"/>
        <v>12</v>
      </c>
      <c r="O1590">
        <v>34</v>
      </c>
    </row>
    <row r="1591" spans="13:15" x14ac:dyDescent="0.25">
      <c r="M1591" s="5">
        <v>42159</v>
      </c>
      <c r="N1591">
        <f t="shared" si="59"/>
        <v>12</v>
      </c>
      <c r="O1591">
        <v>34</v>
      </c>
    </row>
    <row r="1592" spans="13:15" x14ac:dyDescent="0.25">
      <c r="M1592" s="5">
        <v>42158</v>
      </c>
      <c r="N1592">
        <f t="shared" si="59"/>
        <v>12</v>
      </c>
      <c r="O1592">
        <v>34</v>
      </c>
    </row>
    <row r="1593" spans="13:15" x14ac:dyDescent="0.25">
      <c r="M1593" s="5">
        <v>42157</v>
      </c>
      <c r="N1593">
        <f t="shared" si="59"/>
        <v>12</v>
      </c>
      <c r="O1593">
        <v>34</v>
      </c>
    </row>
    <row r="1594" spans="13:15" x14ac:dyDescent="0.25">
      <c r="M1594" s="5">
        <v>42156</v>
      </c>
      <c r="N1594">
        <f t="shared" si="59"/>
        <v>12</v>
      </c>
      <c r="O1594">
        <v>34</v>
      </c>
    </row>
    <row r="1595" spans="13:15" x14ac:dyDescent="0.25">
      <c r="M1595" s="5">
        <v>42155</v>
      </c>
      <c r="N1595">
        <f t="shared" si="59"/>
        <v>11</v>
      </c>
      <c r="O1595">
        <v>34</v>
      </c>
    </row>
    <row r="1596" spans="13:15" x14ac:dyDescent="0.25">
      <c r="M1596" s="5">
        <v>42154</v>
      </c>
      <c r="N1596">
        <f t="shared" si="59"/>
        <v>11</v>
      </c>
      <c r="O1596">
        <v>34</v>
      </c>
    </row>
    <row r="1597" spans="13:15" x14ac:dyDescent="0.25">
      <c r="M1597" s="5">
        <v>42153</v>
      </c>
      <c r="N1597">
        <f t="shared" si="59"/>
        <v>11</v>
      </c>
      <c r="O1597">
        <v>34</v>
      </c>
    </row>
    <row r="1598" spans="13:15" x14ac:dyDescent="0.25">
      <c r="M1598" s="5">
        <v>42152</v>
      </c>
      <c r="N1598">
        <f t="shared" si="59"/>
        <v>11</v>
      </c>
      <c r="O1598">
        <v>34</v>
      </c>
    </row>
    <row r="1599" spans="13:15" x14ac:dyDescent="0.25">
      <c r="M1599" s="5">
        <v>42151</v>
      </c>
      <c r="N1599">
        <f t="shared" ref="N1599:N1630" si="60">N1592-1</f>
        <v>11</v>
      </c>
      <c r="O1599">
        <v>34</v>
      </c>
    </row>
    <row r="1600" spans="13:15" x14ac:dyDescent="0.25">
      <c r="M1600" s="5">
        <v>42150</v>
      </c>
      <c r="N1600">
        <f t="shared" si="60"/>
        <v>11</v>
      </c>
      <c r="O1600">
        <v>34</v>
      </c>
    </row>
    <row r="1601" spans="13:15" x14ac:dyDescent="0.25">
      <c r="M1601" s="5">
        <v>42149</v>
      </c>
      <c r="N1601">
        <f t="shared" si="60"/>
        <v>11</v>
      </c>
      <c r="O1601">
        <v>34</v>
      </c>
    </row>
    <row r="1602" spans="13:15" x14ac:dyDescent="0.25">
      <c r="M1602" s="5">
        <v>42148</v>
      </c>
      <c r="N1602">
        <f t="shared" si="60"/>
        <v>10</v>
      </c>
      <c r="O1602">
        <v>34</v>
      </c>
    </row>
    <row r="1603" spans="13:15" x14ac:dyDescent="0.25">
      <c r="M1603" s="5">
        <v>42147</v>
      </c>
      <c r="N1603">
        <f t="shared" si="60"/>
        <v>10</v>
      </c>
      <c r="O1603">
        <v>34</v>
      </c>
    </row>
    <row r="1604" spans="13:15" x14ac:dyDescent="0.25">
      <c r="M1604" s="5">
        <v>42146</v>
      </c>
      <c r="N1604">
        <f t="shared" si="60"/>
        <v>10</v>
      </c>
      <c r="O1604">
        <v>34</v>
      </c>
    </row>
    <row r="1605" spans="13:15" x14ac:dyDescent="0.25">
      <c r="M1605" s="5">
        <v>42145</v>
      </c>
      <c r="N1605">
        <f t="shared" si="60"/>
        <v>10</v>
      </c>
      <c r="O1605">
        <v>34</v>
      </c>
    </row>
    <row r="1606" spans="13:15" x14ac:dyDescent="0.25">
      <c r="M1606" s="5">
        <v>42144</v>
      </c>
      <c r="N1606">
        <f t="shared" si="60"/>
        <v>10</v>
      </c>
      <c r="O1606">
        <v>34</v>
      </c>
    </row>
    <row r="1607" spans="13:15" x14ac:dyDescent="0.25">
      <c r="M1607" s="5">
        <v>42143</v>
      </c>
      <c r="N1607">
        <f t="shared" si="60"/>
        <v>10</v>
      </c>
      <c r="O1607">
        <v>34</v>
      </c>
    </row>
    <row r="1608" spans="13:15" x14ac:dyDescent="0.25">
      <c r="M1608" s="5">
        <v>42142</v>
      </c>
      <c r="N1608">
        <f t="shared" si="60"/>
        <v>10</v>
      </c>
      <c r="O1608">
        <v>34</v>
      </c>
    </row>
    <row r="1609" spans="13:15" x14ac:dyDescent="0.25">
      <c r="M1609" s="5">
        <v>42141</v>
      </c>
      <c r="N1609">
        <f t="shared" si="60"/>
        <v>9</v>
      </c>
      <c r="O1609">
        <v>34</v>
      </c>
    </row>
    <row r="1610" spans="13:15" x14ac:dyDescent="0.25">
      <c r="M1610" s="5">
        <v>42140</v>
      </c>
      <c r="N1610">
        <f t="shared" si="60"/>
        <v>9</v>
      </c>
      <c r="O1610">
        <v>34</v>
      </c>
    </row>
    <row r="1611" spans="13:15" x14ac:dyDescent="0.25">
      <c r="M1611" s="5">
        <v>42139</v>
      </c>
      <c r="N1611">
        <f t="shared" si="60"/>
        <v>9</v>
      </c>
      <c r="O1611">
        <v>34</v>
      </c>
    </row>
    <row r="1612" spans="13:15" x14ac:dyDescent="0.25">
      <c r="M1612" s="5">
        <v>42138</v>
      </c>
      <c r="N1612">
        <f t="shared" si="60"/>
        <v>9</v>
      </c>
      <c r="O1612">
        <v>34</v>
      </c>
    </row>
    <row r="1613" spans="13:15" x14ac:dyDescent="0.25">
      <c r="M1613" s="5">
        <v>42137</v>
      </c>
      <c r="N1613">
        <f t="shared" si="60"/>
        <v>9</v>
      </c>
      <c r="O1613">
        <v>34</v>
      </c>
    </row>
    <row r="1614" spans="13:15" x14ac:dyDescent="0.25">
      <c r="M1614" s="5">
        <v>42136</v>
      </c>
      <c r="N1614">
        <f t="shared" si="60"/>
        <v>9</v>
      </c>
      <c r="O1614">
        <v>34</v>
      </c>
    </row>
    <row r="1615" spans="13:15" x14ac:dyDescent="0.25">
      <c r="M1615" s="5">
        <v>42135</v>
      </c>
      <c r="N1615">
        <f t="shared" si="60"/>
        <v>9</v>
      </c>
      <c r="O1615">
        <v>34</v>
      </c>
    </row>
    <row r="1616" spans="13:15" x14ac:dyDescent="0.25">
      <c r="M1616" s="5">
        <v>42134</v>
      </c>
      <c r="N1616">
        <f t="shared" si="60"/>
        <v>8</v>
      </c>
      <c r="O1616">
        <v>34</v>
      </c>
    </row>
    <row r="1617" spans="13:15" x14ac:dyDescent="0.25">
      <c r="M1617" s="5">
        <v>42133</v>
      </c>
      <c r="N1617">
        <f t="shared" si="60"/>
        <v>8</v>
      </c>
      <c r="O1617">
        <v>34</v>
      </c>
    </row>
    <row r="1618" spans="13:15" x14ac:dyDescent="0.25">
      <c r="M1618" s="5">
        <v>42132</v>
      </c>
      <c r="N1618">
        <f t="shared" si="60"/>
        <v>8</v>
      </c>
      <c r="O1618">
        <v>34</v>
      </c>
    </row>
    <row r="1619" spans="13:15" x14ac:dyDescent="0.25">
      <c r="M1619" s="5">
        <v>42131</v>
      </c>
      <c r="N1619">
        <f t="shared" si="60"/>
        <v>8</v>
      </c>
      <c r="O1619">
        <v>34</v>
      </c>
    </row>
    <row r="1620" spans="13:15" x14ac:dyDescent="0.25">
      <c r="M1620" s="5">
        <v>42130</v>
      </c>
      <c r="N1620">
        <f t="shared" si="60"/>
        <v>8</v>
      </c>
      <c r="O1620">
        <v>34</v>
      </c>
    </row>
    <row r="1621" spans="13:15" x14ac:dyDescent="0.25">
      <c r="M1621" s="5">
        <v>42129</v>
      </c>
      <c r="N1621">
        <f t="shared" si="60"/>
        <v>8</v>
      </c>
      <c r="O1621">
        <v>34</v>
      </c>
    </row>
    <row r="1622" spans="13:15" x14ac:dyDescent="0.25">
      <c r="M1622" s="5">
        <v>42128</v>
      </c>
      <c r="N1622">
        <f t="shared" si="60"/>
        <v>8</v>
      </c>
      <c r="O1622">
        <v>34</v>
      </c>
    </row>
    <row r="1623" spans="13:15" x14ac:dyDescent="0.25">
      <c r="M1623" s="5">
        <v>42127</v>
      </c>
      <c r="N1623">
        <f t="shared" si="60"/>
        <v>7</v>
      </c>
      <c r="O1623">
        <v>34</v>
      </c>
    </row>
    <row r="1624" spans="13:15" x14ac:dyDescent="0.25">
      <c r="M1624" s="5">
        <v>42126</v>
      </c>
      <c r="N1624">
        <f t="shared" si="60"/>
        <v>7</v>
      </c>
      <c r="O1624">
        <v>34</v>
      </c>
    </row>
    <row r="1625" spans="13:15" x14ac:dyDescent="0.25">
      <c r="M1625" s="5">
        <v>42125</v>
      </c>
      <c r="N1625">
        <f t="shared" si="60"/>
        <v>7</v>
      </c>
      <c r="O1625">
        <v>34</v>
      </c>
    </row>
    <row r="1626" spans="13:15" x14ac:dyDescent="0.25">
      <c r="M1626" s="5">
        <v>42124</v>
      </c>
      <c r="N1626">
        <f t="shared" si="60"/>
        <v>7</v>
      </c>
      <c r="O1626">
        <v>34</v>
      </c>
    </row>
    <row r="1627" spans="13:15" x14ac:dyDescent="0.25">
      <c r="M1627" s="5">
        <v>42123</v>
      </c>
      <c r="N1627">
        <f t="shared" si="60"/>
        <v>7</v>
      </c>
      <c r="O1627">
        <v>34</v>
      </c>
    </row>
    <row r="1628" spans="13:15" x14ac:dyDescent="0.25">
      <c r="M1628" s="5">
        <v>42122</v>
      </c>
      <c r="N1628">
        <f t="shared" si="60"/>
        <v>7</v>
      </c>
      <c r="O1628">
        <v>34</v>
      </c>
    </row>
    <row r="1629" spans="13:15" x14ac:dyDescent="0.25">
      <c r="M1629" s="5">
        <v>42121</v>
      </c>
      <c r="N1629">
        <f t="shared" si="60"/>
        <v>7</v>
      </c>
      <c r="O1629">
        <v>34</v>
      </c>
    </row>
    <row r="1630" spans="13:15" x14ac:dyDescent="0.25">
      <c r="M1630" s="5">
        <v>42120</v>
      </c>
      <c r="N1630">
        <f t="shared" si="60"/>
        <v>6</v>
      </c>
      <c r="O1630">
        <v>34</v>
      </c>
    </row>
    <row r="1631" spans="13:15" x14ac:dyDescent="0.25">
      <c r="M1631" s="5">
        <v>42119</v>
      </c>
      <c r="N1631">
        <f t="shared" ref="N1631:N1662" si="61">N1624-1</f>
        <v>6</v>
      </c>
      <c r="O1631">
        <v>34</v>
      </c>
    </row>
    <row r="1632" spans="13:15" x14ac:dyDescent="0.25">
      <c r="M1632" s="5">
        <v>42118</v>
      </c>
      <c r="N1632">
        <f t="shared" si="61"/>
        <v>6</v>
      </c>
      <c r="O1632">
        <v>34</v>
      </c>
    </row>
    <row r="1633" spans="13:15" x14ac:dyDescent="0.25">
      <c r="M1633" s="5">
        <v>42117</v>
      </c>
      <c r="N1633">
        <f t="shared" si="61"/>
        <v>6</v>
      </c>
      <c r="O1633">
        <v>34</v>
      </c>
    </row>
    <row r="1634" spans="13:15" x14ac:dyDescent="0.25">
      <c r="M1634" s="5">
        <v>42116</v>
      </c>
      <c r="N1634">
        <f t="shared" si="61"/>
        <v>6</v>
      </c>
      <c r="O1634">
        <v>34</v>
      </c>
    </row>
    <row r="1635" spans="13:15" x14ac:dyDescent="0.25">
      <c r="M1635" s="5">
        <v>42115</v>
      </c>
      <c r="N1635">
        <f t="shared" si="61"/>
        <v>6</v>
      </c>
      <c r="O1635">
        <v>34</v>
      </c>
    </row>
    <row r="1636" spans="13:15" x14ac:dyDescent="0.25">
      <c r="M1636" s="5">
        <v>42114</v>
      </c>
      <c r="N1636">
        <f t="shared" si="61"/>
        <v>6</v>
      </c>
      <c r="O1636">
        <v>34</v>
      </c>
    </row>
    <row r="1637" spans="13:15" x14ac:dyDescent="0.25">
      <c r="M1637" s="5">
        <v>42113</v>
      </c>
      <c r="N1637">
        <f t="shared" si="61"/>
        <v>5</v>
      </c>
      <c r="O1637">
        <v>34</v>
      </c>
    </row>
    <row r="1638" spans="13:15" x14ac:dyDescent="0.25">
      <c r="M1638" s="5">
        <v>42112</v>
      </c>
      <c r="N1638">
        <f t="shared" si="61"/>
        <v>5</v>
      </c>
      <c r="O1638">
        <v>34</v>
      </c>
    </row>
    <row r="1639" spans="13:15" x14ac:dyDescent="0.25">
      <c r="M1639" s="5">
        <v>42111</v>
      </c>
      <c r="N1639">
        <f t="shared" si="61"/>
        <v>5</v>
      </c>
      <c r="O1639">
        <v>34</v>
      </c>
    </row>
    <row r="1640" spans="13:15" x14ac:dyDescent="0.25">
      <c r="M1640" s="5">
        <v>42110</v>
      </c>
      <c r="N1640">
        <f t="shared" si="61"/>
        <v>5</v>
      </c>
      <c r="O1640">
        <v>34</v>
      </c>
    </row>
    <row r="1641" spans="13:15" x14ac:dyDescent="0.25">
      <c r="M1641" s="5">
        <v>42109</v>
      </c>
      <c r="N1641">
        <f t="shared" si="61"/>
        <v>5</v>
      </c>
      <c r="O1641">
        <v>34</v>
      </c>
    </row>
    <row r="1642" spans="13:15" x14ac:dyDescent="0.25">
      <c r="M1642" s="5">
        <v>42108</v>
      </c>
      <c r="N1642">
        <f t="shared" si="61"/>
        <v>5</v>
      </c>
      <c r="O1642">
        <v>34</v>
      </c>
    </row>
    <row r="1643" spans="13:15" x14ac:dyDescent="0.25">
      <c r="M1643" s="5">
        <v>42107</v>
      </c>
      <c r="N1643">
        <f t="shared" si="61"/>
        <v>5</v>
      </c>
      <c r="O1643">
        <v>34</v>
      </c>
    </row>
    <row r="1644" spans="13:15" x14ac:dyDescent="0.25">
      <c r="M1644" s="5">
        <v>42106</v>
      </c>
      <c r="N1644">
        <f t="shared" si="61"/>
        <v>4</v>
      </c>
      <c r="O1644">
        <v>34</v>
      </c>
    </row>
    <row r="1645" spans="13:15" x14ac:dyDescent="0.25">
      <c r="M1645" s="5">
        <v>42105</v>
      </c>
      <c r="N1645">
        <f t="shared" si="61"/>
        <v>4</v>
      </c>
      <c r="O1645">
        <v>34</v>
      </c>
    </row>
    <row r="1646" spans="13:15" x14ac:dyDescent="0.25">
      <c r="M1646" s="5">
        <v>42104</v>
      </c>
      <c r="N1646">
        <f t="shared" si="61"/>
        <v>4</v>
      </c>
      <c r="O1646">
        <v>34</v>
      </c>
    </row>
    <row r="1647" spans="13:15" x14ac:dyDescent="0.25">
      <c r="M1647" s="5">
        <v>42103</v>
      </c>
      <c r="N1647">
        <f t="shared" si="61"/>
        <v>4</v>
      </c>
      <c r="O1647">
        <v>34</v>
      </c>
    </row>
    <row r="1648" spans="13:15" x14ac:dyDescent="0.25">
      <c r="M1648" s="5">
        <v>42102</v>
      </c>
      <c r="N1648">
        <f t="shared" si="61"/>
        <v>4</v>
      </c>
      <c r="O1648">
        <v>34</v>
      </c>
    </row>
    <row r="1649" spans="13:15" x14ac:dyDescent="0.25">
      <c r="M1649" s="5">
        <v>42101</v>
      </c>
      <c r="N1649">
        <f t="shared" si="61"/>
        <v>4</v>
      </c>
      <c r="O1649">
        <v>34</v>
      </c>
    </row>
    <row r="1650" spans="13:15" x14ac:dyDescent="0.25">
      <c r="M1650" s="5">
        <v>42100</v>
      </c>
      <c r="N1650">
        <f t="shared" si="61"/>
        <v>4</v>
      </c>
      <c r="O1650">
        <v>34</v>
      </c>
    </row>
    <row r="1651" spans="13:15" x14ac:dyDescent="0.25">
      <c r="M1651" s="5">
        <v>42099</v>
      </c>
      <c r="N1651">
        <f t="shared" si="61"/>
        <v>3</v>
      </c>
      <c r="O1651">
        <v>34</v>
      </c>
    </row>
    <row r="1652" spans="13:15" x14ac:dyDescent="0.25">
      <c r="M1652" s="5">
        <v>42098</v>
      </c>
      <c r="N1652">
        <f t="shared" si="61"/>
        <v>3</v>
      </c>
      <c r="O1652">
        <v>34</v>
      </c>
    </row>
    <row r="1653" spans="13:15" x14ac:dyDescent="0.25">
      <c r="M1653" s="5">
        <v>42097</v>
      </c>
      <c r="N1653">
        <f t="shared" si="61"/>
        <v>3</v>
      </c>
      <c r="O1653">
        <v>34</v>
      </c>
    </row>
    <row r="1654" spans="13:15" x14ac:dyDescent="0.25">
      <c r="M1654" s="5">
        <v>42096</v>
      </c>
      <c r="N1654">
        <f t="shared" si="61"/>
        <v>3</v>
      </c>
      <c r="O1654">
        <v>34</v>
      </c>
    </row>
    <row r="1655" spans="13:15" x14ac:dyDescent="0.25">
      <c r="M1655" s="5">
        <v>42095</v>
      </c>
      <c r="N1655">
        <f t="shared" si="61"/>
        <v>3</v>
      </c>
      <c r="O1655">
        <v>34</v>
      </c>
    </row>
    <row r="1656" spans="13:15" x14ac:dyDescent="0.25">
      <c r="M1656" s="5">
        <v>42094</v>
      </c>
      <c r="N1656">
        <f t="shared" si="61"/>
        <v>3</v>
      </c>
      <c r="O1656">
        <v>34</v>
      </c>
    </row>
    <row r="1657" spans="13:15" x14ac:dyDescent="0.25">
      <c r="M1657" s="5">
        <v>42093</v>
      </c>
      <c r="N1657">
        <f t="shared" si="61"/>
        <v>3</v>
      </c>
      <c r="O1657">
        <v>34</v>
      </c>
    </row>
    <row r="1658" spans="13:15" x14ac:dyDescent="0.25">
      <c r="M1658" s="5">
        <v>42092</v>
      </c>
      <c r="N1658">
        <f t="shared" si="61"/>
        <v>2</v>
      </c>
      <c r="O1658">
        <v>34</v>
      </c>
    </row>
    <row r="1659" spans="13:15" x14ac:dyDescent="0.25">
      <c r="M1659" s="5">
        <v>42091</v>
      </c>
      <c r="N1659">
        <f t="shared" si="61"/>
        <v>2</v>
      </c>
      <c r="O1659">
        <v>34</v>
      </c>
    </row>
    <row r="1660" spans="13:15" x14ac:dyDescent="0.25">
      <c r="M1660" s="5">
        <v>42090</v>
      </c>
      <c r="N1660">
        <f t="shared" si="61"/>
        <v>2</v>
      </c>
      <c r="O1660">
        <v>34</v>
      </c>
    </row>
    <row r="1661" spans="13:15" x14ac:dyDescent="0.25">
      <c r="M1661" s="5">
        <v>42089</v>
      </c>
      <c r="N1661">
        <f t="shared" si="61"/>
        <v>2</v>
      </c>
      <c r="O1661">
        <v>34</v>
      </c>
    </row>
    <row r="1662" spans="13:15" x14ac:dyDescent="0.25">
      <c r="M1662" s="5">
        <v>42088</v>
      </c>
      <c r="N1662">
        <f t="shared" si="61"/>
        <v>2</v>
      </c>
      <c r="O1662">
        <v>34</v>
      </c>
    </row>
    <row r="1663" spans="13:15" x14ac:dyDescent="0.25">
      <c r="M1663" s="5">
        <v>42087</v>
      </c>
      <c r="N1663">
        <f t="shared" ref="N1663:N1671" si="62">N1656-1</f>
        <v>2</v>
      </c>
      <c r="O1663">
        <v>34</v>
      </c>
    </row>
    <row r="1664" spans="13:15" x14ac:dyDescent="0.25">
      <c r="M1664" s="5">
        <v>42086</v>
      </c>
      <c r="N1664">
        <f t="shared" si="62"/>
        <v>2</v>
      </c>
      <c r="O1664">
        <v>34</v>
      </c>
    </row>
    <row r="1665" spans="13:15" x14ac:dyDescent="0.25">
      <c r="M1665" s="5">
        <v>42085</v>
      </c>
      <c r="N1665">
        <f t="shared" si="62"/>
        <v>1</v>
      </c>
      <c r="O1665">
        <v>34</v>
      </c>
    </row>
    <row r="1666" spans="13:15" x14ac:dyDescent="0.25">
      <c r="M1666" s="5">
        <v>42084</v>
      </c>
      <c r="N1666">
        <f t="shared" si="62"/>
        <v>1</v>
      </c>
      <c r="O1666">
        <v>34</v>
      </c>
    </row>
    <row r="1667" spans="13:15" x14ac:dyDescent="0.25">
      <c r="M1667" s="5">
        <v>42083</v>
      </c>
      <c r="N1667">
        <f t="shared" si="62"/>
        <v>1</v>
      </c>
      <c r="O1667">
        <v>34</v>
      </c>
    </row>
    <row r="1668" spans="13:15" x14ac:dyDescent="0.25">
      <c r="M1668" s="5">
        <v>42082</v>
      </c>
      <c r="N1668">
        <f t="shared" si="62"/>
        <v>1</v>
      </c>
      <c r="O1668">
        <v>34</v>
      </c>
    </row>
    <row r="1669" spans="13:15" x14ac:dyDescent="0.25">
      <c r="M1669" s="5">
        <v>42081</v>
      </c>
      <c r="N1669">
        <f t="shared" si="62"/>
        <v>1</v>
      </c>
      <c r="O1669">
        <v>34</v>
      </c>
    </row>
    <row r="1670" spans="13:15" x14ac:dyDescent="0.25">
      <c r="M1670" s="5">
        <v>42080</v>
      </c>
      <c r="N1670">
        <f t="shared" si="62"/>
        <v>1</v>
      </c>
      <c r="O1670">
        <v>34</v>
      </c>
    </row>
    <row r="1671" spans="13:15" x14ac:dyDescent="0.25">
      <c r="M1671" s="5">
        <v>42079</v>
      </c>
      <c r="N1671">
        <f t="shared" si="62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3">N1672-1</f>
        <v>15</v>
      </c>
      <c r="O1679">
        <v>33</v>
      </c>
    </row>
    <row r="1680" spans="13:15" x14ac:dyDescent="0.25">
      <c r="M1680" s="5">
        <v>42070</v>
      </c>
      <c r="N1680">
        <f t="shared" si="63"/>
        <v>15</v>
      </c>
      <c r="O1680">
        <v>33</v>
      </c>
    </row>
    <row r="1681" spans="13:15" x14ac:dyDescent="0.25">
      <c r="M1681" s="5">
        <v>42069</v>
      </c>
      <c r="N1681">
        <f t="shared" si="63"/>
        <v>15</v>
      </c>
      <c r="O1681">
        <v>33</v>
      </c>
    </row>
    <row r="1682" spans="13:15" x14ac:dyDescent="0.25">
      <c r="M1682" s="5">
        <v>42068</v>
      </c>
      <c r="N1682">
        <f t="shared" si="63"/>
        <v>15</v>
      </c>
      <c r="O1682">
        <v>33</v>
      </c>
    </row>
    <row r="1683" spans="13:15" x14ac:dyDescent="0.25">
      <c r="M1683" s="5">
        <v>42067</v>
      </c>
      <c r="N1683">
        <f t="shared" si="63"/>
        <v>15</v>
      </c>
      <c r="O1683">
        <v>33</v>
      </c>
    </row>
    <row r="1684" spans="13:15" x14ac:dyDescent="0.25">
      <c r="M1684" s="5">
        <v>42066</v>
      </c>
      <c r="N1684">
        <f t="shared" si="63"/>
        <v>15</v>
      </c>
      <c r="O1684">
        <v>33</v>
      </c>
    </row>
    <row r="1685" spans="13:15" x14ac:dyDescent="0.25">
      <c r="M1685" s="5">
        <v>42065</v>
      </c>
      <c r="N1685">
        <f t="shared" si="63"/>
        <v>15</v>
      </c>
      <c r="O1685">
        <v>33</v>
      </c>
    </row>
    <row r="1686" spans="13:15" x14ac:dyDescent="0.25">
      <c r="M1686" s="5">
        <v>42064</v>
      </c>
      <c r="N1686">
        <f t="shared" si="63"/>
        <v>14</v>
      </c>
      <c r="O1686">
        <v>33</v>
      </c>
    </row>
    <row r="1687" spans="13:15" x14ac:dyDescent="0.25">
      <c r="M1687" s="5">
        <v>42063</v>
      </c>
      <c r="N1687">
        <f t="shared" si="63"/>
        <v>14</v>
      </c>
      <c r="O1687">
        <v>33</v>
      </c>
    </row>
    <row r="1688" spans="13:15" x14ac:dyDescent="0.25">
      <c r="M1688" s="5">
        <v>42062</v>
      </c>
      <c r="N1688">
        <f t="shared" si="63"/>
        <v>14</v>
      </c>
      <c r="O1688">
        <v>33</v>
      </c>
    </row>
    <row r="1689" spans="13:15" x14ac:dyDescent="0.25">
      <c r="M1689" s="5">
        <v>42061</v>
      </c>
      <c r="N1689">
        <f t="shared" si="63"/>
        <v>14</v>
      </c>
      <c r="O1689">
        <v>33</v>
      </c>
    </row>
    <row r="1690" spans="13:15" x14ac:dyDescent="0.25">
      <c r="M1690" s="5">
        <v>42060</v>
      </c>
      <c r="N1690">
        <f t="shared" si="63"/>
        <v>14</v>
      </c>
      <c r="O1690">
        <v>33</v>
      </c>
    </row>
    <row r="1691" spans="13:15" x14ac:dyDescent="0.25">
      <c r="M1691" s="5">
        <v>42059</v>
      </c>
      <c r="N1691">
        <f t="shared" si="63"/>
        <v>14</v>
      </c>
      <c r="O1691">
        <v>33</v>
      </c>
    </row>
    <row r="1692" spans="13:15" x14ac:dyDescent="0.25">
      <c r="M1692" s="5">
        <v>42058</v>
      </c>
      <c r="N1692">
        <f t="shared" si="63"/>
        <v>14</v>
      </c>
      <c r="O1692">
        <v>33</v>
      </c>
    </row>
    <row r="1693" spans="13:15" x14ac:dyDescent="0.25">
      <c r="M1693" s="5">
        <v>42057</v>
      </c>
      <c r="N1693">
        <f t="shared" si="63"/>
        <v>13</v>
      </c>
      <c r="O1693">
        <v>33</v>
      </c>
    </row>
    <row r="1694" spans="13:15" x14ac:dyDescent="0.25">
      <c r="M1694" s="5">
        <v>42056</v>
      </c>
      <c r="N1694">
        <f t="shared" si="63"/>
        <v>13</v>
      </c>
      <c r="O1694">
        <v>33</v>
      </c>
    </row>
    <row r="1695" spans="13:15" x14ac:dyDescent="0.25">
      <c r="M1695" s="5">
        <v>42055</v>
      </c>
      <c r="N1695">
        <f t="shared" si="63"/>
        <v>13</v>
      </c>
      <c r="O1695">
        <v>33</v>
      </c>
    </row>
    <row r="1696" spans="13:15" x14ac:dyDescent="0.25">
      <c r="M1696" s="5">
        <v>42054</v>
      </c>
      <c r="N1696">
        <f t="shared" si="63"/>
        <v>13</v>
      </c>
      <c r="O1696">
        <v>33</v>
      </c>
    </row>
    <row r="1697" spans="13:15" x14ac:dyDescent="0.25">
      <c r="M1697" s="5">
        <v>42053</v>
      </c>
      <c r="N1697">
        <f t="shared" si="63"/>
        <v>13</v>
      </c>
      <c r="O1697">
        <v>33</v>
      </c>
    </row>
    <row r="1698" spans="13:15" x14ac:dyDescent="0.25">
      <c r="M1698" s="5">
        <v>42052</v>
      </c>
      <c r="N1698">
        <f t="shared" si="63"/>
        <v>13</v>
      </c>
      <c r="O1698">
        <v>33</v>
      </c>
    </row>
    <row r="1699" spans="13:15" x14ac:dyDescent="0.25">
      <c r="M1699" s="5">
        <v>42051</v>
      </c>
      <c r="N1699">
        <f t="shared" si="63"/>
        <v>13</v>
      </c>
      <c r="O1699">
        <v>33</v>
      </c>
    </row>
    <row r="1700" spans="13:15" x14ac:dyDescent="0.25">
      <c r="M1700" s="5">
        <v>42050</v>
      </c>
      <c r="N1700">
        <f t="shared" si="63"/>
        <v>12</v>
      </c>
      <c r="O1700">
        <v>33</v>
      </c>
    </row>
    <row r="1701" spans="13:15" x14ac:dyDescent="0.25">
      <c r="M1701" s="5">
        <v>42049</v>
      </c>
      <c r="N1701">
        <f t="shared" si="63"/>
        <v>12</v>
      </c>
      <c r="O1701">
        <v>33</v>
      </c>
    </row>
    <row r="1702" spans="13:15" x14ac:dyDescent="0.25">
      <c r="M1702" s="5">
        <v>42048</v>
      </c>
      <c r="N1702">
        <f t="shared" si="63"/>
        <v>12</v>
      </c>
      <c r="O1702">
        <v>33</v>
      </c>
    </row>
    <row r="1703" spans="13:15" x14ac:dyDescent="0.25">
      <c r="M1703" s="5">
        <v>42047</v>
      </c>
      <c r="N1703">
        <f t="shared" si="63"/>
        <v>12</v>
      </c>
      <c r="O1703">
        <v>33</v>
      </c>
    </row>
    <row r="1704" spans="13:15" x14ac:dyDescent="0.25">
      <c r="M1704" s="5">
        <v>42046</v>
      </c>
      <c r="N1704">
        <f t="shared" si="63"/>
        <v>12</v>
      </c>
      <c r="O1704">
        <v>33</v>
      </c>
    </row>
    <row r="1705" spans="13:15" x14ac:dyDescent="0.25">
      <c r="M1705" s="5">
        <v>42045</v>
      </c>
      <c r="N1705">
        <f t="shared" si="63"/>
        <v>12</v>
      </c>
      <c r="O1705">
        <v>33</v>
      </c>
    </row>
    <row r="1706" spans="13:15" x14ac:dyDescent="0.25">
      <c r="M1706" s="5">
        <v>42044</v>
      </c>
      <c r="N1706">
        <f t="shared" si="63"/>
        <v>12</v>
      </c>
      <c r="O1706">
        <v>33</v>
      </c>
    </row>
    <row r="1707" spans="13:15" x14ac:dyDescent="0.25">
      <c r="M1707" s="5">
        <v>42043</v>
      </c>
      <c r="N1707">
        <f t="shared" si="63"/>
        <v>11</v>
      </c>
      <c r="O1707">
        <v>33</v>
      </c>
    </row>
    <row r="1708" spans="13:15" x14ac:dyDescent="0.25">
      <c r="M1708" s="5">
        <v>42042</v>
      </c>
      <c r="N1708">
        <f t="shared" si="63"/>
        <v>11</v>
      </c>
      <c r="O1708">
        <v>33</v>
      </c>
    </row>
    <row r="1709" spans="13:15" x14ac:dyDescent="0.25">
      <c r="M1709" s="5">
        <v>42041</v>
      </c>
      <c r="N1709">
        <f t="shared" si="63"/>
        <v>11</v>
      </c>
      <c r="O1709">
        <v>33</v>
      </c>
    </row>
    <row r="1710" spans="13:15" x14ac:dyDescent="0.25">
      <c r="M1710" s="5">
        <v>42040</v>
      </c>
      <c r="N1710">
        <f t="shared" si="63"/>
        <v>11</v>
      </c>
      <c r="O1710">
        <v>33</v>
      </c>
    </row>
    <row r="1711" spans="13:15" x14ac:dyDescent="0.25">
      <c r="M1711" s="5">
        <v>42039</v>
      </c>
      <c r="N1711">
        <f t="shared" ref="N1711:N1742" si="64">N1704-1</f>
        <v>11</v>
      </c>
      <c r="O1711">
        <v>33</v>
      </c>
    </row>
    <row r="1712" spans="13:15" x14ac:dyDescent="0.25">
      <c r="M1712" s="5">
        <v>42038</v>
      </c>
      <c r="N1712">
        <f t="shared" si="64"/>
        <v>11</v>
      </c>
      <c r="O1712">
        <v>33</v>
      </c>
    </row>
    <row r="1713" spans="13:15" x14ac:dyDescent="0.25">
      <c r="M1713" s="5">
        <v>42037</v>
      </c>
      <c r="N1713">
        <f t="shared" si="64"/>
        <v>11</v>
      </c>
      <c r="O1713">
        <v>33</v>
      </c>
    </row>
    <row r="1714" spans="13:15" x14ac:dyDescent="0.25">
      <c r="M1714" s="5">
        <v>42036</v>
      </c>
      <c r="N1714">
        <f t="shared" si="64"/>
        <v>10</v>
      </c>
      <c r="O1714">
        <v>33</v>
      </c>
    </row>
    <row r="1715" spans="13:15" x14ac:dyDescent="0.25">
      <c r="M1715" s="5">
        <v>42035</v>
      </c>
      <c r="N1715">
        <f t="shared" si="64"/>
        <v>10</v>
      </c>
      <c r="O1715">
        <v>33</v>
      </c>
    </row>
    <row r="1716" spans="13:15" x14ac:dyDescent="0.25">
      <c r="M1716" s="5">
        <v>42034</v>
      </c>
      <c r="N1716">
        <f t="shared" si="64"/>
        <v>10</v>
      </c>
      <c r="O1716">
        <v>33</v>
      </c>
    </row>
    <row r="1717" spans="13:15" x14ac:dyDescent="0.25">
      <c r="M1717" s="5">
        <v>42033</v>
      </c>
      <c r="N1717">
        <f t="shared" si="64"/>
        <v>10</v>
      </c>
      <c r="O1717">
        <v>33</v>
      </c>
    </row>
    <row r="1718" spans="13:15" x14ac:dyDescent="0.25">
      <c r="M1718" s="5">
        <v>42032</v>
      </c>
      <c r="N1718">
        <f t="shared" si="64"/>
        <v>10</v>
      </c>
      <c r="O1718">
        <v>33</v>
      </c>
    </row>
    <row r="1719" spans="13:15" x14ac:dyDescent="0.25">
      <c r="M1719" s="5">
        <v>42031</v>
      </c>
      <c r="N1719">
        <f t="shared" si="64"/>
        <v>10</v>
      </c>
      <c r="O1719">
        <v>33</v>
      </c>
    </row>
    <row r="1720" spans="13:15" x14ac:dyDescent="0.25">
      <c r="M1720" s="5">
        <v>42030</v>
      </c>
      <c r="N1720">
        <f t="shared" si="64"/>
        <v>10</v>
      </c>
      <c r="O1720">
        <v>33</v>
      </c>
    </row>
    <row r="1721" spans="13:15" x14ac:dyDescent="0.25">
      <c r="M1721" s="5">
        <v>42029</v>
      </c>
      <c r="N1721">
        <f t="shared" si="64"/>
        <v>9</v>
      </c>
      <c r="O1721">
        <v>33</v>
      </c>
    </row>
    <row r="1722" spans="13:15" x14ac:dyDescent="0.25">
      <c r="M1722" s="5">
        <v>42028</v>
      </c>
      <c r="N1722">
        <f t="shared" si="64"/>
        <v>9</v>
      </c>
      <c r="O1722">
        <v>33</v>
      </c>
    </row>
    <row r="1723" spans="13:15" x14ac:dyDescent="0.25">
      <c r="M1723" s="5">
        <v>42027</v>
      </c>
      <c r="N1723">
        <f t="shared" si="64"/>
        <v>9</v>
      </c>
      <c r="O1723">
        <v>33</v>
      </c>
    </row>
    <row r="1724" spans="13:15" x14ac:dyDescent="0.25">
      <c r="M1724" s="5">
        <v>42026</v>
      </c>
      <c r="N1724">
        <f t="shared" si="64"/>
        <v>9</v>
      </c>
      <c r="O1724">
        <v>33</v>
      </c>
    </row>
    <row r="1725" spans="13:15" x14ac:dyDescent="0.25">
      <c r="M1725" s="5">
        <v>42025</v>
      </c>
      <c r="N1725">
        <f t="shared" si="64"/>
        <v>9</v>
      </c>
      <c r="O1725">
        <v>33</v>
      </c>
    </row>
    <row r="1726" spans="13:15" x14ac:dyDescent="0.25">
      <c r="M1726" s="5">
        <v>42024</v>
      </c>
      <c r="N1726">
        <f t="shared" si="64"/>
        <v>9</v>
      </c>
      <c r="O1726">
        <v>33</v>
      </c>
    </row>
    <row r="1727" spans="13:15" x14ac:dyDescent="0.25">
      <c r="M1727" s="5">
        <v>42023</v>
      </c>
      <c r="N1727">
        <f t="shared" si="64"/>
        <v>9</v>
      </c>
      <c r="O1727">
        <v>33</v>
      </c>
    </row>
    <row r="1728" spans="13:15" x14ac:dyDescent="0.25">
      <c r="M1728" s="5">
        <v>42022</v>
      </c>
      <c r="N1728">
        <f t="shared" si="64"/>
        <v>8</v>
      </c>
      <c r="O1728">
        <v>33</v>
      </c>
    </row>
    <row r="1729" spans="13:15" x14ac:dyDescent="0.25">
      <c r="M1729" s="5">
        <v>42021</v>
      </c>
      <c r="N1729">
        <f t="shared" si="64"/>
        <v>8</v>
      </c>
      <c r="O1729">
        <v>33</v>
      </c>
    </row>
    <row r="1730" spans="13:15" x14ac:dyDescent="0.25">
      <c r="M1730" s="5">
        <v>42020</v>
      </c>
      <c r="N1730">
        <f t="shared" si="64"/>
        <v>8</v>
      </c>
      <c r="O1730">
        <v>33</v>
      </c>
    </row>
    <row r="1731" spans="13:15" x14ac:dyDescent="0.25">
      <c r="M1731" s="5">
        <v>42019</v>
      </c>
      <c r="N1731">
        <f t="shared" si="64"/>
        <v>8</v>
      </c>
      <c r="O1731">
        <v>33</v>
      </c>
    </row>
    <row r="1732" spans="13:15" x14ac:dyDescent="0.25">
      <c r="M1732" s="5">
        <v>42018</v>
      </c>
      <c r="N1732">
        <f t="shared" si="64"/>
        <v>8</v>
      </c>
      <c r="O1732">
        <v>33</v>
      </c>
    </row>
    <row r="1733" spans="13:15" x14ac:dyDescent="0.25">
      <c r="M1733" s="5">
        <v>42017</v>
      </c>
      <c r="N1733">
        <f t="shared" si="64"/>
        <v>8</v>
      </c>
      <c r="O1733">
        <v>33</v>
      </c>
    </row>
    <row r="1734" spans="13:15" x14ac:dyDescent="0.25">
      <c r="M1734" s="5">
        <v>42016</v>
      </c>
      <c r="N1734">
        <f t="shared" si="64"/>
        <v>8</v>
      </c>
      <c r="O1734">
        <v>33</v>
      </c>
    </row>
    <row r="1735" spans="13:15" x14ac:dyDescent="0.25">
      <c r="M1735" s="5">
        <v>42015</v>
      </c>
      <c r="N1735">
        <f t="shared" si="64"/>
        <v>7</v>
      </c>
      <c r="O1735">
        <v>33</v>
      </c>
    </row>
    <row r="1736" spans="13:15" x14ac:dyDescent="0.25">
      <c r="M1736" s="5">
        <v>42014</v>
      </c>
      <c r="N1736">
        <f t="shared" si="64"/>
        <v>7</v>
      </c>
      <c r="O1736">
        <v>33</v>
      </c>
    </row>
    <row r="1737" spans="13:15" x14ac:dyDescent="0.25">
      <c r="M1737" s="5">
        <v>42013</v>
      </c>
      <c r="N1737">
        <f t="shared" si="64"/>
        <v>7</v>
      </c>
      <c r="O1737">
        <v>33</v>
      </c>
    </row>
    <row r="1738" spans="13:15" x14ac:dyDescent="0.25">
      <c r="M1738" s="5">
        <v>42012</v>
      </c>
      <c r="N1738">
        <f t="shared" si="64"/>
        <v>7</v>
      </c>
      <c r="O1738">
        <v>33</v>
      </c>
    </row>
    <row r="1739" spans="13:15" x14ac:dyDescent="0.25">
      <c r="M1739" s="5">
        <v>42011</v>
      </c>
      <c r="N1739">
        <f t="shared" si="64"/>
        <v>7</v>
      </c>
      <c r="O1739">
        <v>33</v>
      </c>
    </row>
    <row r="1740" spans="13:15" x14ac:dyDescent="0.25">
      <c r="M1740" s="5">
        <v>42010</v>
      </c>
      <c r="N1740">
        <f t="shared" si="64"/>
        <v>7</v>
      </c>
      <c r="O1740">
        <v>33</v>
      </c>
    </row>
    <row r="1741" spans="13:15" x14ac:dyDescent="0.25">
      <c r="M1741" s="5">
        <v>42009</v>
      </c>
      <c r="N1741">
        <f t="shared" si="64"/>
        <v>7</v>
      </c>
      <c r="O1741">
        <v>33</v>
      </c>
    </row>
    <row r="1742" spans="13:15" x14ac:dyDescent="0.25">
      <c r="M1742" s="5">
        <v>42008</v>
      </c>
      <c r="N1742">
        <f t="shared" si="64"/>
        <v>6</v>
      </c>
      <c r="O1742">
        <v>33</v>
      </c>
    </row>
    <row r="1743" spans="13:15" x14ac:dyDescent="0.25">
      <c r="M1743" s="5">
        <v>42007</v>
      </c>
      <c r="N1743">
        <f t="shared" ref="N1743:N1774" si="65">N1736-1</f>
        <v>6</v>
      </c>
      <c r="O1743">
        <v>33</v>
      </c>
    </row>
    <row r="1744" spans="13:15" x14ac:dyDescent="0.25">
      <c r="M1744" s="5">
        <v>42006</v>
      </c>
      <c r="N1744">
        <f t="shared" si="65"/>
        <v>6</v>
      </c>
      <c r="O1744">
        <v>33</v>
      </c>
    </row>
    <row r="1745" spans="13:15" x14ac:dyDescent="0.25">
      <c r="M1745" s="5">
        <v>42005</v>
      </c>
      <c r="N1745">
        <f t="shared" si="65"/>
        <v>6</v>
      </c>
      <c r="O1745">
        <v>33</v>
      </c>
    </row>
    <row r="1746" spans="13:15" x14ac:dyDescent="0.25">
      <c r="M1746" s="5">
        <v>42004</v>
      </c>
      <c r="N1746">
        <f t="shared" si="65"/>
        <v>6</v>
      </c>
      <c r="O1746">
        <v>33</v>
      </c>
    </row>
    <row r="1747" spans="13:15" x14ac:dyDescent="0.25">
      <c r="M1747" s="5">
        <v>42003</v>
      </c>
      <c r="N1747">
        <f t="shared" si="65"/>
        <v>6</v>
      </c>
      <c r="O1747">
        <v>33</v>
      </c>
    </row>
    <row r="1748" spans="13:15" x14ac:dyDescent="0.25">
      <c r="M1748" s="5">
        <v>42002</v>
      </c>
      <c r="N1748">
        <f t="shared" si="65"/>
        <v>6</v>
      </c>
      <c r="O1748">
        <v>33</v>
      </c>
    </row>
    <row r="1749" spans="13:15" x14ac:dyDescent="0.25">
      <c r="M1749" s="5">
        <v>42001</v>
      </c>
      <c r="N1749">
        <f t="shared" si="65"/>
        <v>5</v>
      </c>
      <c r="O1749">
        <v>33</v>
      </c>
    </row>
    <row r="1750" spans="13:15" x14ac:dyDescent="0.25">
      <c r="M1750" s="5">
        <v>42000</v>
      </c>
      <c r="N1750">
        <f t="shared" si="65"/>
        <v>5</v>
      </c>
      <c r="O1750">
        <v>33</v>
      </c>
    </row>
    <row r="1751" spans="13:15" x14ac:dyDescent="0.25">
      <c r="M1751" s="5">
        <v>41999</v>
      </c>
      <c r="N1751">
        <f t="shared" si="65"/>
        <v>5</v>
      </c>
      <c r="O1751">
        <v>33</v>
      </c>
    </row>
    <row r="1752" spans="13:15" x14ac:dyDescent="0.25">
      <c r="M1752" s="5">
        <v>41998</v>
      </c>
      <c r="N1752">
        <f t="shared" si="65"/>
        <v>5</v>
      </c>
      <c r="O1752">
        <v>33</v>
      </c>
    </row>
    <row r="1753" spans="13:15" x14ac:dyDescent="0.25">
      <c r="M1753" s="5">
        <v>41997</v>
      </c>
      <c r="N1753">
        <f t="shared" si="65"/>
        <v>5</v>
      </c>
      <c r="O1753">
        <v>33</v>
      </c>
    </row>
    <row r="1754" spans="13:15" x14ac:dyDescent="0.25">
      <c r="M1754" s="5">
        <v>41996</v>
      </c>
      <c r="N1754">
        <f t="shared" si="65"/>
        <v>5</v>
      </c>
      <c r="O1754">
        <v>33</v>
      </c>
    </row>
    <row r="1755" spans="13:15" x14ac:dyDescent="0.25">
      <c r="M1755" s="5">
        <v>41995</v>
      </c>
      <c r="N1755">
        <f t="shared" si="65"/>
        <v>5</v>
      </c>
      <c r="O1755">
        <v>33</v>
      </c>
    </row>
    <row r="1756" spans="13:15" x14ac:dyDescent="0.25">
      <c r="M1756" s="5">
        <v>41994</v>
      </c>
      <c r="N1756">
        <f t="shared" si="65"/>
        <v>4</v>
      </c>
      <c r="O1756">
        <v>33</v>
      </c>
    </row>
    <row r="1757" spans="13:15" x14ac:dyDescent="0.25">
      <c r="M1757" s="5">
        <v>41993</v>
      </c>
      <c r="N1757">
        <f t="shared" si="65"/>
        <v>4</v>
      </c>
      <c r="O1757">
        <v>33</v>
      </c>
    </row>
    <row r="1758" spans="13:15" x14ac:dyDescent="0.25">
      <c r="M1758" s="5">
        <v>41992</v>
      </c>
      <c r="N1758">
        <f t="shared" si="65"/>
        <v>4</v>
      </c>
      <c r="O1758">
        <v>33</v>
      </c>
    </row>
    <row r="1759" spans="13:15" x14ac:dyDescent="0.25">
      <c r="M1759" s="5">
        <v>41991</v>
      </c>
      <c r="N1759">
        <f t="shared" si="65"/>
        <v>4</v>
      </c>
      <c r="O1759">
        <v>33</v>
      </c>
    </row>
    <row r="1760" spans="13:15" x14ac:dyDescent="0.25">
      <c r="M1760" s="5">
        <v>41990</v>
      </c>
      <c r="N1760">
        <f t="shared" si="65"/>
        <v>4</v>
      </c>
      <c r="O1760">
        <v>33</v>
      </c>
    </row>
    <row r="1761" spans="13:15" x14ac:dyDescent="0.25">
      <c r="M1761" s="5">
        <v>41989</v>
      </c>
      <c r="N1761">
        <f t="shared" si="65"/>
        <v>4</v>
      </c>
      <c r="O1761">
        <v>33</v>
      </c>
    </row>
    <row r="1762" spans="13:15" x14ac:dyDescent="0.25">
      <c r="M1762" s="5">
        <v>41988</v>
      </c>
      <c r="N1762">
        <f t="shared" si="65"/>
        <v>4</v>
      </c>
      <c r="O1762">
        <v>33</v>
      </c>
    </row>
    <row r="1763" spans="13:15" x14ac:dyDescent="0.25">
      <c r="M1763" s="5">
        <v>41987</v>
      </c>
      <c r="N1763">
        <f t="shared" si="65"/>
        <v>3</v>
      </c>
      <c r="O1763">
        <v>33</v>
      </c>
    </row>
    <row r="1764" spans="13:15" x14ac:dyDescent="0.25">
      <c r="M1764" s="5">
        <v>41986</v>
      </c>
      <c r="N1764">
        <f t="shared" si="65"/>
        <v>3</v>
      </c>
      <c r="O1764">
        <v>33</v>
      </c>
    </row>
    <row r="1765" spans="13:15" x14ac:dyDescent="0.25">
      <c r="M1765" s="5">
        <v>41985</v>
      </c>
      <c r="N1765">
        <f t="shared" si="65"/>
        <v>3</v>
      </c>
      <c r="O1765">
        <v>33</v>
      </c>
    </row>
    <row r="1766" spans="13:15" x14ac:dyDescent="0.25">
      <c r="M1766" s="5">
        <v>41984</v>
      </c>
      <c r="N1766">
        <f t="shared" si="65"/>
        <v>3</v>
      </c>
      <c r="O1766">
        <v>33</v>
      </c>
    </row>
    <row r="1767" spans="13:15" x14ac:dyDescent="0.25">
      <c r="M1767" s="5">
        <v>41983</v>
      </c>
      <c r="N1767">
        <f t="shared" si="65"/>
        <v>3</v>
      </c>
      <c r="O1767">
        <v>33</v>
      </c>
    </row>
    <row r="1768" spans="13:15" x14ac:dyDescent="0.25">
      <c r="M1768" s="5">
        <v>41982</v>
      </c>
      <c r="N1768">
        <f t="shared" si="65"/>
        <v>3</v>
      </c>
      <c r="O1768">
        <v>33</v>
      </c>
    </row>
    <row r="1769" spans="13:15" x14ac:dyDescent="0.25">
      <c r="M1769" s="5">
        <v>41981</v>
      </c>
      <c r="N1769">
        <f t="shared" si="65"/>
        <v>3</v>
      </c>
      <c r="O1769">
        <v>33</v>
      </c>
    </row>
    <row r="1770" spans="13:15" x14ac:dyDescent="0.25">
      <c r="M1770" s="5">
        <v>41980</v>
      </c>
      <c r="N1770">
        <f t="shared" si="65"/>
        <v>2</v>
      </c>
      <c r="O1770">
        <v>33</v>
      </c>
    </row>
    <row r="1771" spans="13:15" x14ac:dyDescent="0.25">
      <c r="M1771" s="5">
        <v>41979</v>
      </c>
      <c r="N1771">
        <f t="shared" si="65"/>
        <v>2</v>
      </c>
      <c r="O1771">
        <v>33</v>
      </c>
    </row>
    <row r="1772" spans="13:15" x14ac:dyDescent="0.25">
      <c r="M1772" s="5">
        <v>41978</v>
      </c>
      <c r="N1772">
        <f t="shared" si="65"/>
        <v>2</v>
      </c>
      <c r="O1772">
        <v>33</v>
      </c>
    </row>
    <row r="1773" spans="13:15" x14ac:dyDescent="0.25">
      <c r="M1773" s="5">
        <v>41977</v>
      </c>
      <c r="N1773">
        <f t="shared" si="65"/>
        <v>2</v>
      </c>
      <c r="O1773">
        <v>33</v>
      </c>
    </row>
    <row r="1774" spans="13:15" x14ac:dyDescent="0.25">
      <c r="M1774" s="5">
        <v>41976</v>
      </c>
      <c r="N1774">
        <f t="shared" si="65"/>
        <v>2</v>
      </c>
      <c r="O1774">
        <v>33</v>
      </c>
    </row>
    <row r="1775" spans="13:15" x14ac:dyDescent="0.25">
      <c r="M1775" s="5">
        <v>41975</v>
      </c>
      <c r="N1775">
        <f t="shared" ref="N1775:N1783" si="66">N1768-1</f>
        <v>2</v>
      </c>
      <c r="O1775">
        <v>33</v>
      </c>
    </row>
    <row r="1776" spans="13:15" x14ac:dyDescent="0.25">
      <c r="M1776" s="5">
        <v>41974</v>
      </c>
      <c r="N1776">
        <f t="shared" si="66"/>
        <v>2</v>
      </c>
      <c r="O1776">
        <v>33</v>
      </c>
    </row>
    <row r="1777" spans="13:15" x14ac:dyDescent="0.25">
      <c r="M1777" s="5">
        <v>41973</v>
      </c>
      <c r="N1777">
        <f t="shared" si="66"/>
        <v>1</v>
      </c>
      <c r="O1777">
        <v>33</v>
      </c>
    </row>
    <row r="1778" spans="13:15" x14ac:dyDescent="0.25">
      <c r="M1778" s="5">
        <v>41972</v>
      </c>
      <c r="N1778">
        <f t="shared" si="66"/>
        <v>1</v>
      </c>
      <c r="O1778">
        <v>33</v>
      </c>
    </row>
    <row r="1779" spans="13:15" x14ac:dyDescent="0.25">
      <c r="M1779" s="5">
        <v>41971</v>
      </c>
      <c r="N1779">
        <f t="shared" si="66"/>
        <v>1</v>
      </c>
      <c r="O1779">
        <v>33</v>
      </c>
    </row>
    <row r="1780" spans="13:15" x14ac:dyDescent="0.25">
      <c r="M1780" s="5">
        <v>41970</v>
      </c>
      <c r="N1780">
        <f t="shared" si="66"/>
        <v>1</v>
      </c>
      <c r="O1780">
        <v>33</v>
      </c>
    </row>
    <row r="1781" spans="13:15" x14ac:dyDescent="0.25">
      <c r="M1781" s="5">
        <v>41969</v>
      </c>
      <c r="N1781">
        <f t="shared" si="66"/>
        <v>1</v>
      </c>
      <c r="O1781">
        <v>33</v>
      </c>
    </row>
    <row r="1782" spans="13:15" x14ac:dyDescent="0.25">
      <c r="M1782" s="5">
        <v>41968</v>
      </c>
      <c r="N1782">
        <f t="shared" si="66"/>
        <v>1</v>
      </c>
      <c r="O1782">
        <v>33</v>
      </c>
    </row>
    <row r="1783" spans="13:15" x14ac:dyDescent="0.25">
      <c r="M1783" s="5">
        <v>41967</v>
      </c>
      <c r="N1783">
        <f t="shared" si="66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7">N1784-1</f>
        <v>15</v>
      </c>
      <c r="O1791">
        <v>32</v>
      </c>
    </row>
    <row r="1792" spans="13:15" x14ac:dyDescent="0.25">
      <c r="M1792" s="5">
        <v>41958</v>
      </c>
      <c r="N1792">
        <f t="shared" si="67"/>
        <v>15</v>
      </c>
      <c r="O1792">
        <v>32</v>
      </c>
    </row>
    <row r="1793" spans="13:15" x14ac:dyDescent="0.25">
      <c r="M1793" s="5">
        <v>41957</v>
      </c>
      <c r="N1793">
        <f t="shared" si="67"/>
        <v>15</v>
      </c>
      <c r="O1793">
        <v>32</v>
      </c>
    </row>
    <row r="1794" spans="13:15" x14ac:dyDescent="0.25">
      <c r="M1794" s="5">
        <v>41956</v>
      </c>
      <c r="N1794">
        <f t="shared" si="67"/>
        <v>15</v>
      </c>
      <c r="O1794">
        <v>32</v>
      </c>
    </row>
    <row r="1795" spans="13:15" x14ac:dyDescent="0.25">
      <c r="M1795" s="5">
        <v>41955</v>
      </c>
      <c r="N1795">
        <f t="shared" si="67"/>
        <v>15</v>
      </c>
      <c r="O1795">
        <v>32</v>
      </c>
    </row>
    <row r="1796" spans="13:15" x14ac:dyDescent="0.25">
      <c r="M1796" s="5">
        <v>41954</v>
      </c>
      <c r="N1796">
        <f t="shared" si="67"/>
        <v>15</v>
      </c>
      <c r="O1796">
        <v>32</v>
      </c>
    </row>
    <row r="1797" spans="13:15" x14ac:dyDescent="0.25">
      <c r="M1797" s="5">
        <v>41953</v>
      </c>
      <c r="N1797">
        <f t="shared" si="67"/>
        <v>15</v>
      </c>
      <c r="O1797">
        <v>32</v>
      </c>
    </row>
    <row r="1798" spans="13:15" x14ac:dyDescent="0.25">
      <c r="M1798" s="5">
        <v>41952</v>
      </c>
      <c r="N1798">
        <f t="shared" si="67"/>
        <v>14</v>
      </c>
      <c r="O1798">
        <v>32</v>
      </c>
    </row>
    <row r="1799" spans="13:15" x14ac:dyDescent="0.25">
      <c r="M1799" s="5">
        <v>41951</v>
      </c>
      <c r="N1799">
        <f t="shared" si="67"/>
        <v>14</v>
      </c>
      <c r="O1799">
        <v>32</v>
      </c>
    </row>
    <row r="1800" spans="13:15" x14ac:dyDescent="0.25">
      <c r="M1800" s="5">
        <v>41950</v>
      </c>
      <c r="N1800">
        <f t="shared" si="67"/>
        <v>14</v>
      </c>
      <c r="O1800">
        <v>32</v>
      </c>
    </row>
    <row r="1801" spans="13:15" x14ac:dyDescent="0.25">
      <c r="M1801" s="5">
        <v>41949</v>
      </c>
      <c r="N1801">
        <f t="shared" si="67"/>
        <v>14</v>
      </c>
      <c r="O1801">
        <v>32</v>
      </c>
    </row>
    <row r="1802" spans="13:15" x14ac:dyDescent="0.25">
      <c r="M1802" s="5">
        <v>41948</v>
      </c>
      <c r="N1802">
        <f t="shared" si="67"/>
        <v>14</v>
      </c>
      <c r="O1802">
        <v>32</v>
      </c>
    </row>
    <row r="1803" spans="13:15" x14ac:dyDescent="0.25">
      <c r="M1803" s="5">
        <v>41947</v>
      </c>
      <c r="N1803">
        <f t="shared" si="67"/>
        <v>14</v>
      </c>
      <c r="O1803">
        <v>32</v>
      </c>
    </row>
    <row r="1804" spans="13:15" x14ac:dyDescent="0.25">
      <c r="M1804" s="5">
        <v>41946</v>
      </c>
      <c r="N1804">
        <f t="shared" si="67"/>
        <v>14</v>
      </c>
      <c r="O1804">
        <v>32</v>
      </c>
    </row>
    <row r="1805" spans="13:15" x14ac:dyDescent="0.25">
      <c r="M1805" s="5">
        <v>41945</v>
      </c>
      <c r="N1805">
        <f t="shared" si="67"/>
        <v>13</v>
      </c>
      <c r="O1805">
        <v>32</v>
      </c>
    </row>
    <row r="1806" spans="13:15" x14ac:dyDescent="0.25">
      <c r="M1806" s="5">
        <v>41944</v>
      </c>
      <c r="N1806">
        <f t="shared" si="67"/>
        <v>13</v>
      </c>
      <c r="O1806">
        <v>32</v>
      </c>
    </row>
    <row r="1807" spans="13:15" x14ac:dyDescent="0.25">
      <c r="M1807" s="5">
        <v>41943</v>
      </c>
      <c r="N1807">
        <f t="shared" si="67"/>
        <v>13</v>
      </c>
      <c r="O1807">
        <v>32</v>
      </c>
    </row>
    <row r="1808" spans="13:15" x14ac:dyDescent="0.25">
      <c r="M1808" s="5">
        <v>41942</v>
      </c>
      <c r="N1808">
        <f t="shared" si="67"/>
        <v>13</v>
      </c>
      <c r="O1808">
        <v>32</v>
      </c>
    </row>
    <row r="1809" spans="13:15" x14ac:dyDescent="0.25">
      <c r="M1809" s="5">
        <v>41941</v>
      </c>
      <c r="N1809">
        <f t="shared" si="67"/>
        <v>13</v>
      </c>
      <c r="O1809">
        <v>32</v>
      </c>
    </row>
    <row r="1810" spans="13:15" x14ac:dyDescent="0.25">
      <c r="M1810" s="5">
        <v>41940</v>
      </c>
      <c r="N1810">
        <f t="shared" si="67"/>
        <v>13</v>
      </c>
      <c r="O1810">
        <v>32</v>
      </c>
    </row>
    <row r="1811" spans="13:15" x14ac:dyDescent="0.25">
      <c r="M1811" s="5">
        <v>41939</v>
      </c>
      <c r="N1811">
        <f t="shared" si="67"/>
        <v>13</v>
      </c>
      <c r="O1811">
        <v>32</v>
      </c>
    </row>
    <row r="1812" spans="13:15" x14ac:dyDescent="0.25">
      <c r="M1812" s="5">
        <v>41938</v>
      </c>
      <c r="N1812">
        <f t="shared" si="67"/>
        <v>12</v>
      </c>
      <c r="O1812">
        <v>32</v>
      </c>
    </row>
    <row r="1813" spans="13:15" x14ac:dyDescent="0.25">
      <c r="M1813" s="5">
        <v>41937</v>
      </c>
      <c r="N1813">
        <f t="shared" si="67"/>
        <v>12</v>
      </c>
      <c r="O1813">
        <v>32</v>
      </c>
    </row>
    <row r="1814" spans="13:15" x14ac:dyDescent="0.25">
      <c r="M1814" s="5">
        <v>41936</v>
      </c>
      <c r="N1814">
        <f t="shared" si="67"/>
        <v>12</v>
      </c>
      <c r="O1814">
        <v>32</v>
      </c>
    </row>
    <row r="1815" spans="13:15" x14ac:dyDescent="0.25">
      <c r="M1815" s="5">
        <v>41935</v>
      </c>
      <c r="N1815">
        <f t="shared" si="67"/>
        <v>12</v>
      </c>
      <c r="O1815">
        <v>32</v>
      </c>
    </row>
    <row r="1816" spans="13:15" x14ac:dyDescent="0.25">
      <c r="M1816" s="5">
        <v>41934</v>
      </c>
      <c r="N1816">
        <f t="shared" si="67"/>
        <v>12</v>
      </c>
      <c r="O1816">
        <v>32</v>
      </c>
    </row>
    <row r="1817" spans="13:15" x14ac:dyDescent="0.25">
      <c r="M1817" s="5">
        <v>41933</v>
      </c>
      <c r="N1817">
        <f t="shared" si="67"/>
        <v>12</v>
      </c>
      <c r="O1817">
        <v>32</v>
      </c>
    </row>
    <row r="1818" spans="13:15" x14ac:dyDescent="0.25">
      <c r="M1818" s="5">
        <v>41932</v>
      </c>
      <c r="N1818">
        <f t="shared" si="67"/>
        <v>12</v>
      </c>
      <c r="O1818">
        <v>32</v>
      </c>
    </row>
    <row r="1819" spans="13:15" x14ac:dyDescent="0.25">
      <c r="M1819" s="5">
        <v>41931</v>
      </c>
      <c r="N1819">
        <f t="shared" si="67"/>
        <v>11</v>
      </c>
      <c r="O1819">
        <v>32</v>
      </c>
    </row>
    <row r="1820" spans="13:15" x14ac:dyDescent="0.25">
      <c r="M1820" s="5">
        <v>41930</v>
      </c>
      <c r="N1820">
        <f t="shared" si="67"/>
        <v>11</v>
      </c>
      <c r="O1820">
        <v>32</v>
      </c>
    </row>
    <row r="1821" spans="13:15" x14ac:dyDescent="0.25">
      <c r="M1821" s="5">
        <v>41929</v>
      </c>
      <c r="N1821">
        <f t="shared" si="67"/>
        <v>11</v>
      </c>
      <c r="O1821">
        <v>32</v>
      </c>
    </row>
    <row r="1822" spans="13:15" x14ac:dyDescent="0.25">
      <c r="M1822" s="5">
        <v>41928</v>
      </c>
      <c r="N1822">
        <f t="shared" si="67"/>
        <v>11</v>
      </c>
      <c r="O1822">
        <v>32</v>
      </c>
    </row>
    <row r="1823" spans="13:15" x14ac:dyDescent="0.25">
      <c r="M1823" s="5">
        <v>41927</v>
      </c>
      <c r="N1823">
        <f t="shared" ref="N1823:N1854" si="68">N1816-1</f>
        <v>11</v>
      </c>
      <c r="O1823">
        <v>32</v>
      </c>
    </row>
    <row r="1824" spans="13:15" x14ac:dyDescent="0.25">
      <c r="M1824" s="5">
        <v>41926</v>
      </c>
      <c r="N1824">
        <f t="shared" si="68"/>
        <v>11</v>
      </c>
      <c r="O1824">
        <v>32</v>
      </c>
    </row>
    <row r="1825" spans="13:15" x14ac:dyDescent="0.25">
      <c r="M1825" s="5">
        <v>41925</v>
      </c>
      <c r="N1825">
        <f t="shared" si="68"/>
        <v>11</v>
      </c>
      <c r="O1825">
        <v>32</v>
      </c>
    </row>
    <row r="1826" spans="13:15" x14ac:dyDescent="0.25">
      <c r="M1826" s="5">
        <v>41924</v>
      </c>
      <c r="N1826">
        <f t="shared" si="68"/>
        <v>10</v>
      </c>
      <c r="O1826">
        <v>32</v>
      </c>
    </row>
    <row r="1827" spans="13:15" x14ac:dyDescent="0.25">
      <c r="M1827" s="5">
        <v>41923</v>
      </c>
      <c r="N1827">
        <f t="shared" si="68"/>
        <v>10</v>
      </c>
      <c r="O1827">
        <v>32</v>
      </c>
    </row>
    <row r="1828" spans="13:15" x14ac:dyDescent="0.25">
      <c r="M1828" s="5">
        <v>41922</v>
      </c>
      <c r="N1828">
        <f t="shared" si="68"/>
        <v>10</v>
      </c>
      <c r="O1828">
        <v>32</v>
      </c>
    </row>
    <row r="1829" spans="13:15" x14ac:dyDescent="0.25">
      <c r="M1829" s="5">
        <v>41921</v>
      </c>
      <c r="N1829">
        <f t="shared" si="68"/>
        <v>10</v>
      </c>
      <c r="O1829">
        <v>32</v>
      </c>
    </row>
    <row r="1830" spans="13:15" x14ac:dyDescent="0.25">
      <c r="M1830" s="5">
        <v>41920</v>
      </c>
      <c r="N1830">
        <f t="shared" si="68"/>
        <v>10</v>
      </c>
      <c r="O1830">
        <v>32</v>
      </c>
    </row>
    <row r="1831" spans="13:15" x14ac:dyDescent="0.25">
      <c r="M1831" s="5">
        <v>41919</v>
      </c>
      <c r="N1831">
        <f t="shared" si="68"/>
        <v>10</v>
      </c>
      <c r="O1831">
        <v>32</v>
      </c>
    </row>
    <row r="1832" spans="13:15" x14ac:dyDescent="0.25">
      <c r="M1832" s="5">
        <v>41918</v>
      </c>
      <c r="N1832">
        <f t="shared" si="68"/>
        <v>10</v>
      </c>
      <c r="O1832">
        <v>32</v>
      </c>
    </row>
    <row r="1833" spans="13:15" x14ac:dyDescent="0.25">
      <c r="M1833" s="5">
        <v>41917</v>
      </c>
      <c r="N1833">
        <f t="shared" si="68"/>
        <v>9</v>
      </c>
      <c r="O1833">
        <v>32</v>
      </c>
    </row>
    <row r="1834" spans="13:15" x14ac:dyDescent="0.25">
      <c r="M1834" s="5">
        <v>41916</v>
      </c>
      <c r="N1834">
        <f t="shared" si="68"/>
        <v>9</v>
      </c>
      <c r="O1834">
        <v>32</v>
      </c>
    </row>
    <row r="1835" spans="13:15" x14ac:dyDescent="0.25">
      <c r="M1835" s="5">
        <v>41915</v>
      </c>
      <c r="N1835">
        <f t="shared" si="68"/>
        <v>9</v>
      </c>
      <c r="O1835">
        <v>32</v>
      </c>
    </row>
    <row r="1836" spans="13:15" x14ac:dyDescent="0.25">
      <c r="M1836" s="5">
        <v>41914</v>
      </c>
      <c r="N1836">
        <f t="shared" si="68"/>
        <v>9</v>
      </c>
      <c r="O1836">
        <v>32</v>
      </c>
    </row>
    <row r="1837" spans="13:15" x14ac:dyDescent="0.25">
      <c r="M1837" s="5">
        <v>41913</v>
      </c>
      <c r="N1837">
        <f t="shared" si="68"/>
        <v>9</v>
      </c>
      <c r="O1837">
        <v>32</v>
      </c>
    </row>
    <row r="1838" spans="13:15" x14ac:dyDescent="0.25">
      <c r="M1838" s="5">
        <v>41912</v>
      </c>
      <c r="N1838">
        <f t="shared" si="68"/>
        <v>9</v>
      </c>
      <c r="O1838">
        <v>32</v>
      </c>
    </row>
    <row r="1839" spans="13:15" x14ac:dyDescent="0.25">
      <c r="M1839" s="5">
        <v>41911</v>
      </c>
      <c r="N1839">
        <f t="shared" si="68"/>
        <v>9</v>
      </c>
      <c r="O1839">
        <v>32</v>
      </c>
    </row>
    <row r="1840" spans="13:15" x14ac:dyDescent="0.25">
      <c r="M1840" s="5">
        <v>41910</v>
      </c>
      <c r="N1840">
        <f t="shared" si="68"/>
        <v>8</v>
      </c>
      <c r="O1840">
        <v>32</v>
      </c>
    </row>
    <row r="1841" spans="13:15" x14ac:dyDescent="0.25">
      <c r="M1841" s="5">
        <v>41909</v>
      </c>
      <c r="N1841">
        <f t="shared" si="68"/>
        <v>8</v>
      </c>
      <c r="O1841">
        <v>32</v>
      </c>
    </row>
    <row r="1842" spans="13:15" x14ac:dyDescent="0.25">
      <c r="M1842" s="5">
        <v>41908</v>
      </c>
      <c r="N1842">
        <f t="shared" si="68"/>
        <v>8</v>
      </c>
      <c r="O1842">
        <v>32</v>
      </c>
    </row>
    <row r="1843" spans="13:15" x14ac:dyDescent="0.25">
      <c r="M1843" s="5">
        <v>41907</v>
      </c>
      <c r="N1843">
        <f t="shared" si="68"/>
        <v>8</v>
      </c>
      <c r="O1843">
        <v>32</v>
      </c>
    </row>
    <row r="1844" spans="13:15" x14ac:dyDescent="0.25">
      <c r="M1844" s="5">
        <v>41906</v>
      </c>
      <c r="N1844">
        <f t="shared" si="68"/>
        <v>8</v>
      </c>
      <c r="O1844">
        <v>32</v>
      </c>
    </row>
    <row r="1845" spans="13:15" x14ac:dyDescent="0.25">
      <c r="M1845" s="5">
        <v>41905</v>
      </c>
      <c r="N1845">
        <f t="shared" si="68"/>
        <v>8</v>
      </c>
      <c r="O1845">
        <v>32</v>
      </c>
    </row>
    <row r="1846" spans="13:15" x14ac:dyDescent="0.25">
      <c r="M1846" s="5">
        <v>41904</v>
      </c>
      <c r="N1846">
        <f t="shared" si="68"/>
        <v>8</v>
      </c>
      <c r="O1846">
        <v>32</v>
      </c>
    </row>
    <row r="1847" spans="13:15" x14ac:dyDescent="0.25">
      <c r="M1847" s="5">
        <v>41903</v>
      </c>
      <c r="N1847">
        <f t="shared" si="68"/>
        <v>7</v>
      </c>
      <c r="O1847">
        <v>32</v>
      </c>
    </row>
    <row r="1848" spans="13:15" x14ac:dyDescent="0.25">
      <c r="M1848" s="5">
        <v>41902</v>
      </c>
      <c r="N1848">
        <f t="shared" si="68"/>
        <v>7</v>
      </c>
      <c r="O1848">
        <v>32</v>
      </c>
    </row>
    <row r="1849" spans="13:15" x14ac:dyDescent="0.25">
      <c r="M1849" s="5">
        <v>41901</v>
      </c>
      <c r="N1849">
        <f t="shared" si="68"/>
        <v>7</v>
      </c>
      <c r="O1849">
        <v>32</v>
      </c>
    </row>
    <row r="1850" spans="13:15" x14ac:dyDescent="0.25">
      <c r="M1850" s="5">
        <v>41900</v>
      </c>
      <c r="N1850">
        <f t="shared" si="68"/>
        <v>7</v>
      </c>
      <c r="O1850">
        <v>32</v>
      </c>
    </row>
    <row r="1851" spans="13:15" x14ac:dyDescent="0.25">
      <c r="M1851" s="5">
        <v>41899</v>
      </c>
      <c r="N1851">
        <f t="shared" si="68"/>
        <v>7</v>
      </c>
      <c r="O1851">
        <v>32</v>
      </c>
    </row>
    <row r="1852" spans="13:15" x14ac:dyDescent="0.25">
      <c r="M1852" s="5">
        <v>41898</v>
      </c>
      <c r="N1852">
        <f t="shared" si="68"/>
        <v>7</v>
      </c>
      <c r="O1852">
        <v>32</v>
      </c>
    </row>
    <row r="1853" spans="13:15" x14ac:dyDescent="0.25">
      <c r="M1853" s="5">
        <v>41897</v>
      </c>
      <c r="N1853">
        <f t="shared" si="68"/>
        <v>7</v>
      </c>
      <c r="O1853">
        <v>32</v>
      </c>
    </row>
    <row r="1854" spans="13:15" x14ac:dyDescent="0.25">
      <c r="M1854" s="5">
        <v>41896</v>
      </c>
      <c r="N1854">
        <f t="shared" si="68"/>
        <v>6</v>
      </c>
      <c r="O1854">
        <v>32</v>
      </c>
    </row>
    <row r="1855" spans="13:15" x14ac:dyDescent="0.25">
      <c r="M1855" s="5">
        <v>41895</v>
      </c>
      <c r="N1855">
        <f t="shared" ref="N1855:N1886" si="69">N1848-1</f>
        <v>6</v>
      </c>
      <c r="O1855">
        <v>32</v>
      </c>
    </row>
    <row r="1856" spans="13:15" x14ac:dyDescent="0.25">
      <c r="M1856" s="5">
        <v>41894</v>
      </c>
      <c r="N1856">
        <f t="shared" si="69"/>
        <v>6</v>
      </c>
      <c r="O1856">
        <v>32</v>
      </c>
    </row>
    <row r="1857" spans="13:15" x14ac:dyDescent="0.25">
      <c r="M1857" s="5">
        <v>41893</v>
      </c>
      <c r="N1857">
        <f t="shared" si="69"/>
        <v>6</v>
      </c>
      <c r="O1857">
        <v>32</v>
      </c>
    </row>
    <row r="1858" spans="13:15" x14ac:dyDescent="0.25">
      <c r="M1858" s="5">
        <v>41892</v>
      </c>
      <c r="N1858">
        <f t="shared" si="69"/>
        <v>6</v>
      </c>
      <c r="O1858">
        <v>32</v>
      </c>
    </row>
    <row r="1859" spans="13:15" x14ac:dyDescent="0.25">
      <c r="M1859" s="5">
        <v>41891</v>
      </c>
      <c r="N1859">
        <f t="shared" si="69"/>
        <v>6</v>
      </c>
      <c r="O1859">
        <v>32</v>
      </c>
    </row>
    <row r="1860" spans="13:15" x14ac:dyDescent="0.25">
      <c r="M1860" s="5">
        <v>41890</v>
      </c>
      <c r="N1860">
        <f t="shared" si="69"/>
        <v>6</v>
      </c>
      <c r="O1860">
        <v>32</v>
      </c>
    </row>
    <row r="1861" spans="13:15" x14ac:dyDescent="0.25">
      <c r="M1861" s="5">
        <v>41889</v>
      </c>
      <c r="N1861">
        <f t="shared" si="69"/>
        <v>5</v>
      </c>
      <c r="O1861">
        <v>32</v>
      </c>
    </row>
    <row r="1862" spans="13:15" x14ac:dyDescent="0.25">
      <c r="M1862" s="5">
        <v>41888</v>
      </c>
      <c r="N1862">
        <f t="shared" si="69"/>
        <v>5</v>
      </c>
      <c r="O1862">
        <v>32</v>
      </c>
    </row>
    <row r="1863" spans="13:15" x14ac:dyDescent="0.25">
      <c r="M1863" s="5">
        <v>41887</v>
      </c>
      <c r="N1863">
        <f t="shared" si="69"/>
        <v>5</v>
      </c>
      <c r="O1863">
        <v>32</v>
      </c>
    </row>
    <row r="1864" spans="13:15" x14ac:dyDescent="0.25">
      <c r="M1864" s="5">
        <v>41886</v>
      </c>
      <c r="N1864">
        <f t="shared" si="69"/>
        <v>5</v>
      </c>
      <c r="O1864">
        <v>32</v>
      </c>
    </row>
    <row r="1865" spans="13:15" x14ac:dyDescent="0.25">
      <c r="M1865" s="5">
        <v>41885</v>
      </c>
      <c r="N1865">
        <f t="shared" si="69"/>
        <v>5</v>
      </c>
      <c r="O1865">
        <v>32</v>
      </c>
    </row>
    <row r="1866" spans="13:15" x14ac:dyDescent="0.25">
      <c r="M1866" s="5">
        <v>41884</v>
      </c>
      <c r="N1866">
        <f t="shared" si="69"/>
        <v>5</v>
      </c>
      <c r="O1866">
        <v>32</v>
      </c>
    </row>
    <row r="1867" spans="13:15" x14ac:dyDescent="0.25">
      <c r="M1867" s="5">
        <v>41883</v>
      </c>
      <c r="N1867">
        <f t="shared" si="69"/>
        <v>5</v>
      </c>
      <c r="O1867">
        <v>32</v>
      </c>
    </row>
    <row r="1868" spans="13:15" x14ac:dyDescent="0.25">
      <c r="M1868" s="5">
        <v>41882</v>
      </c>
      <c r="N1868">
        <f t="shared" si="69"/>
        <v>4</v>
      </c>
      <c r="O1868">
        <v>32</v>
      </c>
    </row>
    <row r="1869" spans="13:15" x14ac:dyDescent="0.25">
      <c r="M1869" s="5">
        <v>41881</v>
      </c>
      <c r="N1869">
        <f t="shared" si="69"/>
        <v>4</v>
      </c>
      <c r="O1869">
        <v>32</v>
      </c>
    </row>
    <row r="1870" spans="13:15" x14ac:dyDescent="0.25">
      <c r="M1870" s="5">
        <v>41880</v>
      </c>
      <c r="N1870">
        <f t="shared" si="69"/>
        <v>4</v>
      </c>
      <c r="O1870">
        <v>32</v>
      </c>
    </row>
    <row r="1871" spans="13:15" x14ac:dyDescent="0.25">
      <c r="M1871" s="5">
        <v>41879</v>
      </c>
      <c r="N1871">
        <f t="shared" si="69"/>
        <v>4</v>
      </c>
      <c r="O1871">
        <v>32</v>
      </c>
    </row>
    <row r="1872" spans="13:15" x14ac:dyDescent="0.25">
      <c r="M1872" s="5">
        <v>41878</v>
      </c>
      <c r="N1872">
        <f t="shared" si="69"/>
        <v>4</v>
      </c>
      <c r="O1872">
        <v>32</v>
      </c>
    </row>
    <row r="1873" spans="13:15" x14ac:dyDescent="0.25">
      <c r="M1873" s="5">
        <v>41877</v>
      </c>
      <c r="N1873">
        <f t="shared" si="69"/>
        <v>4</v>
      </c>
      <c r="O1873">
        <v>32</v>
      </c>
    </row>
    <row r="1874" spans="13:15" x14ac:dyDescent="0.25">
      <c r="M1874" s="5">
        <v>41876</v>
      </c>
      <c r="N1874">
        <f t="shared" si="69"/>
        <v>4</v>
      </c>
      <c r="O1874">
        <v>32</v>
      </c>
    </row>
    <row r="1875" spans="13:15" x14ac:dyDescent="0.25">
      <c r="M1875" s="5">
        <v>41875</v>
      </c>
      <c r="N1875">
        <f t="shared" si="69"/>
        <v>3</v>
      </c>
      <c r="O1875">
        <v>32</v>
      </c>
    </row>
    <row r="1876" spans="13:15" x14ac:dyDescent="0.25">
      <c r="M1876" s="5">
        <v>41874</v>
      </c>
      <c r="N1876">
        <f t="shared" si="69"/>
        <v>3</v>
      </c>
      <c r="O1876">
        <v>32</v>
      </c>
    </row>
    <row r="1877" spans="13:15" x14ac:dyDescent="0.25">
      <c r="M1877" s="5">
        <v>41873</v>
      </c>
      <c r="N1877">
        <f t="shared" si="69"/>
        <v>3</v>
      </c>
      <c r="O1877">
        <v>32</v>
      </c>
    </row>
    <row r="1878" spans="13:15" x14ac:dyDescent="0.25">
      <c r="M1878" s="5">
        <v>41872</v>
      </c>
      <c r="N1878">
        <f t="shared" si="69"/>
        <v>3</v>
      </c>
      <c r="O1878">
        <v>32</v>
      </c>
    </row>
    <row r="1879" spans="13:15" x14ac:dyDescent="0.25">
      <c r="M1879" s="5">
        <v>41871</v>
      </c>
      <c r="N1879">
        <f t="shared" si="69"/>
        <v>3</v>
      </c>
      <c r="O1879">
        <v>32</v>
      </c>
    </row>
    <row r="1880" spans="13:15" x14ac:dyDescent="0.25">
      <c r="M1880" s="5">
        <v>41870</v>
      </c>
      <c r="N1880">
        <f t="shared" si="69"/>
        <v>3</v>
      </c>
      <c r="O1880">
        <v>32</v>
      </c>
    </row>
    <row r="1881" spans="13:15" x14ac:dyDescent="0.25">
      <c r="M1881" s="5">
        <v>41869</v>
      </c>
      <c r="N1881">
        <f t="shared" si="69"/>
        <v>3</v>
      </c>
      <c r="O1881">
        <v>32</v>
      </c>
    </row>
    <row r="1882" spans="13:15" x14ac:dyDescent="0.25">
      <c r="M1882" s="5">
        <v>41868</v>
      </c>
      <c r="N1882">
        <f t="shared" si="69"/>
        <v>2</v>
      </c>
      <c r="O1882">
        <v>32</v>
      </c>
    </row>
    <row r="1883" spans="13:15" x14ac:dyDescent="0.25">
      <c r="M1883" s="5">
        <v>41867</v>
      </c>
      <c r="N1883">
        <f t="shared" si="69"/>
        <v>2</v>
      </c>
      <c r="O1883">
        <v>32</v>
      </c>
    </row>
    <row r="1884" spans="13:15" x14ac:dyDescent="0.25">
      <c r="M1884" s="5">
        <v>41866</v>
      </c>
      <c r="N1884">
        <f t="shared" si="69"/>
        <v>2</v>
      </c>
      <c r="O1884">
        <v>32</v>
      </c>
    </row>
    <row r="1885" spans="13:15" x14ac:dyDescent="0.25">
      <c r="M1885" s="5">
        <v>41865</v>
      </c>
      <c r="N1885">
        <f t="shared" si="69"/>
        <v>2</v>
      </c>
      <c r="O1885">
        <v>32</v>
      </c>
    </row>
    <row r="1886" spans="13:15" x14ac:dyDescent="0.25">
      <c r="M1886" s="5">
        <v>41864</v>
      </c>
      <c r="N1886">
        <f t="shared" si="69"/>
        <v>2</v>
      </c>
      <c r="O1886">
        <v>32</v>
      </c>
    </row>
    <row r="1887" spans="13:15" x14ac:dyDescent="0.25">
      <c r="M1887" s="5">
        <v>41863</v>
      </c>
      <c r="N1887">
        <f t="shared" ref="N1887:N1895" si="70">N1880-1</f>
        <v>2</v>
      </c>
      <c r="O1887">
        <v>32</v>
      </c>
    </row>
    <row r="1888" spans="13:15" x14ac:dyDescent="0.25">
      <c r="M1888" s="5">
        <v>41862</v>
      </c>
      <c r="N1888">
        <f t="shared" si="70"/>
        <v>2</v>
      </c>
      <c r="O1888">
        <v>32</v>
      </c>
    </row>
    <row r="1889" spans="13:15" x14ac:dyDescent="0.25">
      <c r="M1889" s="5">
        <v>41861</v>
      </c>
      <c r="N1889">
        <f t="shared" si="70"/>
        <v>1</v>
      </c>
      <c r="O1889">
        <v>32</v>
      </c>
    </row>
    <row r="1890" spans="13:15" x14ac:dyDescent="0.25">
      <c r="M1890" s="5">
        <v>41860</v>
      </c>
      <c r="N1890">
        <f t="shared" si="70"/>
        <v>1</v>
      </c>
      <c r="O1890">
        <v>32</v>
      </c>
    </row>
    <row r="1891" spans="13:15" x14ac:dyDescent="0.25">
      <c r="M1891" s="5">
        <v>41859</v>
      </c>
      <c r="N1891">
        <f t="shared" si="70"/>
        <v>1</v>
      </c>
      <c r="O1891">
        <v>32</v>
      </c>
    </row>
    <row r="1892" spans="13:15" x14ac:dyDescent="0.25">
      <c r="M1892" s="5">
        <v>41858</v>
      </c>
      <c r="N1892">
        <f t="shared" si="70"/>
        <v>1</v>
      </c>
      <c r="O1892">
        <v>32</v>
      </c>
    </row>
    <row r="1893" spans="13:15" x14ac:dyDescent="0.25">
      <c r="M1893" s="5">
        <v>41857</v>
      </c>
      <c r="N1893">
        <f t="shared" si="70"/>
        <v>1</v>
      </c>
      <c r="O1893">
        <v>32</v>
      </c>
    </row>
    <row r="1894" spans="13:15" x14ac:dyDescent="0.25">
      <c r="M1894" s="5">
        <v>41856</v>
      </c>
      <c r="N1894">
        <f t="shared" si="70"/>
        <v>1</v>
      </c>
      <c r="O1894">
        <v>32</v>
      </c>
    </row>
    <row r="1895" spans="13:15" x14ac:dyDescent="0.25">
      <c r="M1895" s="5">
        <v>41855</v>
      </c>
      <c r="N1895">
        <f t="shared" si="70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1">N1896-1</f>
        <v>15</v>
      </c>
      <c r="O1903">
        <v>31</v>
      </c>
    </row>
    <row r="1904" spans="13:15" x14ac:dyDescent="0.25">
      <c r="M1904" s="5">
        <v>41846</v>
      </c>
      <c r="N1904">
        <f t="shared" si="71"/>
        <v>15</v>
      </c>
      <c r="O1904">
        <v>31</v>
      </c>
    </row>
    <row r="1905" spans="13:15" x14ac:dyDescent="0.25">
      <c r="M1905" s="5">
        <v>41845</v>
      </c>
      <c r="N1905">
        <f t="shared" si="71"/>
        <v>15</v>
      </c>
      <c r="O1905">
        <v>31</v>
      </c>
    </row>
    <row r="1906" spans="13:15" x14ac:dyDescent="0.25">
      <c r="M1906" s="5">
        <v>41844</v>
      </c>
      <c r="N1906">
        <f t="shared" si="71"/>
        <v>15</v>
      </c>
      <c r="O1906">
        <v>31</v>
      </c>
    </row>
    <row r="1907" spans="13:15" x14ac:dyDescent="0.25">
      <c r="M1907" s="5">
        <v>41843</v>
      </c>
      <c r="N1907">
        <f t="shared" si="71"/>
        <v>15</v>
      </c>
      <c r="O1907">
        <v>31</v>
      </c>
    </row>
    <row r="1908" spans="13:15" x14ac:dyDescent="0.25">
      <c r="M1908" s="5">
        <v>41842</v>
      </c>
      <c r="N1908">
        <f t="shared" si="71"/>
        <v>15</v>
      </c>
      <c r="O1908">
        <v>31</v>
      </c>
    </row>
    <row r="1909" spans="13:15" x14ac:dyDescent="0.25">
      <c r="M1909" s="5">
        <v>41841</v>
      </c>
      <c r="N1909">
        <f t="shared" si="71"/>
        <v>15</v>
      </c>
      <c r="O1909">
        <v>31</v>
      </c>
    </row>
    <row r="1910" spans="13:15" x14ac:dyDescent="0.25">
      <c r="M1910" s="5">
        <v>41840</v>
      </c>
      <c r="N1910">
        <f t="shared" si="71"/>
        <v>14</v>
      </c>
      <c r="O1910">
        <v>31</v>
      </c>
    </row>
    <row r="1911" spans="13:15" x14ac:dyDescent="0.25">
      <c r="M1911" s="5">
        <v>41839</v>
      </c>
      <c r="N1911">
        <f t="shared" si="71"/>
        <v>14</v>
      </c>
      <c r="O1911">
        <v>31</v>
      </c>
    </row>
    <row r="1912" spans="13:15" x14ac:dyDescent="0.25">
      <c r="M1912" s="5">
        <v>41838</v>
      </c>
      <c r="N1912">
        <f t="shared" si="71"/>
        <v>14</v>
      </c>
      <c r="O1912">
        <v>31</v>
      </c>
    </row>
    <row r="1913" spans="13:15" x14ac:dyDescent="0.25">
      <c r="M1913" s="5">
        <v>41837</v>
      </c>
      <c r="N1913">
        <f t="shared" si="71"/>
        <v>14</v>
      </c>
      <c r="O1913">
        <v>31</v>
      </c>
    </row>
    <row r="1914" spans="13:15" x14ac:dyDescent="0.25">
      <c r="M1914" s="5">
        <v>41836</v>
      </c>
      <c r="N1914">
        <f t="shared" si="71"/>
        <v>14</v>
      </c>
      <c r="O1914">
        <v>31</v>
      </c>
    </row>
    <row r="1915" spans="13:15" x14ac:dyDescent="0.25">
      <c r="M1915" s="5">
        <v>41835</v>
      </c>
      <c r="N1915">
        <f t="shared" si="71"/>
        <v>14</v>
      </c>
      <c r="O1915">
        <v>31</v>
      </c>
    </row>
    <row r="1916" spans="13:15" x14ac:dyDescent="0.25">
      <c r="M1916" s="5">
        <v>41834</v>
      </c>
      <c r="N1916">
        <f t="shared" si="71"/>
        <v>14</v>
      </c>
      <c r="O1916">
        <v>31</v>
      </c>
    </row>
    <row r="1917" spans="13:15" x14ac:dyDescent="0.25">
      <c r="M1917" s="5">
        <v>41833</v>
      </c>
      <c r="N1917">
        <f t="shared" si="71"/>
        <v>13</v>
      </c>
      <c r="O1917">
        <v>31</v>
      </c>
    </row>
    <row r="1918" spans="13:15" x14ac:dyDescent="0.25">
      <c r="M1918" s="5">
        <v>41832</v>
      </c>
      <c r="N1918">
        <f t="shared" si="71"/>
        <v>13</v>
      </c>
      <c r="O1918">
        <v>31</v>
      </c>
    </row>
    <row r="1919" spans="13:15" x14ac:dyDescent="0.25">
      <c r="M1919" s="5">
        <v>41831</v>
      </c>
      <c r="N1919">
        <f t="shared" si="71"/>
        <v>13</v>
      </c>
      <c r="O1919">
        <v>31</v>
      </c>
    </row>
    <row r="1920" spans="13:15" x14ac:dyDescent="0.25">
      <c r="M1920" s="5">
        <v>41830</v>
      </c>
      <c r="N1920">
        <f t="shared" si="71"/>
        <v>13</v>
      </c>
      <c r="O1920">
        <v>31</v>
      </c>
    </row>
    <row r="1921" spans="13:15" x14ac:dyDescent="0.25">
      <c r="M1921" s="5">
        <v>41829</v>
      </c>
      <c r="N1921">
        <f t="shared" si="71"/>
        <v>13</v>
      </c>
      <c r="O1921">
        <v>31</v>
      </c>
    </row>
    <row r="1922" spans="13:15" x14ac:dyDescent="0.25">
      <c r="M1922" s="5">
        <v>41828</v>
      </c>
      <c r="N1922">
        <f t="shared" si="71"/>
        <v>13</v>
      </c>
      <c r="O1922">
        <v>31</v>
      </c>
    </row>
    <row r="1923" spans="13:15" x14ac:dyDescent="0.25">
      <c r="M1923" s="5">
        <v>41827</v>
      </c>
      <c r="N1923">
        <f t="shared" si="71"/>
        <v>13</v>
      </c>
      <c r="O1923">
        <v>31</v>
      </c>
    </row>
    <row r="1924" spans="13:15" x14ac:dyDescent="0.25">
      <c r="M1924" s="5">
        <v>41826</v>
      </c>
      <c r="N1924">
        <f t="shared" si="71"/>
        <v>12</v>
      </c>
      <c r="O1924">
        <v>31</v>
      </c>
    </row>
    <row r="1925" spans="13:15" x14ac:dyDescent="0.25">
      <c r="M1925" s="5">
        <v>41825</v>
      </c>
      <c r="N1925">
        <f t="shared" si="71"/>
        <v>12</v>
      </c>
      <c r="O1925">
        <v>31</v>
      </c>
    </row>
    <row r="1926" spans="13:15" x14ac:dyDescent="0.25">
      <c r="M1926" s="5">
        <v>41824</v>
      </c>
      <c r="N1926">
        <f t="shared" si="71"/>
        <v>12</v>
      </c>
      <c r="O1926">
        <v>31</v>
      </c>
    </row>
    <row r="1927" spans="13:15" x14ac:dyDescent="0.25">
      <c r="M1927" s="5">
        <v>41823</v>
      </c>
      <c r="N1927">
        <f t="shared" si="71"/>
        <v>12</v>
      </c>
      <c r="O1927">
        <v>31</v>
      </c>
    </row>
    <row r="1928" spans="13:15" x14ac:dyDescent="0.25">
      <c r="M1928" s="5">
        <v>41822</v>
      </c>
      <c r="N1928">
        <f t="shared" si="71"/>
        <v>12</v>
      </c>
      <c r="O1928">
        <v>31</v>
      </c>
    </row>
    <row r="1929" spans="13:15" x14ac:dyDescent="0.25">
      <c r="M1929" s="5">
        <v>41821</v>
      </c>
      <c r="N1929">
        <f t="shared" si="71"/>
        <v>12</v>
      </c>
      <c r="O1929">
        <v>31</v>
      </c>
    </row>
    <row r="1930" spans="13:15" x14ac:dyDescent="0.25">
      <c r="M1930" s="5">
        <v>41820</v>
      </c>
      <c r="N1930">
        <f t="shared" si="71"/>
        <v>12</v>
      </c>
      <c r="O1930">
        <v>31</v>
      </c>
    </row>
    <row r="1931" spans="13:15" x14ac:dyDescent="0.25">
      <c r="M1931" s="5">
        <v>41819</v>
      </c>
      <c r="N1931">
        <f t="shared" si="71"/>
        <v>11</v>
      </c>
      <c r="O1931">
        <v>31</v>
      </c>
    </row>
    <row r="1932" spans="13:15" x14ac:dyDescent="0.25">
      <c r="M1932" s="5">
        <v>41818</v>
      </c>
      <c r="N1932">
        <f t="shared" si="71"/>
        <v>11</v>
      </c>
      <c r="O1932">
        <v>31</v>
      </c>
    </row>
    <row r="1933" spans="13:15" x14ac:dyDescent="0.25">
      <c r="M1933" s="5">
        <v>41817</v>
      </c>
      <c r="N1933">
        <f t="shared" si="71"/>
        <v>11</v>
      </c>
      <c r="O1933">
        <v>31</v>
      </c>
    </row>
    <row r="1934" spans="13:15" x14ac:dyDescent="0.25">
      <c r="M1934" s="5">
        <v>41816</v>
      </c>
      <c r="N1934">
        <f t="shared" si="71"/>
        <v>11</v>
      </c>
      <c r="O1934">
        <v>31</v>
      </c>
    </row>
    <row r="1935" spans="13:15" x14ac:dyDescent="0.25">
      <c r="M1935" s="5">
        <v>41815</v>
      </c>
      <c r="N1935">
        <f t="shared" ref="N1935:N1966" si="72">N1928-1</f>
        <v>11</v>
      </c>
      <c r="O1935">
        <v>31</v>
      </c>
    </row>
    <row r="1936" spans="13:15" x14ac:dyDescent="0.25">
      <c r="M1936" s="5">
        <v>41814</v>
      </c>
      <c r="N1936">
        <f t="shared" si="72"/>
        <v>11</v>
      </c>
      <c r="O1936">
        <v>31</v>
      </c>
    </row>
    <row r="1937" spans="13:15" x14ac:dyDescent="0.25">
      <c r="M1937" s="5">
        <v>41813</v>
      </c>
      <c r="N1937">
        <f t="shared" si="72"/>
        <v>11</v>
      </c>
      <c r="O1937">
        <v>31</v>
      </c>
    </row>
    <row r="1938" spans="13:15" x14ac:dyDescent="0.25">
      <c r="M1938" s="5">
        <v>41812</v>
      </c>
      <c r="N1938">
        <f t="shared" si="72"/>
        <v>10</v>
      </c>
      <c r="O1938">
        <v>31</v>
      </c>
    </row>
    <row r="1939" spans="13:15" x14ac:dyDescent="0.25">
      <c r="M1939" s="5">
        <v>41811</v>
      </c>
      <c r="N1939">
        <f t="shared" si="72"/>
        <v>10</v>
      </c>
      <c r="O1939">
        <v>31</v>
      </c>
    </row>
    <row r="1940" spans="13:15" x14ac:dyDescent="0.25">
      <c r="M1940" s="5">
        <v>41810</v>
      </c>
      <c r="N1940">
        <f t="shared" si="72"/>
        <v>10</v>
      </c>
      <c r="O1940">
        <v>31</v>
      </c>
    </row>
    <row r="1941" spans="13:15" x14ac:dyDescent="0.25">
      <c r="M1941" s="5">
        <v>41809</v>
      </c>
      <c r="N1941">
        <f t="shared" si="72"/>
        <v>10</v>
      </c>
      <c r="O1941">
        <v>31</v>
      </c>
    </row>
    <row r="1942" spans="13:15" x14ac:dyDescent="0.25">
      <c r="M1942" s="5">
        <v>41808</v>
      </c>
      <c r="N1942">
        <f t="shared" si="72"/>
        <v>10</v>
      </c>
      <c r="O1942">
        <v>31</v>
      </c>
    </row>
    <row r="1943" spans="13:15" x14ac:dyDescent="0.25">
      <c r="M1943" s="5">
        <v>41807</v>
      </c>
      <c r="N1943">
        <f t="shared" si="72"/>
        <v>10</v>
      </c>
      <c r="O1943">
        <v>31</v>
      </c>
    </row>
    <row r="1944" spans="13:15" x14ac:dyDescent="0.25">
      <c r="M1944" s="5">
        <v>41806</v>
      </c>
      <c r="N1944">
        <f t="shared" si="72"/>
        <v>10</v>
      </c>
      <c r="O1944">
        <v>31</v>
      </c>
    </row>
    <row r="1945" spans="13:15" x14ac:dyDescent="0.25">
      <c r="M1945" s="5">
        <v>41805</v>
      </c>
      <c r="N1945">
        <f t="shared" si="72"/>
        <v>9</v>
      </c>
      <c r="O1945">
        <v>31</v>
      </c>
    </row>
    <row r="1946" spans="13:15" x14ac:dyDescent="0.25">
      <c r="M1946" s="5">
        <v>41804</v>
      </c>
      <c r="N1946">
        <f t="shared" si="72"/>
        <v>9</v>
      </c>
      <c r="O1946">
        <v>31</v>
      </c>
    </row>
    <row r="1947" spans="13:15" x14ac:dyDescent="0.25">
      <c r="M1947" s="5">
        <v>41803</v>
      </c>
      <c r="N1947">
        <f t="shared" si="72"/>
        <v>9</v>
      </c>
      <c r="O1947">
        <v>31</v>
      </c>
    </row>
    <row r="1948" spans="13:15" x14ac:dyDescent="0.25">
      <c r="M1948" s="5">
        <v>41802</v>
      </c>
      <c r="N1948">
        <f t="shared" si="72"/>
        <v>9</v>
      </c>
      <c r="O1948">
        <v>31</v>
      </c>
    </row>
    <row r="1949" spans="13:15" x14ac:dyDescent="0.25">
      <c r="M1949" s="5">
        <v>41801</v>
      </c>
      <c r="N1949">
        <f t="shared" si="72"/>
        <v>9</v>
      </c>
      <c r="O1949">
        <v>31</v>
      </c>
    </row>
    <row r="1950" spans="13:15" x14ac:dyDescent="0.25">
      <c r="M1950" s="5">
        <v>41800</v>
      </c>
      <c r="N1950">
        <f t="shared" si="72"/>
        <v>9</v>
      </c>
      <c r="O1950">
        <v>31</v>
      </c>
    </row>
    <row r="1951" spans="13:15" x14ac:dyDescent="0.25">
      <c r="M1951" s="5">
        <v>41799</v>
      </c>
      <c r="N1951">
        <f t="shared" si="72"/>
        <v>9</v>
      </c>
      <c r="O1951">
        <v>31</v>
      </c>
    </row>
    <row r="1952" spans="13:15" x14ac:dyDescent="0.25">
      <c r="M1952" s="5">
        <v>41798</v>
      </c>
      <c r="N1952">
        <f t="shared" si="72"/>
        <v>8</v>
      </c>
      <c r="O1952">
        <v>31</v>
      </c>
    </row>
    <row r="1953" spans="13:15" x14ac:dyDescent="0.25">
      <c r="M1953" s="5">
        <v>41797</v>
      </c>
      <c r="N1953">
        <f t="shared" si="72"/>
        <v>8</v>
      </c>
      <c r="O1953">
        <v>31</v>
      </c>
    </row>
    <row r="1954" spans="13:15" x14ac:dyDescent="0.25">
      <c r="M1954" s="5">
        <v>41796</v>
      </c>
      <c r="N1954">
        <f t="shared" si="72"/>
        <v>8</v>
      </c>
      <c r="O1954">
        <v>31</v>
      </c>
    </row>
    <row r="1955" spans="13:15" x14ac:dyDescent="0.25">
      <c r="M1955" s="5">
        <v>41795</v>
      </c>
      <c r="N1955">
        <f t="shared" si="72"/>
        <v>8</v>
      </c>
      <c r="O1955">
        <v>31</v>
      </c>
    </row>
    <row r="1956" spans="13:15" x14ac:dyDescent="0.25">
      <c r="M1956" s="5">
        <v>41794</v>
      </c>
      <c r="N1956">
        <f t="shared" si="72"/>
        <v>8</v>
      </c>
      <c r="O1956">
        <v>31</v>
      </c>
    </row>
    <row r="1957" spans="13:15" x14ac:dyDescent="0.25">
      <c r="M1957" s="5">
        <v>41793</v>
      </c>
      <c r="N1957">
        <f t="shared" si="72"/>
        <v>8</v>
      </c>
      <c r="O1957">
        <v>31</v>
      </c>
    </row>
    <row r="1958" spans="13:15" x14ac:dyDescent="0.25">
      <c r="M1958" s="5">
        <v>41792</v>
      </c>
      <c r="N1958">
        <f t="shared" si="72"/>
        <v>8</v>
      </c>
      <c r="O1958">
        <v>31</v>
      </c>
    </row>
    <row r="1959" spans="13:15" x14ac:dyDescent="0.25">
      <c r="M1959" s="5">
        <v>41791</v>
      </c>
      <c r="N1959">
        <f t="shared" si="72"/>
        <v>7</v>
      </c>
      <c r="O1959">
        <v>31</v>
      </c>
    </row>
    <row r="1960" spans="13:15" x14ac:dyDescent="0.25">
      <c r="M1960" s="5">
        <v>41790</v>
      </c>
      <c r="N1960">
        <f t="shared" si="72"/>
        <v>7</v>
      </c>
      <c r="O1960">
        <v>31</v>
      </c>
    </row>
    <row r="1961" spans="13:15" x14ac:dyDescent="0.25">
      <c r="M1961" s="5">
        <v>41789</v>
      </c>
      <c r="N1961">
        <f t="shared" si="72"/>
        <v>7</v>
      </c>
      <c r="O1961">
        <v>31</v>
      </c>
    </row>
    <row r="1962" spans="13:15" x14ac:dyDescent="0.25">
      <c r="M1962" s="5">
        <v>41788</v>
      </c>
      <c r="N1962">
        <f t="shared" si="72"/>
        <v>7</v>
      </c>
      <c r="O1962">
        <v>31</v>
      </c>
    </row>
    <row r="1963" spans="13:15" x14ac:dyDescent="0.25">
      <c r="M1963" s="5">
        <v>41787</v>
      </c>
      <c r="N1963">
        <f t="shared" si="72"/>
        <v>7</v>
      </c>
      <c r="O1963">
        <v>31</v>
      </c>
    </row>
    <row r="1964" spans="13:15" x14ac:dyDescent="0.25">
      <c r="M1964" s="5">
        <v>41786</v>
      </c>
      <c r="N1964">
        <f t="shared" si="72"/>
        <v>7</v>
      </c>
      <c r="O1964">
        <v>31</v>
      </c>
    </row>
    <row r="1965" spans="13:15" x14ac:dyDescent="0.25">
      <c r="M1965" s="5">
        <v>41785</v>
      </c>
      <c r="N1965">
        <f t="shared" si="72"/>
        <v>7</v>
      </c>
      <c r="O1965">
        <v>31</v>
      </c>
    </row>
    <row r="1966" spans="13:15" x14ac:dyDescent="0.25">
      <c r="M1966" s="5">
        <v>41784</v>
      </c>
      <c r="N1966">
        <f t="shared" si="72"/>
        <v>6</v>
      </c>
      <c r="O1966">
        <v>31</v>
      </c>
    </row>
    <row r="1967" spans="13:15" x14ac:dyDescent="0.25">
      <c r="M1967" s="5">
        <v>41783</v>
      </c>
      <c r="N1967">
        <f t="shared" ref="N1967:N1998" si="73">N1960-1</f>
        <v>6</v>
      </c>
      <c r="O1967">
        <v>31</v>
      </c>
    </row>
    <row r="1968" spans="13:15" x14ac:dyDescent="0.25">
      <c r="M1968" s="5">
        <v>41782</v>
      </c>
      <c r="N1968">
        <f t="shared" si="73"/>
        <v>6</v>
      </c>
      <c r="O1968">
        <v>31</v>
      </c>
    </row>
    <row r="1969" spans="13:15" x14ac:dyDescent="0.25">
      <c r="M1969" s="5">
        <v>41781</v>
      </c>
      <c r="N1969">
        <f t="shared" si="73"/>
        <v>6</v>
      </c>
      <c r="O1969">
        <v>31</v>
      </c>
    </row>
    <row r="1970" spans="13:15" x14ac:dyDescent="0.25">
      <c r="M1970" s="5">
        <v>41780</v>
      </c>
      <c r="N1970">
        <f t="shared" si="73"/>
        <v>6</v>
      </c>
      <c r="O1970">
        <v>31</v>
      </c>
    </row>
    <row r="1971" spans="13:15" x14ac:dyDescent="0.25">
      <c r="M1971" s="5">
        <v>41779</v>
      </c>
      <c r="N1971">
        <f t="shared" si="73"/>
        <v>6</v>
      </c>
      <c r="O1971">
        <v>31</v>
      </c>
    </row>
    <row r="1972" spans="13:15" x14ac:dyDescent="0.25">
      <c r="M1972" s="5">
        <v>41778</v>
      </c>
      <c r="N1972">
        <f t="shared" si="73"/>
        <v>6</v>
      </c>
      <c r="O1972">
        <v>31</v>
      </c>
    </row>
    <row r="1973" spans="13:15" x14ac:dyDescent="0.25">
      <c r="M1973" s="5">
        <v>41777</v>
      </c>
      <c r="N1973">
        <f t="shared" si="73"/>
        <v>5</v>
      </c>
      <c r="O1973">
        <v>31</v>
      </c>
    </row>
    <row r="1974" spans="13:15" x14ac:dyDescent="0.25">
      <c r="M1974" s="5">
        <v>41776</v>
      </c>
      <c r="N1974">
        <f t="shared" si="73"/>
        <v>5</v>
      </c>
      <c r="O1974">
        <v>31</v>
      </c>
    </row>
    <row r="1975" spans="13:15" x14ac:dyDescent="0.25">
      <c r="M1975" s="5">
        <v>41775</v>
      </c>
      <c r="N1975">
        <f t="shared" si="73"/>
        <v>5</v>
      </c>
      <c r="O1975">
        <v>31</v>
      </c>
    </row>
    <row r="1976" spans="13:15" x14ac:dyDescent="0.25">
      <c r="M1976" s="5">
        <v>41774</v>
      </c>
      <c r="N1976">
        <f t="shared" si="73"/>
        <v>5</v>
      </c>
      <c r="O1976">
        <v>31</v>
      </c>
    </row>
    <row r="1977" spans="13:15" x14ac:dyDescent="0.25">
      <c r="M1977" s="5">
        <v>41773</v>
      </c>
      <c r="N1977">
        <f t="shared" si="73"/>
        <v>5</v>
      </c>
      <c r="O1977">
        <v>31</v>
      </c>
    </row>
    <row r="1978" spans="13:15" x14ac:dyDescent="0.25">
      <c r="M1978" s="5">
        <v>41772</v>
      </c>
      <c r="N1978">
        <f t="shared" si="73"/>
        <v>5</v>
      </c>
      <c r="O1978">
        <v>31</v>
      </c>
    </row>
    <row r="1979" spans="13:15" x14ac:dyDescent="0.25">
      <c r="M1979" s="5">
        <v>41771</v>
      </c>
      <c r="N1979">
        <f t="shared" si="73"/>
        <v>5</v>
      </c>
      <c r="O1979">
        <v>31</v>
      </c>
    </row>
    <row r="1980" spans="13:15" x14ac:dyDescent="0.25">
      <c r="M1980" s="5">
        <v>41770</v>
      </c>
      <c r="N1980">
        <f t="shared" si="73"/>
        <v>4</v>
      </c>
      <c r="O1980">
        <v>31</v>
      </c>
    </row>
    <row r="1981" spans="13:15" x14ac:dyDescent="0.25">
      <c r="M1981" s="5">
        <v>41769</v>
      </c>
      <c r="N1981">
        <f t="shared" si="73"/>
        <v>4</v>
      </c>
      <c r="O1981">
        <v>31</v>
      </c>
    </row>
    <row r="1982" spans="13:15" x14ac:dyDescent="0.25">
      <c r="M1982" s="5">
        <v>41768</v>
      </c>
      <c r="N1982">
        <f t="shared" si="73"/>
        <v>4</v>
      </c>
      <c r="O1982">
        <v>31</v>
      </c>
    </row>
    <row r="1983" spans="13:15" x14ac:dyDescent="0.25">
      <c r="M1983" s="5">
        <v>41767</v>
      </c>
      <c r="N1983">
        <f t="shared" si="73"/>
        <v>4</v>
      </c>
      <c r="O1983">
        <v>31</v>
      </c>
    </row>
    <row r="1984" spans="13:15" x14ac:dyDescent="0.25">
      <c r="M1984" s="5">
        <v>41766</v>
      </c>
      <c r="N1984">
        <f t="shared" si="73"/>
        <v>4</v>
      </c>
      <c r="O1984">
        <v>31</v>
      </c>
    </row>
    <row r="1985" spans="13:15" x14ac:dyDescent="0.25">
      <c r="M1985" s="5">
        <v>41765</v>
      </c>
      <c r="N1985">
        <f t="shared" si="73"/>
        <v>4</v>
      </c>
      <c r="O1985">
        <v>31</v>
      </c>
    </row>
    <row r="1986" spans="13:15" x14ac:dyDescent="0.25">
      <c r="M1986" s="5">
        <v>41764</v>
      </c>
      <c r="N1986">
        <f t="shared" si="73"/>
        <v>4</v>
      </c>
      <c r="O1986">
        <v>31</v>
      </c>
    </row>
    <row r="1987" spans="13:15" x14ac:dyDescent="0.25">
      <c r="M1987" s="5">
        <v>41763</v>
      </c>
      <c r="N1987">
        <f t="shared" si="73"/>
        <v>3</v>
      </c>
      <c r="O1987">
        <v>31</v>
      </c>
    </row>
    <row r="1988" spans="13:15" x14ac:dyDescent="0.25">
      <c r="M1988" s="5">
        <v>41762</v>
      </c>
      <c r="N1988">
        <f t="shared" si="73"/>
        <v>3</v>
      </c>
      <c r="O1988">
        <v>31</v>
      </c>
    </row>
    <row r="1989" spans="13:15" x14ac:dyDescent="0.25">
      <c r="M1989" s="5">
        <v>41761</v>
      </c>
      <c r="N1989">
        <f t="shared" si="73"/>
        <v>3</v>
      </c>
      <c r="O1989">
        <v>31</v>
      </c>
    </row>
    <row r="1990" spans="13:15" x14ac:dyDescent="0.25">
      <c r="M1990" s="5">
        <v>41760</v>
      </c>
      <c r="N1990">
        <f t="shared" si="73"/>
        <v>3</v>
      </c>
      <c r="O1990">
        <v>31</v>
      </c>
    </row>
    <row r="1991" spans="13:15" x14ac:dyDescent="0.25">
      <c r="M1991" s="5">
        <v>41759</v>
      </c>
      <c r="N1991">
        <f t="shared" si="73"/>
        <v>3</v>
      </c>
      <c r="O1991">
        <v>31</v>
      </c>
    </row>
    <row r="1992" spans="13:15" x14ac:dyDescent="0.25">
      <c r="M1992" s="5">
        <v>41758</v>
      </c>
      <c r="N1992">
        <f t="shared" si="73"/>
        <v>3</v>
      </c>
      <c r="O1992">
        <v>31</v>
      </c>
    </row>
    <row r="1993" spans="13:15" x14ac:dyDescent="0.25">
      <c r="M1993" s="5">
        <v>41757</v>
      </c>
      <c r="N1993">
        <f t="shared" si="73"/>
        <v>3</v>
      </c>
      <c r="O1993">
        <v>31</v>
      </c>
    </row>
    <row r="1994" spans="13:15" x14ac:dyDescent="0.25">
      <c r="M1994" s="5">
        <v>41756</v>
      </c>
      <c r="N1994">
        <f t="shared" si="73"/>
        <v>2</v>
      </c>
      <c r="O1994">
        <v>31</v>
      </c>
    </row>
    <row r="1995" spans="13:15" x14ac:dyDescent="0.25">
      <c r="M1995" s="5">
        <v>41755</v>
      </c>
      <c r="N1995">
        <f t="shared" si="73"/>
        <v>2</v>
      </c>
      <c r="O1995">
        <v>31</v>
      </c>
    </row>
    <row r="1996" spans="13:15" x14ac:dyDescent="0.25">
      <c r="M1996" s="5">
        <v>41754</v>
      </c>
      <c r="N1996">
        <f t="shared" si="73"/>
        <v>2</v>
      </c>
      <c r="O1996">
        <v>31</v>
      </c>
    </row>
    <row r="1997" spans="13:15" x14ac:dyDescent="0.25">
      <c r="M1997" s="5">
        <v>41753</v>
      </c>
      <c r="N1997">
        <f t="shared" si="73"/>
        <v>2</v>
      </c>
      <c r="O1997">
        <v>31</v>
      </c>
    </row>
    <row r="1998" spans="13:15" x14ac:dyDescent="0.25">
      <c r="M1998" s="5">
        <v>41752</v>
      </c>
      <c r="N1998">
        <f t="shared" si="73"/>
        <v>2</v>
      </c>
      <c r="O1998">
        <v>31</v>
      </c>
    </row>
    <row r="1999" spans="13:15" x14ac:dyDescent="0.25">
      <c r="M1999" s="5">
        <v>41751</v>
      </c>
      <c r="N1999">
        <f t="shared" ref="N1999:N2007" si="74">N1992-1</f>
        <v>2</v>
      </c>
      <c r="O1999">
        <v>31</v>
      </c>
    </row>
    <row r="2000" spans="13:15" x14ac:dyDescent="0.25">
      <c r="M2000" s="5">
        <v>41750</v>
      </c>
      <c r="N2000">
        <f t="shared" si="74"/>
        <v>2</v>
      </c>
      <c r="O2000">
        <v>31</v>
      </c>
    </row>
    <row r="2001" spans="13:15" x14ac:dyDescent="0.25">
      <c r="M2001" s="5">
        <v>41749</v>
      </c>
      <c r="N2001">
        <f t="shared" si="74"/>
        <v>1</v>
      </c>
      <c r="O2001">
        <v>31</v>
      </c>
    </row>
    <row r="2002" spans="13:15" x14ac:dyDescent="0.25">
      <c r="M2002" s="5">
        <v>41748</v>
      </c>
      <c r="N2002">
        <f t="shared" si="74"/>
        <v>1</v>
      </c>
      <c r="O2002">
        <v>31</v>
      </c>
    </row>
    <row r="2003" spans="13:15" x14ac:dyDescent="0.25">
      <c r="M2003" s="5">
        <v>41747</v>
      </c>
      <c r="N2003">
        <f t="shared" si="74"/>
        <v>1</v>
      </c>
      <c r="O2003">
        <v>31</v>
      </c>
    </row>
    <row r="2004" spans="13:15" x14ac:dyDescent="0.25">
      <c r="M2004" s="5">
        <v>41746</v>
      </c>
      <c r="N2004">
        <f t="shared" si="74"/>
        <v>1</v>
      </c>
      <c r="O2004">
        <v>31</v>
      </c>
    </row>
    <row r="2005" spans="13:15" x14ac:dyDescent="0.25">
      <c r="M2005" s="5">
        <v>41745</v>
      </c>
      <c r="N2005">
        <f t="shared" si="74"/>
        <v>1</v>
      </c>
      <c r="O2005">
        <v>31</v>
      </c>
    </row>
    <row r="2006" spans="13:15" x14ac:dyDescent="0.25">
      <c r="M2006" s="5">
        <v>41744</v>
      </c>
      <c r="N2006">
        <f t="shared" si="74"/>
        <v>1</v>
      </c>
      <c r="O2006">
        <v>31</v>
      </c>
    </row>
    <row r="2007" spans="13:15" x14ac:dyDescent="0.25">
      <c r="M2007" s="5">
        <v>41743</v>
      </c>
      <c r="N2007">
        <f t="shared" si="74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5">N2008-1</f>
        <v>15</v>
      </c>
      <c r="O2015">
        <v>30</v>
      </c>
    </row>
    <row r="2016" spans="13:15" x14ac:dyDescent="0.25">
      <c r="M2016" s="5">
        <v>41734</v>
      </c>
      <c r="N2016">
        <f t="shared" si="75"/>
        <v>15</v>
      </c>
      <c r="O2016">
        <v>30</v>
      </c>
    </row>
    <row r="2017" spans="13:15" x14ac:dyDescent="0.25">
      <c r="M2017" s="5">
        <v>41733</v>
      </c>
      <c r="N2017">
        <f t="shared" si="75"/>
        <v>15</v>
      </c>
      <c r="O2017">
        <v>30</v>
      </c>
    </row>
    <row r="2018" spans="13:15" x14ac:dyDescent="0.25">
      <c r="M2018" s="5">
        <v>41732</v>
      </c>
      <c r="N2018">
        <f t="shared" si="75"/>
        <v>15</v>
      </c>
      <c r="O2018">
        <v>30</v>
      </c>
    </row>
    <row r="2019" spans="13:15" x14ac:dyDescent="0.25">
      <c r="M2019" s="5">
        <v>41731</v>
      </c>
      <c r="N2019">
        <f t="shared" si="75"/>
        <v>15</v>
      </c>
      <c r="O2019">
        <v>30</v>
      </c>
    </row>
    <row r="2020" spans="13:15" x14ac:dyDescent="0.25">
      <c r="M2020" s="5">
        <v>41730</v>
      </c>
      <c r="N2020">
        <f t="shared" si="75"/>
        <v>15</v>
      </c>
      <c r="O2020">
        <v>30</v>
      </c>
    </row>
    <row r="2021" spans="13:15" x14ac:dyDescent="0.25">
      <c r="M2021" s="5">
        <v>41729</v>
      </c>
      <c r="N2021">
        <f t="shared" si="75"/>
        <v>15</v>
      </c>
      <c r="O2021">
        <v>30</v>
      </c>
    </row>
    <row r="2022" spans="13:15" x14ac:dyDescent="0.25">
      <c r="M2022" s="5">
        <v>41728</v>
      </c>
      <c r="N2022">
        <f t="shared" si="75"/>
        <v>14</v>
      </c>
      <c r="O2022">
        <v>30</v>
      </c>
    </row>
    <row r="2023" spans="13:15" x14ac:dyDescent="0.25">
      <c r="M2023" s="5">
        <v>41727</v>
      </c>
      <c r="N2023">
        <f t="shared" si="75"/>
        <v>14</v>
      </c>
      <c r="O2023">
        <v>30</v>
      </c>
    </row>
    <row r="2024" spans="13:15" x14ac:dyDescent="0.25">
      <c r="M2024" s="5">
        <v>41726</v>
      </c>
      <c r="N2024">
        <f t="shared" si="75"/>
        <v>14</v>
      </c>
      <c r="O2024">
        <v>30</v>
      </c>
    </row>
    <row r="2025" spans="13:15" x14ac:dyDescent="0.25">
      <c r="M2025" s="5">
        <v>41725</v>
      </c>
      <c r="N2025">
        <f t="shared" si="75"/>
        <v>14</v>
      </c>
      <c r="O2025">
        <v>30</v>
      </c>
    </row>
    <row r="2026" spans="13:15" x14ac:dyDescent="0.25">
      <c r="M2026" s="5">
        <v>41724</v>
      </c>
      <c r="N2026">
        <f t="shared" si="75"/>
        <v>14</v>
      </c>
      <c r="O2026">
        <v>30</v>
      </c>
    </row>
    <row r="2027" spans="13:15" x14ac:dyDescent="0.25">
      <c r="M2027" s="5">
        <v>41723</v>
      </c>
      <c r="N2027">
        <f t="shared" si="75"/>
        <v>14</v>
      </c>
      <c r="O2027">
        <v>30</v>
      </c>
    </row>
    <row r="2028" spans="13:15" x14ac:dyDescent="0.25">
      <c r="M2028" s="5">
        <v>41722</v>
      </c>
      <c r="N2028">
        <f t="shared" si="75"/>
        <v>14</v>
      </c>
      <c r="O2028">
        <v>30</v>
      </c>
    </row>
    <row r="2029" spans="13:15" x14ac:dyDescent="0.25">
      <c r="M2029" s="5">
        <v>41721</v>
      </c>
      <c r="N2029">
        <f t="shared" si="75"/>
        <v>13</v>
      </c>
      <c r="O2029">
        <v>30</v>
      </c>
    </row>
    <row r="2030" spans="13:15" x14ac:dyDescent="0.25">
      <c r="M2030" s="5">
        <v>41720</v>
      </c>
      <c r="N2030">
        <f t="shared" si="75"/>
        <v>13</v>
      </c>
      <c r="O2030">
        <v>30</v>
      </c>
    </row>
    <row r="2031" spans="13:15" x14ac:dyDescent="0.25">
      <c r="M2031" s="5">
        <v>41719</v>
      </c>
      <c r="N2031">
        <f t="shared" si="75"/>
        <v>13</v>
      </c>
      <c r="O2031">
        <v>30</v>
      </c>
    </row>
    <row r="2032" spans="13:15" x14ac:dyDescent="0.25">
      <c r="M2032" s="5">
        <v>41718</v>
      </c>
      <c r="N2032">
        <f t="shared" si="75"/>
        <v>13</v>
      </c>
      <c r="O2032">
        <v>30</v>
      </c>
    </row>
    <row r="2033" spans="13:15" x14ac:dyDescent="0.25">
      <c r="M2033" s="5">
        <v>41717</v>
      </c>
      <c r="N2033">
        <f t="shared" si="75"/>
        <v>13</v>
      </c>
      <c r="O2033">
        <v>30</v>
      </c>
    </row>
    <row r="2034" spans="13:15" x14ac:dyDescent="0.25">
      <c r="M2034" s="5">
        <v>41716</v>
      </c>
      <c r="N2034">
        <f t="shared" si="75"/>
        <v>13</v>
      </c>
      <c r="O2034">
        <v>30</v>
      </c>
    </row>
    <row r="2035" spans="13:15" x14ac:dyDescent="0.25">
      <c r="M2035" s="5">
        <v>41715</v>
      </c>
      <c r="N2035">
        <f t="shared" si="75"/>
        <v>13</v>
      </c>
      <c r="O2035">
        <v>30</v>
      </c>
    </row>
    <row r="2036" spans="13:15" x14ac:dyDescent="0.25">
      <c r="M2036" s="5">
        <v>41714</v>
      </c>
      <c r="N2036">
        <f t="shared" si="75"/>
        <v>12</v>
      </c>
      <c r="O2036">
        <v>30</v>
      </c>
    </row>
    <row r="2037" spans="13:15" x14ac:dyDescent="0.25">
      <c r="M2037" s="5">
        <v>41713</v>
      </c>
      <c r="N2037">
        <f t="shared" si="75"/>
        <v>12</v>
      </c>
      <c r="O2037">
        <v>30</v>
      </c>
    </row>
    <row r="2038" spans="13:15" x14ac:dyDescent="0.25">
      <c r="M2038" s="5">
        <v>41712</v>
      </c>
      <c r="N2038">
        <f t="shared" si="75"/>
        <v>12</v>
      </c>
      <c r="O2038">
        <v>30</v>
      </c>
    </row>
    <row r="2039" spans="13:15" x14ac:dyDescent="0.25">
      <c r="M2039" s="5">
        <v>41711</v>
      </c>
      <c r="N2039">
        <f t="shared" si="75"/>
        <v>12</v>
      </c>
      <c r="O2039">
        <v>30</v>
      </c>
    </row>
    <row r="2040" spans="13:15" x14ac:dyDescent="0.25">
      <c r="M2040" s="5">
        <v>41710</v>
      </c>
      <c r="N2040">
        <f t="shared" si="75"/>
        <v>12</v>
      </c>
      <c r="O2040">
        <v>30</v>
      </c>
    </row>
    <row r="2041" spans="13:15" x14ac:dyDescent="0.25">
      <c r="M2041" s="5">
        <v>41709</v>
      </c>
      <c r="N2041">
        <f t="shared" si="75"/>
        <v>12</v>
      </c>
      <c r="O2041">
        <v>30</v>
      </c>
    </row>
    <row r="2042" spans="13:15" x14ac:dyDescent="0.25">
      <c r="M2042" s="5">
        <v>41708</v>
      </c>
      <c r="N2042">
        <f t="shared" si="75"/>
        <v>12</v>
      </c>
      <c r="O2042">
        <v>30</v>
      </c>
    </row>
    <row r="2043" spans="13:15" x14ac:dyDescent="0.25">
      <c r="M2043" s="5">
        <v>41707</v>
      </c>
      <c r="N2043">
        <f t="shared" si="75"/>
        <v>11</v>
      </c>
      <c r="O2043">
        <v>30</v>
      </c>
    </row>
    <row r="2044" spans="13:15" x14ac:dyDescent="0.25">
      <c r="M2044" s="5">
        <v>41706</v>
      </c>
      <c r="N2044">
        <f t="shared" si="75"/>
        <v>11</v>
      </c>
      <c r="O2044">
        <v>30</v>
      </c>
    </row>
    <row r="2045" spans="13:15" x14ac:dyDescent="0.25">
      <c r="M2045" s="5">
        <v>41705</v>
      </c>
      <c r="N2045">
        <f t="shared" si="75"/>
        <v>11</v>
      </c>
      <c r="O2045">
        <v>30</v>
      </c>
    </row>
    <row r="2046" spans="13:15" x14ac:dyDescent="0.25">
      <c r="M2046" s="5">
        <v>41704</v>
      </c>
      <c r="N2046">
        <f t="shared" si="75"/>
        <v>11</v>
      </c>
      <c r="O2046">
        <v>30</v>
      </c>
    </row>
    <row r="2047" spans="13:15" x14ac:dyDescent="0.25">
      <c r="M2047" s="5">
        <v>41703</v>
      </c>
      <c r="N2047">
        <f t="shared" ref="N2047:N2078" si="76">N2040-1</f>
        <v>11</v>
      </c>
      <c r="O2047">
        <v>30</v>
      </c>
    </row>
    <row r="2048" spans="13:15" x14ac:dyDescent="0.25">
      <c r="M2048" s="5">
        <v>41702</v>
      </c>
      <c r="N2048">
        <f t="shared" si="76"/>
        <v>11</v>
      </c>
      <c r="O2048">
        <v>30</v>
      </c>
    </row>
    <row r="2049" spans="13:15" x14ac:dyDescent="0.25">
      <c r="M2049" s="5">
        <v>41701</v>
      </c>
      <c r="N2049">
        <f t="shared" si="76"/>
        <v>11</v>
      </c>
      <c r="O2049">
        <v>30</v>
      </c>
    </row>
    <row r="2050" spans="13:15" x14ac:dyDescent="0.25">
      <c r="M2050" s="5">
        <v>41700</v>
      </c>
      <c r="N2050">
        <f t="shared" si="76"/>
        <v>10</v>
      </c>
      <c r="O2050">
        <v>30</v>
      </c>
    </row>
    <row r="2051" spans="13:15" x14ac:dyDescent="0.25">
      <c r="M2051" s="5">
        <v>41699</v>
      </c>
      <c r="N2051">
        <f t="shared" si="76"/>
        <v>10</v>
      </c>
      <c r="O2051">
        <v>30</v>
      </c>
    </row>
    <row r="2052" spans="13:15" x14ac:dyDescent="0.25">
      <c r="M2052" s="5">
        <v>41698</v>
      </c>
      <c r="N2052">
        <f t="shared" si="76"/>
        <v>10</v>
      </c>
      <c r="O2052">
        <v>30</v>
      </c>
    </row>
    <row r="2053" spans="13:15" x14ac:dyDescent="0.25">
      <c r="M2053" s="5">
        <v>41697</v>
      </c>
      <c r="N2053">
        <f t="shared" si="76"/>
        <v>10</v>
      </c>
      <c r="O2053">
        <v>30</v>
      </c>
    </row>
    <row r="2054" spans="13:15" x14ac:dyDescent="0.25">
      <c r="M2054" s="5">
        <v>41696</v>
      </c>
      <c r="N2054">
        <f t="shared" si="76"/>
        <v>10</v>
      </c>
      <c r="O2054">
        <v>30</v>
      </c>
    </row>
    <row r="2055" spans="13:15" x14ac:dyDescent="0.25">
      <c r="M2055" s="5">
        <v>41695</v>
      </c>
      <c r="N2055">
        <f t="shared" si="76"/>
        <v>10</v>
      </c>
      <c r="O2055">
        <v>30</v>
      </c>
    </row>
    <row r="2056" spans="13:15" x14ac:dyDescent="0.25">
      <c r="M2056" s="5">
        <v>41694</v>
      </c>
      <c r="N2056">
        <f t="shared" si="76"/>
        <v>10</v>
      </c>
      <c r="O2056">
        <v>30</v>
      </c>
    </row>
    <row r="2057" spans="13:15" x14ac:dyDescent="0.25">
      <c r="M2057" s="5">
        <v>41693</v>
      </c>
      <c r="N2057">
        <f t="shared" si="76"/>
        <v>9</v>
      </c>
      <c r="O2057">
        <v>30</v>
      </c>
    </row>
    <row r="2058" spans="13:15" x14ac:dyDescent="0.25">
      <c r="M2058" s="5">
        <v>41692</v>
      </c>
      <c r="N2058">
        <f t="shared" si="76"/>
        <v>9</v>
      </c>
      <c r="O2058">
        <v>30</v>
      </c>
    </row>
    <row r="2059" spans="13:15" x14ac:dyDescent="0.25">
      <c r="M2059" s="5">
        <v>41691</v>
      </c>
      <c r="N2059">
        <f t="shared" si="76"/>
        <v>9</v>
      </c>
      <c r="O2059">
        <v>30</v>
      </c>
    </row>
    <row r="2060" spans="13:15" x14ac:dyDescent="0.25">
      <c r="M2060" s="5">
        <v>41690</v>
      </c>
      <c r="N2060">
        <f t="shared" si="76"/>
        <v>9</v>
      </c>
      <c r="O2060">
        <v>30</v>
      </c>
    </row>
    <row r="2061" spans="13:15" x14ac:dyDescent="0.25">
      <c r="M2061" s="5">
        <v>41689</v>
      </c>
      <c r="N2061">
        <f t="shared" si="76"/>
        <v>9</v>
      </c>
      <c r="O2061">
        <v>30</v>
      </c>
    </row>
    <row r="2062" spans="13:15" x14ac:dyDescent="0.25">
      <c r="M2062" s="5">
        <v>41688</v>
      </c>
      <c r="N2062">
        <f t="shared" si="76"/>
        <v>9</v>
      </c>
      <c r="O2062">
        <v>30</v>
      </c>
    </row>
    <row r="2063" spans="13:15" x14ac:dyDescent="0.25">
      <c r="M2063" s="5">
        <v>41687</v>
      </c>
      <c r="N2063">
        <f t="shared" si="76"/>
        <v>9</v>
      </c>
      <c r="O2063">
        <v>30</v>
      </c>
    </row>
    <row r="2064" spans="13:15" x14ac:dyDescent="0.25">
      <c r="M2064" s="5">
        <v>41686</v>
      </c>
      <c r="N2064">
        <f t="shared" si="76"/>
        <v>8</v>
      </c>
      <c r="O2064">
        <v>30</v>
      </c>
    </row>
    <row r="2065" spans="13:15" x14ac:dyDescent="0.25">
      <c r="M2065" s="5">
        <v>41685</v>
      </c>
      <c r="N2065">
        <f t="shared" si="76"/>
        <v>8</v>
      </c>
      <c r="O2065">
        <v>30</v>
      </c>
    </row>
    <row r="2066" spans="13:15" x14ac:dyDescent="0.25">
      <c r="M2066" s="5">
        <v>41684</v>
      </c>
      <c r="N2066">
        <f t="shared" si="76"/>
        <v>8</v>
      </c>
      <c r="O2066">
        <v>30</v>
      </c>
    </row>
    <row r="2067" spans="13:15" x14ac:dyDescent="0.25">
      <c r="M2067" s="5">
        <v>41683</v>
      </c>
      <c r="N2067">
        <f t="shared" si="76"/>
        <v>8</v>
      </c>
      <c r="O2067">
        <v>30</v>
      </c>
    </row>
    <row r="2068" spans="13:15" x14ac:dyDescent="0.25">
      <c r="M2068" s="5">
        <v>41682</v>
      </c>
      <c r="N2068">
        <f t="shared" si="76"/>
        <v>8</v>
      </c>
      <c r="O2068">
        <v>30</v>
      </c>
    </row>
    <row r="2069" spans="13:15" x14ac:dyDescent="0.25">
      <c r="M2069" s="5">
        <v>41681</v>
      </c>
      <c r="N2069">
        <f t="shared" si="76"/>
        <v>8</v>
      </c>
      <c r="O2069">
        <v>30</v>
      </c>
    </row>
    <row r="2070" spans="13:15" x14ac:dyDescent="0.25">
      <c r="M2070" s="5">
        <v>41680</v>
      </c>
      <c r="N2070">
        <f t="shared" si="76"/>
        <v>8</v>
      </c>
      <c r="O2070">
        <v>30</v>
      </c>
    </row>
    <row r="2071" spans="13:15" x14ac:dyDescent="0.25">
      <c r="M2071" s="5">
        <v>41679</v>
      </c>
      <c r="N2071">
        <f t="shared" si="76"/>
        <v>7</v>
      </c>
      <c r="O2071">
        <v>30</v>
      </c>
    </row>
    <row r="2072" spans="13:15" x14ac:dyDescent="0.25">
      <c r="M2072" s="5">
        <v>41678</v>
      </c>
      <c r="N2072">
        <f t="shared" si="76"/>
        <v>7</v>
      </c>
      <c r="O2072">
        <v>30</v>
      </c>
    </row>
    <row r="2073" spans="13:15" x14ac:dyDescent="0.25">
      <c r="M2073" s="5">
        <v>41677</v>
      </c>
      <c r="N2073">
        <f t="shared" si="76"/>
        <v>7</v>
      </c>
      <c r="O2073">
        <v>30</v>
      </c>
    </row>
    <row r="2074" spans="13:15" x14ac:dyDescent="0.25">
      <c r="M2074" s="5">
        <v>41676</v>
      </c>
      <c r="N2074">
        <f t="shared" si="76"/>
        <v>7</v>
      </c>
      <c r="O2074">
        <v>30</v>
      </c>
    </row>
    <row r="2075" spans="13:15" x14ac:dyDescent="0.25">
      <c r="M2075" s="5">
        <v>41675</v>
      </c>
      <c r="N2075">
        <f t="shared" si="76"/>
        <v>7</v>
      </c>
      <c r="O2075">
        <v>30</v>
      </c>
    </row>
    <row r="2076" spans="13:15" x14ac:dyDescent="0.25">
      <c r="M2076" s="5">
        <v>41674</v>
      </c>
      <c r="N2076">
        <f t="shared" si="76"/>
        <v>7</v>
      </c>
      <c r="O2076">
        <v>30</v>
      </c>
    </row>
    <row r="2077" spans="13:15" x14ac:dyDescent="0.25">
      <c r="M2077" s="5">
        <v>41673</v>
      </c>
      <c r="N2077">
        <f t="shared" si="76"/>
        <v>7</v>
      </c>
      <c r="O2077">
        <v>30</v>
      </c>
    </row>
    <row r="2078" spans="13:15" x14ac:dyDescent="0.25">
      <c r="M2078" s="5">
        <v>41672</v>
      </c>
      <c r="N2078">
        <f t="shared" si="76"/>
        <v>6</v>
      </c>
      <c r="O2078">
        <v>30</v>
      </c>
    </row>
    <row r="2079" spans="13:15" x14ac:dyDescent="0.25">
      <c r="M2079" s="5">
        <v>41671</v>
      </c>
      <c r="N2079">
        <f t="shared" ref="N2079:N2110" si="77">N2072-1</f>
        <v>6</v>
      </c>
      <c r="O2079">
        <v>30</v>
      </c>
    </row>
    <row r="2080" spans="13:15" x14ac:dyDescent="0.25">
      <c r="M2080" s="5">
        <v>41670</v>
      </c>
      <c r="N2080">
        <f t="shared" si="77"/>
        <v>6</v>
      </c>
      <c r="O2080">
        <v>30</v>
      </c>
    </row>
    <row r="2081" spans="13:15" x14ac:dyDescent="0.25">
      <c r="M2081" s="5">
        <v>41669</v>
      </c>
      <c r="N2081">
        <f t="shared" si="77"/>
        <v>6</v>
      </c>
      <c r="O2081">
        <v>30</v>
      </c>
    </row>
    <row r="2082" spans="13:15" x14ac:dyDescent="0.25">
      <c r="M2082" s="5">
        <v>41668</v>
      </c>
      <c r="N2082">
        <f t="shared" si="77"/>
        <v>6</v>
      </c>
      <c r="O2082">
        <v>30</v>
      </c>
    </row>
    <row r="2083" spans="13:15" x14ac:dyDescent="0.25">
      <c r="M2083" s="5">
        <v>41667</v>
      </c>
      <c r="N2083">
        <f t="shared" si="77"/>
        <v>6</v>
      </c>
      <c r="O2083">
        <v>30</v>
      </c>
    </row>
    <row r="2084" spans="13:15" x14ac:dyDescent="0.25">
      <c r="M2084" s="5">
        <v>41666</v>
      </c>
      <c r="N2084">
        <f t="shared" si="77"/>
        <v>6</v>
      </c>
      <c r="O2084">
        <v>30</v>
      </c>
    </row>
    <row r="2085" spans="13:15" x14ac:dyDescent="0.25">
      <c r="M2085" s="5">
        <v>41665</v>
      </c>
      <c r="N2085">
        <f t="shared" si="77"/>
        <v>5</v>
      </c>
      <c r="O2085">
        <v>30</v>
      </c>
    </row>
    <row r="2086" spans="13:15" x14ac:dyDescent="0.25">
      <c r="M2086" s="5">
        <v>41664</v>
      </c>
      <c r="N2086">
        <f t="shared" si="77"/>
        <v>5</v>
      </c>
      <c r="O2086">
        <v>30</v>
      </c>
    </row>
    <row r="2087" spans="13:15" x14ac:dyDescent="0.25">
      <c r="M2087" s="5">
        <v>41663</v>
      </c>
      <c r="N2087">
        <f t="shared" si="77"/>
        <v>5</v>
      </c>
      <c r="O2087">
        <v>30</v>
      </c>
    </row>
    <row r="2088" spans="13:15" x14ac:dyDescent="0.25">
      <c r="M2088" s="5">
        <v>41662</v>
      </c>
      <c r="N2088">
        <f t="shared" si="77"/>
        <v>5</v>
      </c>
      <c r="O2088">
        <v>30</v>
      </c>
    </row>
    <row r="2089" spans="13:15" x14ac:dyDescent="0.25">
      <c r="M2089" s="5">
        <v>41661</v>
      </c>
      <c r="N2089">
        <f t="shared" si="77"/>
        <v>5</v>
      </c>
      <c r="O2089">
        <v>30</v>
      </c>
    </row>
    <row r="2090" spans="13:15" x14ac:dyDescent="0.25">
      <c r="M2090" s="5">
        <v>41660</v>
      </c>
      <c r="N2090">
        <f t="shared" si="77"/>
        <v>5</v>
      </c>
      <c r="O2090">
        <v>30</v>
      </c>
    </row>
    <row r="2091" spans="13:15" x14ac:dyDescent="0.25">
      <c r="M2091" s="5">
        <v>41659</v>
      </c>
      <c r="N2091">
        <f t="shared" si="77"/>
        <v>5</v>
      </c>
      <c r="O2091">
        <v>30</v>
      </c>
    </row>
    <row r="2092" spans="13:15" x14ac:dyDescent="0.25">
      <c r="M2092" s="5">
        <v>41658</v>
      </c>
      <c r="N2092">
        <f t="shared" si="77"/>
        <v>4</v>
      </c>
      <c r="O2092">
        <v>30</v>
      </c>
    </row>
    <row r="2093" spans="13:15" x14ac:dyDescent="0.25">
      <c r="M2093" s="5">
        <v>41657</v>
      </c>
      <c r="N2093">
        <f t="shared" si="77"/>
        <v>4</v>
      </c>
      <c r="O2093">
        <v>30</v>
      </c>
    </row>
    <row r="2094" spans="13:15" x14ac:dyDescent="0.25">
      <c r="M2094" s="5">
        <v>41656</v>
      </c>
      <c r="N2094">
        <f t="shared" si="77"/>
        <v>4</v>
      </c>
      <c r="O2094">
        <v>30</v>
      </c>
    </row>
    <row r="2095" spans="13:15" x14ac:dyDescent="0.25">
      <c r="M2095" s="5">
        <v>41655</v>
      </c>
      <c r="N2095">
        <f t="shared" si="77"/>
        <v>4</v>
      </c>
      <c r="O2095">
        <v>30</v>
      </c>
    </row>
    <row r="2096" spans="13:15" x14ac:dyDescent="0.25">
      <c r="M2096" s="5">
        <v>41654</v>
      </c>
      <c r="N2096">
        <f t="shared" si="77"/>
        <v>4</v>
      </c>
      <c r="O2096">
        <v>30</v>
      </c>
    </row>
    <row r="2097" spans="13:15" x14ac:dyDescent="0.25">
      <c r="M2097" s="5">
        <v>41653</v>
      </c>
      <c r="N2097">
        <f t="shared" si="77"/>
        <v>4</v>
      </c>
      <c r="O2097">
        <v>30</v>
      </c>
    </row>
    <row r="2098" spans="13:15" x14ac:dyDescent="0.25">
      <c r="M2098" s="5">
        <v>41652</v>
      </c>
      <c r="N2098">
        <f t="shared" si="77"/>
        <v>4</v>
      </c>
      <c r="O2098">
        <v>30</v>
      </c>
    </row>
    <row r="2099" spans="13:15" x14ac:dyDescent="0.25">
      <c r="M2099" s="5">
        <v>41651</v>
      </c>
      <c r="N2099">
        <f t="shared" si="77"/>
        <v>3</v>
      </c>
      <c r="O2099">
        <v>30</v>
      </c>
    </row>
    <row r="2100" spans="13:15" x14ac:dyDescent="0.25">
      <c r="M2100" s="5">
        <v>41650</v>
      </c>
      <c r="N2100">
        <f t="shared" si="77"/>
        <v>3</v>
      </c>
      <c r="O2100">
        <v>30</v>
      </c>
    </row>
    <row r="2101" spans="13:15" x14ac:dyDescent="0.25">
      <c r="M2101" s="5">
        <v>41649</v>
      </c>
      <c r="N2101">
        <f t="shared" si="77"/>
        <v>3</v>
      </c>
      <c r="O2101">
        <v>30</v>
      </c>
    </row>
    <row r="2102" spans="13:15" x14ac:dyDescent="0.25">
      <c r="M2102" s="5">
        <v>41648</v>
      </c>
      <c r="N2102">
        <f t="shared" si="77"/>
        <v>3</v>
      </c>
      <c r="O2102">
        <v>30</v>
      </c>
    </row>
    <row r="2103" spans="13:15" x14ac:dyDescent="0.25">
      <c r="M2103" s="5">
        <v>41647</v>
      </c>
      <c r="N2103">
        <f t="shared" si="77"/>
        <v>3</v>
      </c>
      <c r="O2103">
        <v>30</v>
      </c>
    </row>
    <row r="2104" spans="13:15" x14ac:dyDescent="0.25">
      <c r="M2104" s="5">
        <v>41646</v>
      </c>
      <c r="N2104">
        <f t="shared" si="77"/>
        <v>3</v>
      </c>
      <c r="O2104">
        <v>30</v>
      </c>
    </row>
    <row r="2105" spans="13:15" x14ac:dyDescent="0.25">
      <c r="M2105" s="5">
        <v>41645</v>
      </c>
      <c r="N2105">
        <f t="shared" si="77"/>
        <v>3</v>
      </c>
      <c r="O2105">
        <v>30</v>
      </c>
    </row>
    <row r="2106" spans="13:15" x14ac:dyDescent="0.25">
      <c r="M2106" s="5">
        <v>41644</v>
      </c>
      <c r="N2106">
        <f t="shared" si="77"/>
        <v>2</v>
      </c>
      <c r="O2106">
        <v>30</v>
      </c>
    </row>
    <row r="2107" spans="13:15" x14ac:dyDescent="0.25">
      <c r="M2107" s="5">
        <v>41643</v>
      </c>
      <c r="N2107">
        <f t="shared" si="77"/>
        <v>2</v>
      </c>
      <c r="O2107">
        <v>30</v>
      </c>
    </row>
    <row r="2108" spans="13:15" x14ac:dyDescent="0.25">
      <c r="M2108" s="5">
        <v>41642</v>
      </c>
      <c r="N2108">
        <f t="shared" si="77"/>
        <v>2</v>
      </c>
      <c r="O2108">
        <v>30</v>
      </c>
    </row>
    <row r="2109" spans="13:15" x14ac:dyDescent="0.25">
      <c r="M2109" s="5">
        <v>41641</v>
      </c>
      <c r="N2109">
        <f t="shared" si="77"/>
        <v>2</v>
      </c>
      <c r="O2109">
        <v>30</v>
      </c>
    </row>
    <row r="2110" spans="13:15" x14ac:dyDescent="0.25">
      <c r="M2110" s="5">
        <v>41640</v>
      </c>
      <c r="N2110">
        <f t="shared" si="77"/>
        <v>2</v>
      </c>
      <c r="O2110">
        <v>30</v>
      </c>
    </row>
    <row r="2111" spans="13:15" x14ac:dyDescent="0.25">
      <c r="M2111" s="5">
        <v>41639</v>
      </c>
      <c r="N2111">
        <f t="shared" ref="N2111:N2119" si="78">N2104-1</f>
        <v>2</v>
      </c>
      <c r="O2111">
        <v>30</v>
      </c>
    </row>
    <row r="2112" spans="13:15" x14ac:dyDescent="0.25">
      <c r="M2112" s="5">
        <v>41638</v>
      </c>
      <c r="N2112">
        <f t="shared" si="78"/>
        <v>2</v>
      </c>
      <c r="O2112">
        <v>30</v>
      </c>
    </row>
    <row r="2113" spans="13:15" x14ac:dyDescent="0.25">
      <c r="M2113" s="5">
        <v>41637</v>
      </c>
      <c r="N2113">
        <f t="shared" si="78"/>
        <v>1</v>
      </c>
      <c r="O2113">
        <v>30</v>
      </c>
    </row>
    <row r="2114" spans="13:15" x14ac:dyDescent="0.25">
      <c r="M2114" s="5">
        <v>41636</v>
      </c>
      <c r="N2114">
        <f t="shared" si="78"/>
        <v>1</v>
      </c>
      <c r="O2114">
        <v>30</v>
      </c>
    </row>
    <row r="2115" spans="13:15" x14ac:dyDescent="0.25">
      <c r="M2115" s="5">
        <v>41635</v>
      </c>
      <c r="N2115">
        <f t="shared" si="78"/>
        <v>1</v>
      </c>
      <c r="O2115">
        <v>30</v>
      </c>
    </row>
    <row r="2116" spans="13:15" x14ac:dyDescent="0.25">
      <c r="M2116" s="5">
        <v>41634</v>
      </c>
      <c r="N2116">
        <f t="shared" si="78"/>
        <v>1</v>
      </c>
      <c r="O2116">
        <v>30</v>
      </c>
    </row>
    <row r="2117" spans="13:15" x14ac:dyDescent="0.25">
      <c r="M2117" s="5">
        <v>41633</v>
      </c>
      <c r="N2117">
        <f t="shared" si="78"/>
        <v>1</v>
      </c>
      <c r="O2117">
        <v>30</v>
      </c>
    </row>
    <row r="2118" spans="13:15" x14ac:dyDescent="0.25">
      <c r="M2118" s="5">
        <v>41632</v>
      </c>
      <c r="N2118">
        <f t="shared" si="78"/>
        <v>1</v>
      </c>
      <c r="O2118">
        <v>30</v>
      </c>
    </row>
    <row r="2119" spans="13:15" x14ac:dyDescent="0.25">
      <c r="M2119" s="5">
        <v>41631</v>
      </c>
      <c r="N2119">
        <f t="shared" si="78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9">N2120-1</f>
        <v>15</v>
      </c>
      <c r="O2127">
        <v>29</v>
      </c>
    </row>
    <row r="2128" spans="13:15" x14ac:dyDescent="0.25">
      <c r="M2128" s="5">
        <v>41622</v>
      </c>
      <c r="N2128">
        <f t="shared" si="79"/>
        <v>15</v>
      </c>
      <c r="O2128">
        <v>29</v>
      </c>
    </row>
    <row r="2129" spans="13:15" x14ac:dyDescent="0.25">
      <c r="M2129" s="5">
        <v>41621</v>
      </c>
      <c r="N2129">
        <f t="shared" si="79"/>
        <v>15</v>
      </c>
      <c r="O2129">
        <v>29</v>
      </c>
    </row>
    <row r="2130" spans="13:15" x14ac:dyDescent="0.25">
      <c r="M2130" s="5">
        <v>41620</v>
      </c>
      <c r="N2130">
        <f t="shared" si="79"/>
        <v>15</v>
      </c>
      <c r="O2130">
        <v>29</v>
      </c>
    </row>
    <row r="2131" spans="13:15" x14ac:dyDescent="0.25">
      <c r="M2131" s="5">
        <v>41619</v>
      </c>
      <c r="N2131">
        <f t="shared" si="79"/>
        <v>15</v>
      </c>
      <c r="O2131">
        <v>29</v>
      </c>
    </row>
    <row r="2132" spans="13:15" x14ac:dyDescent="0.25">
      <c r="M2132" s="5">
        <v>41618</v>
      </c>
      <c r="N2132">
        <f t="shared" si="79"/>
        <v>15</v>
      </c>
      <c r="O2132">
        <v>29</v>
      </c>
    </row>
    <row r="2133" spans="13:15" x14ac:dyDescent="0.25">
      <c r="M2133" s="5">
        <v>41617</v>
      </c>
      <c r="N2133">
        <f t="shared" si="79"/>
        <v>15</v>
      </c>
      <c r="O2133">
        <v>29</v>
      </c>
    </row>
    <row r="2134" spans="13:15" x14ac:dyDescent="0.25">
      <c r="M2134" s="5">
        <v>41616</v>
      </c>
      <c r="N2134">
        <f t="shared" si="79"/>
        <v>14</v>
      </c>
      <c r="O2134">
        <v>29</v>
      </c>
    </row>
    <row r="2135" spans="13:15" x14ac:dyDescent="0.25">
      <c r="M2135" s="5">
        <v>41615</v>
      </c>
      <c r="N2135">
        <f t="shared" si="79"/>
        <v>14</v>
      </c>
      <c r="O2135">
        <v>29</v>
      </c>
    </row>
    <row r="2136" spans="13:15" x14ac:dyDescent="0.25">
      <c r="M2136" s="5">
        <v>41614</v>
      </c>
      <c r="N2136">
        <f t="shared" si="79"/>
        <v>14</v>
      </c>
      <c r="O2136">
        <v>29</v>
      </c>
    </row>
    <row r="2137" spans="13:15" x14ac:dyDescent="0.25">
      <c r="M2137" s="5">
        <v>41613</v>
      </c>
      <c r="N2137">
        <f t="shared" si="79"/>
        <v>14</v>
      </c>
      <c r="O2137">
        <v>29</v>
      </c>
    </row>
    <row r="2138" spans="13:15" x14ac:dyDescent="0.25">
      <c r="M2138" s="5">
        <v>41612</v>
      </c>
      <c r="N2138">
        <f t="shared" si="79"/>
        <v>14</v>
      </c>
      <c r="O2138">
        <v>29</v>
      </c>
    </row>
    <row r="2139" spans="13:15" x14ac:dyDescent="0.25">
      <c r="M2139" s="5">
        <v>41611</v>
      </c>
      <c r="N2139">
        <f t="shared" si="79"/>
        <v>14</v>
      </c>
      <c r="O2139">
        <v>29</v>
      </c>
    </row>
    <row r="2140" spans="13:15" x14ac:dyDescent="0.25">
      <c r="M2140" s="5">
        <v>41610</v>
      </c>
      <c r="N2140">
        <f t="shared" si="79"/>
        <v>14</v>
      </c>
      <c r="O2140">
        <v>29</v>
      </c>
    </row>
    <row r="2141" spans="13:15" x14ac:dyDescent="0.25">
      <c r="M2141" s="5">
        <v>41609</v>
      </c>
      <c r="N2141">
        <f t="shared" si="79"/>
        <v>13</v>
      </c>
      <c r="O2141">
        <v>29</v>
      </c>
    </row>
    <row r="2142" spans="13:15" x14ac:dyDescent="0.25">
      <c r="M2142" s="5">
        <v>41608</v>
      </c>
      <c r="N2142">
        <f t="shared" si="79"/>
        <v>13</v>
      </c>
      <c r="O2142">
        <v>29</v>
      </c>
    </row>
    <row r="2143" spans="13:15" x14ac:dyDescent="0.25">
      <c r="M2143" s="5">
        <v>41607</v>
      </c>
      <c r="N2143">
        <f t="shared" si="79"/>
        <v>13</v>
      </c>
      <c r="O2143">
        <v>29</v>
      </c>
    </row>
    <row r="2144" spans="13:15" x14ac:dyDescent="0.25">
      <c r="M2144" s="5">
        <v>41606</v>
      </c>
      <c r="N2144">
        <f t="shared" si="79"/>
        <v>13</v>
      </c>
      <c r="O2144">
        <v>29</v>
      </c>
    </row>
    <row r="2145" spans="13:15" x14ac:dyDescent="0.25">
      <c r="M2145" s="5">
        <v>41605</v>
      </c>
      <c r="N2145">
        <f t="shared" si="79"/>
        <v>13</v>
      </c>
      <c r="O2145">
        <v>29</v>
      </c>
    </row>
    <row r="2146" spans="13:15" x14ac:dyDescent="0.25">
      <c r="M2146" s="5">
        <v>41604</v>
      </c>
      <c r="N2146">
        <f t="shared" si="79"/>
        <v>13</v>
      </c>
      <c r="O2146">
        <v>29</v>
      </c>
    </row>
    <row r="2147" spans="13:15" x14ac:dyDescent="0.25">
      <c r="M2147" s="5">
        <v>41603</v>
      </c>
      <c r="N2147">
        <f t="shared" si="79"/>
        <v>13</v>
      </c>
      <c r="O2147">
        <v>29</v>
      </c>
    </row>
    <row r="2148" spans="13:15" x14ac:dyDescent="0.25">
      <c r="M2148" s="5">
        <v>41602</v>
      </c>
      <c r="N2148">
        <f t="shared" si="79"/>
        <v>12</v>
      </c>
      <c r="O2148">
        <v>29</v>
      </c>
    </row>
    <row r="2149" spans="13:15" x14ac:dyDescent="0.25">
      <c r="M2149" s="5">
        <v>41601</v>
      </c>
      <c r="N2149">
        <f t="shared" si="79"/>
        <v>12</v>
      </c>
      <c r="O2149">
        <v>29</v>
      </c>
    </row>
    <row r="2150" spans="13:15" x14ac:dyDescent="0.25">
      <c r="M2150" s="5">
        <v>41600</v>
      </c>
      <c r="N2150">
        <f t="shared" si="79"/>
        <v>12</v>
      </c>
      <c r="O2150">
        <v>29</v>
      </c>
    </row>
    <row r="2151" spans="13:15" x14ac:dyDescent="0.25">
      <c r="M2151" s="5">
        <v>41599</v>
      </c>
      <c r="N2151">
        <f t="shared" si="79"/>
        <v>12</v>
      </c>
      <c r="O2151">
        <v>29</v>
      </c>
    </row>
    <row r="2152" spans="13:15" x14ac:dyDescent="0.25">
      <c r="M2152" s="5">
        <v>41598</v>
      </c>
      <c r="N2152">
        <f t="shared" si="79"/>
        <v>12</v>
      </c>
      <c r="O2152">
        <v>29</v>
      </c>
    </row>
    <row r="2153" spans="13:15" x14ac:dyDescent="0.25">
      <c r="M2153" s="5">
        <v>41597</v>
      </c>
      <c r="N2153">
        <f t="shared" si="79"/>
        <v>12</v>
      </c>
      <c r="O2153">
        <v>29</v>
      </c>
    </row>
    <row r="2154" spans="13:15" x14ac:dyDescent="0.25">
      <c r="M2154" s="5">
        <v>41596</v>
      </c>
      <c r="N2154">
        <f t="shared" si="79"/>
        <v>12</v>
      </c>
      <c r="O2154">
        <v>29</v>
      </c>
    </row>
    <row r="2155" spans="13:15" x14ac:dyDescent="0.25">
      <c r="M2155" s="5">
        <v>41595</v>
      </c>
      <c r="N2155">
        <f t="shared" si="79"/>
        <v>11</v>
      </c>
      <c r="O2155">
        <v>29</v>
      </c>
    </row>
    <row r="2156" spans="13:15" x14ac:dyDescent="0.25">
      <c r="M2156" s="5">
        <v>41594</v>
      </c>
      <c r="N2156">
        <f t="shared" si="79"/>
        <v>11</v>
      </c>
      <c r="O2156">
        <v>29</v>
      </c>
    </row>
    <row r="2157" spans="13:15" x14ac:dyDescent="0.25">
      <c r="M2157" s="5">
        <v>41593</v>
      </c>
      <c r="N2157">
        <f t="shared" si="79"/>
        <v>11</v>
      </c>
      <c r="O2157">
        <v>29</v>
      </c>
    </row>
    <row r="2158" spans="13:15" x14ac:dyDescent="0.25">
      <c r="M2158" s="5">
        <v>41592</v>
      </c>
      <c r="N2158">
        <f t="shared" si="79"/>
        <v>11</v>
      </c>
      <c r="O2158">
        <v>29</v>
      </c>
    </row>
    <row r="2159" spans="13:15" x14ac:dyDescent="0.25">
      <c r="M2159" s="5">
        <v>41591</v>
      </c>
      <c r="N2159">
        <f t="shared" ref="N2159:N2190" si="80">N2152-1</f>
        <v>11</v>
      </c>
      <c r="O2159">
        <v>29</v>
      </c>
    </row>
    <row r="2160" spans="13:15" x14ac:dyDescent="0.25">
      <c r="M2160" s="5">
        <v>41590</v>
      </c>
      <c r="N2160">
        <f t="shared" si="80"/>
        <v>11</v>
      </c>
      <c r="O2160">
        <v>29</v>
      </c>
    </row>
    <row r="2161" spans="13:15" x14ac:dyDescent="0.25">
      <c r="M2161" s="5">
        <v>41589</v>
      </c>
      <c r="N2161">
        <f t="shared" si="80"/>
        <v>11</v>
      </c>
      <c r="O2161">
        <v>29</v>
      </c>
    </row>
    <row r="2162" spans="13:15" x14ac:dyDescent="0.25">
      <c r="M2162" s="5">
        <v>41588</v>
      </c>
      <c r="N2162">
        <f t="shared" si="80"/>
        <v>10</v>
      </c>
      <c r="O2162">
        <v>29</v>
      </c>
    </row>
    <row r="2163" spans="13:15" x14ac:dyDescent="0.25">
      <c r="M2163" s="5">
        <v>41587</v>
      </c>
      <c r="N2163">
        <f t="shared" si="80"/>
        <v>10</v>
      </c>
      <c r="O2163">
        <v>29</v>
      </c>
    </row>
    <row r="2164" spans="13:15" x14ac:dyDescent="0.25">
      <c r="M2164" s="5">
        <v>41586</v>
      </c>
      <c r="N2164">
        <f t="shared" si="80"/>
        <v>10</v>
      </c>
      <c r="O2164">
        <v>29</v>
      </c>
    </row>
    <row r="2165" spans="13:15" x14ac:dyDescent="0.25">
      <c r="M2165" s="5">
        <v>41585</v>
      </c>
      <c r="N2165">
        <f t="shared" si="80"/>
        <v>10</v>
      </c>
      <c r="O2165">
        <v>29</v>
      </c>
    </row>
    <row r="2166" spans="13:15" x14ac:dyDescent="0.25">
      <c r="M2166" s="5">
        <v>41584</v>
      </c>
      <c r="N2166">
        <f t="shared" si="80"/>
        <v>10</v>
      </c>
      <c r="O2166">
        <v>29</v>
      </c>
    </row>
    <row r="2167" spans="13:15" x14ac:dyDescent="0.25">
      <c r="M2167" s="5">
        <v>41583</v>
      </c>
      <c r="N2167">
        <f t="shared" si="80"/>
        <v>10</v>
      </c>
      <c r="O2167">
        <v>29</v>
      </c>
    </row>
    <row r="2168" spans="13:15" x14ac:dyDescent="0.25">
      <c r="M2168" s="5">
        <v>41582</v>
      </c>
      <c r="N2168">
        <f t="shared" si="80"/>
        <v>10</v>
      </c>
      <c r="O2168">
        <v>29</v>
      </c>
    </row>
    <row r="2169" spans="13:15" x14ac:dyDescent="0.25">
      <c r="M2169" s="5">
        <v>41581</v>
      </c>
      <c r="N2169">
        <f t="shared" si="80"/>
        <v>9</v>
      </c>
      <c r="O2169">
        <v>29</v>
      </c>
    </row>
    <row r="2170" spans="13:15" x14ac:dyDescent="0.25">
      <c r="M2170" s="5">
        <v>41580</v>
      </c>
      <c r="N2170">
        <f t="shared" si="80"/>
        <v>9</v>
      </c>
      <c r="O2170">
        <v>29</v>
      </c>
    </row>
    <row r="2171" spans="13:15" x14ac:dyDescent="0.25">
      <c r="M2171" s="5">
        <v>41579</v>
      </c>
      <c r="N2171">
        <f t="shared" si="80"/>
        <v>9</v>
      </c>
      <c r="O2171">
        <v>29</v>
      </c>
    </row>
    <row r="2172" spans="13:15" x14ac:dyDescent="0.25">
      <c r="M2172" s="5">
        <v>41578</v>
      </c>
      <c r="N2172">
        <f t="shared" si="80"/>
        <v>9</v>
      </c>
      <c r="O2172">
        <v>29</v>
      </c>
    </row>
    <row r="2173" spans="13:15" x14ac:dyDescent="0.25">
      <c r="M2173" s="5">
        <v>41577</v>
      </c>
      <c r="N2173">
        <f t="shared" si="80"/>
        <v>9</v>
      </c>
      <c r="O2173">
        <v>29</v>
      </c>
    </row>
    <row r="2174" spans="13:15" x14ac:dyDescent="0.25">
      <c r="M2174" s="5">
        <v>41576</v>
      </c>
      <c r="N2174">
        <f t="shared" si="80"/>
        <v>9</v>
      </c>
      <c r="O2174">
        <v>29</v>
      </c>
    </row>
    <row r="2175" spans="13:15" x14ac:dyDescent="0.25">
      <c r="M2175" s="5">
        <v>41575</v>
      </c>
      <c r="N2175">
        <f t="shared" si="80"/>
        <v>9</v>
      </c>
      <c r="O2175">
        <v>29</v>
      </c>
    </row>
    <row r="2176" spans="13:15" x14ac:dyDescent="0.25">
      <c r="M2176" s="5">
        <v>41574</v>
      </c>
      <c r="N2176">
        <f t="shared" si="80"/>
        <v>8</v>
      </c>
      <c r="O2176">
        <v>29</v>
      </c>
    </row>
    <row r="2177" spans="13:15" x14ac:dyDescent="0.25">
      <c r="M2177" s="5">
        <v>41573</v>
      </c>
      <c r="N2177">
        <f t="shared" si="80"/>
        <v>8</v>
      </c>
      <c r="O2177">
        <v>29</v>
      </c>
    </row>
    <row r="2178" spans="13:15" x14ac:dyDescent="0.25">
      <c r="M2178" s="5">
        <v>41572</v>
      </c>
      <c r="N2178">
        <f t="shared" si="80"/>
        <v>8</v>
      </c>
      <c r="O2178">
        <v>29</v>
      </c>
    </row>
    <row r="2179" spans="13:15" x14ac:dyDescent="0.25">
      <c r="M2179" s="5">
        <v>41571</v>
      </c>
      <c r="N2179">
        <f t="shared" si="80"/>
        <v>8</v>
      </c>
      <c r="O2179">
        <v>29</v>
      </c>
    </row>
    <row r="2180" spans="13:15" x14ac:dyDescent="0.25">
      <c r="M2180" s="5">
        <v>41570</v>
      </c>
      <c r="N2180">
        <f t="shared" si="80"/>
        <v>8</v>
      </c>
      <c r="O2180">
        <v>29</v>
      </c>
    </row>
    <row r="2181" spans="13:15" x14ac:dyDescent="0.25">
      <c r="M2181" s="5">
        <v>41569</v>
      </c>
      <c r="N2181">
        <f t="shared" si="80"/>
        <v>8</v>
      </c>
      <c r="O2181">
        <v>29</v>
      </c>
    </row>
    <row r="2182" spans="13:15" x14ac:dyDescent="0.25">
      <c r="M2182" s="5">
        <v>41568</v>
      </c>
      <c r="N2182">
        <f t="shared" si="80"/>
        <v>8</v>
      </c>
      <c r="O2182">
        <v>29</v>
      </c>
    </row>
    <row r="2183" spans="13:15" x14ac:dyDescent="0.25">
      <c r="M2183" s="5">
        <v>41567</v>
      </c>
      <c r="N2183">
        <f t="shared" si="80"/>
        <v>7</v>
      </c>
      <c r="O2183">
        <v>29</v>
      </c>
    </row>
    <row r="2184" spans="13:15" x14ac:dyDescent="0.25">
      <c r="M2184" s="5">
        <v>41566</v>
      </c>
      <c r="N2184">
        <f t="shared" si="80"/>
        <v>7</v>
      </c>
      <c r="O2184">
        <v>29</v>
      </c>
    </row>
    <row r="2185" spans="13:15" x14ac:dyDescent="0.25">
      <c r="M2185" s="5">
        <v>41565</v>
      </c>
      <c r="N2185">
        <f t="shared" si="80"/>
        <v>7</v>
      </c>
      <c r="O2185">
        <v>29</v>
      </c>
    </row>
    <row r="2186" spans="13:15" x14ac:dyDescent="0.25">
      <c r="M2186" s="5">
        <v>41564</v>
      </c>
      <c r="N2186">
        <f t="shared" si="80"/>
        <v>7</v>
      </c>
      <c r="O2186">
        <v>29</v>
      </c>
    </row>
    <row r="2187" spans="13:15" x14ac:dyDescent="0.25">
      <c r="M2187" s="5">
        <v>41563</v>
      </c>
      <c r="N2187">
        <f t="shared" si="80"/>
        <v>7</v>
      </c>
      <c r="O2187">
        <v>29</v>
      </c>
    </row>
    <row r="2188" spans="13:15" x14ac:dyDescent="0.25">
      <c r="M2188" s="5">
        <v>41562</v>
      </c>
      <c r="N2188">
        <f t="shared" si="80"/>
        <v>7</v>
      </c>
      <c r="O2188">
        <v>29</v>
      </c>
    </row>
    <row r="2189" spans="13:15" x14ac:dyDescent="0.25">
      <c r="M2189" s="5">
        <v>41561</v>
      </c>
      <c r="N2189">
        <f t="shared" si="80"/>
        <v>7</v>
      </c>
      <c r="O2189">
        <v>29</v>
      </c>
    </row>
    <row r="2190" spans="13:15" x14ac:dyDescent="0.25">
      <c r="M2190" s="5">
        <v>41560</v>
      </c>
      <c r="N2190">
        <f t="shared" si="80"/>
        <v>6</v>
      </c>
      <c r="O2190">
        <v>29</v>
      </c>
    </row>
    <row r="2191" spans="13:15" x14ac:dyDescent="0.25">
      <c r="M2191" s="5">
        <v>41559</v>
      </c>
      <c r="N2191">
        <f t="shared" ref="N2191:N2222" si="81">N2184-1</f>
        <v>6</v>
      </c>
      <c r="O2191">
        <v>29</v>
      </c>
    </row>
    <row r="2192" spans="13:15" x14ac:dyDescent="0.25">
      <c r="M2192" s="5">
        <v>41558</v>
      </c>
      <c r="N2192">
        <f t="shared" si="81"/>
        <v>6</v>
      </c>
      <c r="O2192">
        <v>29</v>
      </c>
    </row>
    <row r="2193" spans="13:15" x14ac:dyDescent="0.25">
      <c r="M2193" s="5">
        <v>41557</v>
      </c>
      <c r="N2193">
        <f t="shared" si="81"/>
        <v>6</v>
      </c>
      <c r="O2193">
        <v>29</v>
      </c>
    </row>
    <row r="2194" spans="13:15" x14ac:dyDescent="0.25">
      <c r="M2194" s="5">
        <v>41556</v>
      </c>
      <c r="N2194">
        <f t="shared" si="81"/>
        <v>6</v>
      </c>
      <c r="O2194">
        <v>29</v>
      </c>
    </row>
    <row r="2195" spans="13:15" x14ac:dyDescent="0.25">
      <c r="M2195" s="5">
        <v>41555</v>
      </c>
      <c r="N2195">
        <f t="shared" si="81"/>
        <v>6</v>
      </c>
      <c r="O2195">
        <v>29</v>
      </c>
    </row>
    <row r="2196" spans="13:15" x14ac:dyDescent="0.25">
      <c r="M2196" s="5">
        <v>41554</v>
      </c>
      <c r="N2196">
        <f t="shared" si="81"/>
        <v>6</v>
      </c>
      <c r="O2196">
        <v>29</v>
      </c>
    </row>
    <row r="2197" spans="13:15" x14ac:dyDescent="0.25">
      <c r="M2197" s="5">
        <v>41553</v>
      </c>
      <c r="N2197">
        <f t="shared" si="81"/>
        <v>5</v>
      </c>
      <c r="O2197">
        <v>29</v>
      </c>
    </row>
    <row r="2198" spans="13:15" x14ac:dyDescent="0.25">
      <c r="M2198" s="5">
        <v>41552</v>
      </c>
      <c r="N2198">
        <f t="shared" si="81"/>
        <v>5</v>
      </c>
      <c r="O2198">
        <v>29</v>
      </c>
    </row>
    <row r="2199" spans="13:15" x14ac:dyDescent="0.25">
      <c r="M2199" s="5">
        <v>41551</v>
      </c>
      <c r="N2199">
        <f t="shared" si="81"/>
        <v>5</v>
      </c>
      <c r="O2199">
        <v>29</v>
      </c>
    </row>
    <row r="2200" spans="13:15" x14ac:dyDescent="0.25">
      <c r="M2200" s="5">
        <v>41550</v>
      </c>
      <c r="N2200">
        <f t="shared" si="81"/>
        <v>5</v>
      </c>
      <c r="O2200">
        <v>29</v>
      </c>
    </row>
    <row r="2201" spans="13:15" x14ac:dyDescent="0.25">
      <c r="M2201" s="5">
        <v>41549</v>
      </c>
      <c r="N2201">
        <f t="shared" si="81"/>
        <v>5</v>
      </c>
      <c r="O2201">
        <v>29</v>
      </c>
    </row>
    <row r="2202" spans="13:15" x14ac:dyDescent="0.25">
      <c r="M2202" s="5">
        <v>41548</v>
      </c>
      <c r="N2202">
        <f t="shared" si="81"/>
        <v>5</v>
      </c>
      <c r="O2202">
        <v>29</v>
      </c>
    </row>
    <row r="2203" spans="13:15" x14ac:dyDescent="0.25">
      <c r="M2203" s="5">
        <v>41547</v>
      </c>
      <c r="N2203">
        <f t="shared" si="81"/>
        <v>5</v>
      </c>
      <c r="O2203">
        <v>29</v>
      </c>
    </row>
    <row r="2204" spans="13:15" x14ac:dyDescent="0.25">
      <c r="M2204" s="5">
        <v>41546</v>
      </c>
      <c r="N2204">
        <f t="shared" si="81"/>
        <v>4</v>
      </c>
      <c r="O2204">
        <v>29</v>
      </c>
    </row>
    <row r="2205" spans="13:15" x14ac:dyDescent="0.25">
      <c r="M2205" s="5">
        <v>41545</v>
      </c>
      <c r="N2205">
        <f t="shared" si="81"/>
        <v>4</v>
      </c>
      <c r="O2205">
        <v>29</v>
      </c>
    </row>
    <row r="2206" spans="13:15" x14ac:dyDescent="0.25">
      <c r="M2206" s="5">
        <v>41544</v>
      </c>
      <c r="N2206">
        <f t="shared" si="81"/>
        <v>4</v>
      </c>
      <c r="O2206">
        <v>29</v>
      </c>
    </row>
    <row r="2207" spans="13:15" x14ac:dyDescent="0.25">
      <c r="M2207" s="5">
        <v>41543</v>
      </c>
      <c r="N2207">
        <f t="shared" si="81"/>
        <v>4</v>
      </c>
      <c r="O2207">
        <v>29</v>
      </c>
    </row>
    <row r="2208" spans="13:15" x14ac:dyDescent="0.25">
      <c r="M2208" s="5">
        <v>41542</v>
      </c>
      <c r="N2208">
        <f t="shared" si="81"/>
        <v>4</v>
      </c>
      <c r="O2208">
        <v>29</v>
      </c>
    </row>
    <row r="2209" spans="13:15" x14ac:dyDescent="0.25">
      <c r="M2209" s="5">
        <v>41541</v>
      </c>
      <c r="N2209">
        <f t="shared" si="81"/>
        <v>4</v>
      </c>
      <c r="O2209">
        <v>29</v>
      </c>
    </row>
    <row r="2210" spans="13:15" x14ac:dyDescent="0.25">
      <c r="M2210" s="5">
        <v>41540</v>
      </c>
      <c r="N2210">
        <f t="shared" si="81"/>
        <v>4</v>
      </c>
      <c r="O2210">
        <v>29</v>
      </c>
    </row>
    <row r="2211" spans="13:15" x14ac:dyDescent="0.25">
      <c r="M2211" s="5">
        <v>41539</v>
      </c>
      <c r="N2211">
        <f t="shared" si="81"/>
        <v>3</v>
      </c>
      <c r="O2211">
        <v>29</v>
      </c>
    </row>
    <row r="2212" spans="13:15" x14ac:dyDescent="0.25">
      <c r="M2212" s="5">
        <v>41538</v>
      </c>
      <c r="N2212">
        <f t="shared" si="81"/>
        <v>3</v>
      </c>
      <c r="O2212">
        <v>29</v>
      </c>
    </row>
    <row r="2213" spans="13:15" x14ac:dyDescent="0.25">
      <c r="M2213" s="5">
        <v>41537</v>
      </c>
      <c r="N2213">
        <f t="shared" si="81"/>
        <v>3</v>
      </c>
      <c r="O2213">
        <v>29</v>
      </c>
    </row>
    <row r="2214" spans="13:15" x14ac:dyDescent="0.25">
      <c r="M2214" s="5">
        <v>41536</v>
      </c>
      <c r="N2214">
        <f t="shared" si="81"/>
        <v>3</v>
      </c>
      <c r="O2214">
        <v>29</v>
      </c>
    </row>
    <row r="2215" spans="13:15" x14ac:dyDescent="0.25">
      <c r="M2215" s="5">
        <v>41535</v>
      </c>
      <c r="N2215">
        <f t="shared" si="81"/>
        <v>3</v>
      </c>
      <c r="O2215">
        <v>29</v>
      </c>
    </row>
    <row r="2216" spans="13:15" x14ac:dyDescent="0.25">
      <c r="M2216" s="5">
        <v>41534</v>
      </c>
      <c r="N2216">
        <f t="shared" si="81"/>
        <v>3</v>
      </c>
      <c r="O2216">
        <v>29</v>
      </c>
    </row>
    <row r="2217" spans="13:15" x14ac:dyDescent="0.25">
      <c r="M2217" s="5">
        <v>41533</v>
      </c>
      <c r="N2217">
        <f t="shared" si="81"/>
        <v>3</v>
      </c>
      <c r="O2217">
        <v>29</v>
      </c>
    </row>
    <row r="2218" spans="13:15" x14ac:dyDescent="0.25">
      <c r="M2218" s="5">
        <v>41532</v>
      </c>
      <c r="N2218">
        <f t="shared" si="81"/>
        <v>2</v>
      </c>
      <c r="O2218">
        <v>29</v>
      </c>
    </row>
    <row r="2219" spans="13:15" x14ac:dyDescent="0.25">
      <c r="M2219" s="5">
        <v>41531</v>
      </c>
      <c r="N2219">
        <f t="shared" si="81"/>
        <v>2</v>
      </c>
      <c r="O2219">
        <v>29</v>
      </c>
    </row>
    <row r="2220" spans="13:15" x14ac:dyDescent="0.25">
      <c r="M2220" s="5">
        <v>41530</v>
      </c>
      <c r="N2220">
        <f t="shared" si="81"/>
        <v>2</v>
      </c>
      <c r="O2220">
        <v>29</v>
      </c>
    </row>
    <row r="2221" spans="13:15" x14ac:dyDescent="0.25">
      <c r="M2221" s="5">
        <v>41529</v>
      </c>
      <c r="N2221">
        <f t="shared" si="81"/>
        <v>2</v>
      </c>
      <c r="O2221">
        <v>29</v>
      </c>
    </row>
    <row r="2222" spans="13:15" x14ac:dyDescent="0.25">
      <c r="M2222" s="5">
        <v>41528</v>
      </c>
      <c r="N2222">
        <f t="shared" si="81"/>
        <v>2</v>
      </c>
      <c r="O2222">
        <v>29</v>
      </c>
    </row>
    <row r="2223" spans="13:15" x14ac:dyDescent="0.25">
      <c r="M2223" s="5">
        <v>41527</v>
      </c>
      <c r="N2223">
        <f t="shared" ref="N2223:N2231" si="82">N2216-1</f>
        <v>2</v>
      </c>
      <c r="O2223">
        <v>29</v>
      </c>
    </row>
    <row r="2224" spans="13:15" x14ac:dyDescent="0.25">
      <c r="M2224" s="5">
        <v>41526</v>
      </c>
      <c r="N2224">
        <f t="shared" si="82"/>
        <v>2</v>
      </c>
      <c r="O2224">
        <v>29</v>
      </c>
    </row>
    <row r="2225" spans="13:15" x14ac:dyDescent="0.25">
      <c r="M2225" s="5">
        <v>41525</v>
      </c>
      <c r="N2225">
        <f t="shared" si="82"/>
        <v>1</v>
      </c>
      <c r="O2225">
        <v>29</v>
      </c>
    </row>
    <row r="2226" spans="13:15" x14ac:dyDescent="0.25">
      <c r="M2226" s="5">
        <v>41524</v>
      </c>
      <c r="N2226">
        <f t="shared" si="82"/>
        <v>1</v>
      </c>
      <c r="O2226">
        <v>29</v>
      </c>
    </row>
    <row r="2227" spans="13:15" x14ac:dyDescent="0.25">
      <c r="M2227" s="5">
        <v>41523</v>
      </c>
      <c r="N2227">
        <f t="shared" si="82"/>
        <v>1</v>
      </c>
      <c r="O2227">
        <v>29</v>
      </c>
    </row>
    <row r="2228" spans="13:15" x14ac:dyDescent="0.25">
      <c r="M2228" s="5">
        <v>41522</v>
      </c>
      <c r="N2228">
        <f t="shared" si="82"/>
        <v>1</v>
      </c>
      <c r="O2228">
        <v>29</v>
      </c>
    </row>
    <row r="2229" spans="13:15" x14ac:dyDescent="0.25">
      <c r="M2229" s="5">
        <v>41521</v>
      </c>
      <c r="N2229">
        <f t="shared" si="82"/>
        <v>1</v>
      </c>
      <c r="O2229">
        <v>29</v>
      </c>
    </row>
    <row r="2230" spans="13:15" x14ac:dyDescent="0.25">
      <c r="M2230" s="5">
        <v>41520</v>
      </c>
      <c r="N2230">
        <f t="shared" si="82"/>
        <v>1</v>
      </c>
      <c r="O2230">
        <v>29</v>
      </c>
    </row>
    <row r="2231" spans="13:15" x14ac:dyDescent="0.25">
      <c r="M2231" s="5">
        <v>41519</v>
      </c>
      <c r="N2231">
        <f t="shared" si="82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3">N2232-1</f>
        <v>15</v>
      </c>
      <c r="O2239">
        <v>28</v>
      </c>
    </row>
    <row r="2240" spans="13:15" x14ac:dyDescent="0.25">
      <c r="M2240" s="5">
        <v>41510</v>
      </c>
      <c r="N2240">
        <f t="shared" si="83"/>
        <v>15</v>
      </c>
      <c r="O2240">
        <v>28</v>
      </c>
    </row>
    <row r="2241" spans="13:15" x14ac:dyDescent="0.25">
      <c r="M2241" s="5">
        <v>41509</v>
      </c>
      <c r="N2241">
        <f t="shared" si="83"/>
        <v>15</v>
      </c>
      <c r="O2241">
        <v>28</v>
      </c>
    </row>
    <row r="2242" spans="13:15" x14ac:dyDescent="0.25">
      <c r="M2242" s="5">
        <v>41508</v>
      </c>
      <c r="N2242">
        <f t="shared" si="83"/>
        <v>15</v>
      </c>
      <c r="O2242">
        <v>28</v>
      </c>
    </row>
    <row r="2243" spans="13:15" x14ac:dyDescent="0.25">
      <c r="M2243" s="5">
        <v>41507</v>
      </c>
      <c r="N2243">
        <f t="shared" si="83"/>
        <v>15</v>
      </c>
      <c r="O2243">
        <v>28</v>
      </c>
    </row>
    <row r="2244" spans="13:15" x14ac:dyDescent="0.25">
      <c r="M2244" s="5">
        <v>41506</v>
      </c>
      <c r="N2244">
        <f t="shared" si="83"/>
        <v>15</v>
      </c>
      <c r="O2244">
        <v>28</v>
      </c>
    </row>
    <row r="2245" spans="13:15" x14ac:dyDescent="0.25">
      <c r="M2245" s="5">
        <v>41505</v>
      </c>
      <c r="N2245">
        <f t="shared" si="83"/>
        <v>15</v>
      </c>
      <c r="O2245">
        <v>28</v>
      </c>
    </row>
    <row r="2246" spans="13:15" x14ac:dyDescent="0.25">
      <c r="M2246" s="5">
        <v>41504</v>
      </c>
      <c r="N2246">
        <f t="shared" si="83"/>
        <v>14</v>
      </c>
      <c r="O2246">
        <v>28</v>
      </c>
    </row>
    <row r="2247" spans="13:15" x14ac:dyDescent="0.25">
      <c r="M2247" s="5">
        <v>41503</v>
      </c>
      <c r="N2247">
        <f t="shared" si="83"/>
        <v>14</v>
      </c>
      <c r="O2247">
        <v>28</v>
      </c>
    </row>
    <row r="2248" spans="13:15" x14ac:dyDescent="0.25">
      <c r="M2248" s="5">
        <v>41502</v>
      </c>
      <c r="N2248">
        <f t="shared" si="83"/>
        <v>14</v>
      </c>
      <c r="O2248">
        <v>28</v>
      </c>
    </row>
    <row r="2249" spans="13:15" x14ac:dyDescent="0.25">
      <c r="M2249" s="5">
        <v>41501</v>
      </c>
      <c r="N2249">
        <f t="shared" si="83"/>
        <v>14</v>
      </c>
      <c r="O2249">
        <v>28</v>
      </c>
    </row>
    <row r="2250" spans="13:15" x14ac:dyDescent="0.25">
      <c r="M2250" s="5">
        <v>41500</v>
      </c>
      <c r="N2250">
        <f t="shared" si="83"/>
        <v>14</v>
      </c>
      <c r="O2250">
        <v>28</v>
      </c>
    </row>
    <row r="2251" spans="13:15" x14ac:dyDescent="0.25">
      <c r="M2251" s="5">
        <v>41499</v>
      </c>
      <c r="N2251">
        <f t="shared" si="83"/>
        <v>14</v>
      </c>
      <c r="O2251">
        <v>28</v>
      </c>
    </row>
    <row r="2252" spans="13:15" x14ac:dyDescent="0.25">
      <c r="M2252" s="5">
        <v>41498</v>
      </c>
      <c r="N2252">
        <f t="shared" si="83"/>
        <v>14</v>
      </c>
      <c r="O2252">
        <v>28</v>
      </c>
    </row>
    <row r="2253" spans="13:15" x14ac:dyDescent="0.25">
      <c r="M2253" s="5">
        <v>41497</v>
      </c>
      <c r="N2253">
        <f t="shared" si="83"/>
        <v>13</v>
      </c>
      <c r="O2253">
        <v>28</v>
      </c>
    </row>
    <row r="2254" spans="13:15" x14ac:dyDescent="0.25">
      <c r="M2254" s="5">
        <v>41496</v>
      </c>
      <c r="N2254">
        <f t="shared" si="83"/>
        <v>13</v>
      </c>
      <c r="O2254">
        <v>28</v>
      </c>
    </row>
    <row r="2255" spans="13:15" x14ac:dyDescent="0.25">
      <c r="M2255" s="5">
        <v>41495</v>
      </c>
      <c r="N2255">
        <f t="shared" si="83"/>
        <v>13</v>
      </c>
      <c r="O2255">
        <v>28</v>
      </c>
    </row>
    <row r="2256" spans="13:15" x14ac:dyDescent="0.25">
      <c r="M2256" s="5">
        <v>41494</v>
      </c>
      <c r="N2256">
        <f t="shared" si="83"/>
        <v>13</v>
      </c>
      <c r="O2256">
        <v>28</v>
      </c>
    </row>
    <row r="2257" spans="13:15" x14ac:dyDescent="0.25">
      <c r="M2257" s="5">
        <v>41493</v>
      </c>
      <c r="N2257">
        <f t="shared" si="83"/>
        <v>13</v>
      </c>
      <c r="O2257">
        <v>28</v>
      </c>
    </row>
    <row r="2258" spans="13:15" x14ac:dyDescent="0.25">
      <c r="M2258" s="5">
        <v>41492</v>
      </c>
      <c r="N2258">
        <f t="shared" si="83"/>
        <v>13</v>
      </c>
      <c r="O2258">
        <v>28</v>
      </c>
    </row>
    <row r="2259" spans="13:15" x14ac:dyDescent="0.25">
      <c r="M2259" s="5">
        <v>41491</v>
      </c>
      <c r="N2259">
        <f t="shared" si="83"/>
        <v>13</v>
      </c>
      <c r="O2259">
        <v>28</v>
      </c>
    </row>
    <row r="2260" spans="13:15" x14ac:dyDescent="0.25">
      <c r="M2260" s="5">
        <v>41490</v>
      </c>
      <c r="N2260">
        <f t="shared" si="83"/>
        <v>12</v>
      </c>
      <c r="O2260">
        <v>28</v>
      </c>
    </row>
    <row r="2261" spans="13:15" x14ac:dyDescent="0.25">
      <c r="M2261" s="5">
        <v>41489</v>
      </c>
      <c r="N2261">
        <f t="shared" si="83"/>
        <v>12</v>
      </c>
      <c r="O2261">
        <v>28</v>
      </c>
    </row>
    <row r="2262" spans="13:15" x14ac:dyDescent="0.25">
      <c r="M2262" s="5">
        <v>41488</v>
      </c>
      <c r="N2262">
        <f t="shared" si="83"/>
        <v>12</v>
      </c>
      <c r="O2262">
        <v>28</v>
      </c>
    </row>
    <row r="2263" spans="13:15" x14ac:dyDescent="0.25">
      <c r="M2263" s="5">
        <v>41487</v>
      </c>
      <c r="N2263">
        <f t="shared" si="83"/>
        <v>12</v>
      </c>
      <c r="O2263">
        <v>28</v>
      </c>
    </row>
    <row r="2264" spans="13:15" x14ac:dyDescent="0.25">
      <c r="M2264" s="5">
        <v>41486</v>
      </c>
      <c r="N2264">
        <f t="shared" si="83"/>
        <v>12</v>
      </c>
      <c r="O2264">
        <v>28</v>
      </c>
    </row>
    <row r="2265" spans="13:15" x14ac:dyDescent="0.25">
      <c r="M2265" s="5">
        <v>41485</v>
      </c>
      <c r="N2265">
        <f t="shared" si="83"/>
        <v>12</v>
      </c>
      <c r="O2265">
        <v>28</v>
      </c>
    </row>
    <row r="2266" spans="13:15" x14ac:dyDescent="0.25">
      <c r="M2266" s="5">
        <v>41484</v>
      </c>
      <c r="N2266">
        <f t="shared" si="83"/>
        <v>12</v>
      </c>
      <c r="O2266">
        <v>28</v>
      </c>
    </row>
    <row r="2267" spans="13:15" x14ac:dyDescent="0.25">
      <c r="M2267" s="5">
        <v>41483</v>
      </c>
      <c r="N2267">
        <f t="shared" si="83"/>
        <v>11</v>
      </c>
      <c r="O2267">
        <v>28</v>
      </c>
    </row>
    <row r="2268" spans="13:15" x14ac:dyDescent="0.25">
      <c r="M2268" s="5">
        <v>41482</v>
      </c>
      <c r="N2268">
        <f t="shared" si="83"/>
        <v>11</v>
      </c>
      <c r="O2268">
        <v>28</v>
      </c>
    </row>
    <row r="2269" spans="13:15" x14ac:dyDescent="0.25">
      <c r="M2269" s="5">
        <v>41481</v>
      </c>
      <c r="N2269">
        <f t="shared" si="83"/>
        <v>11</v>
      </c>
      <c r="O2269">
        <v>28</v>
      </c>
    </row>
    <row r="2270" spans="13:15" x14ac:dyDescent="0.25">
      <c r="M2270" s="5">
        <v>41480</v>
      </c>
      <c r="N2270">
        <f t="shared" si="83"/>
        <v>11</v>
      </c>
      <c r="O2270">
        <v>28</v>
      </c>
    </row>
    <row r="2271" spans="13:15" x14ac:dyDescent="0.25">
      <c r="M2271" s="5">
        <v>41479</v>
      </c>
      <c r="N2271">
        <f t="shared" ref="N2271:N2302" si="84">N2264-1</f>
        <v>11</v>
      </c>
      <c r="O2271">
        <v>28</v>
      </c>
    </row>
    <row r="2272" spans="13:15" x14ac:dyDescent="0.25">
      <c r="M2272" s="5">
        <v>41478</v>
      </c>
      <c r="N2272">
        <f t="shared" si="84"/>
        <v>11</v>
      </c>
      <c r="O2272">
        <v>28</v>
      </c>
    </row>
    <row r="2273" spans="13:15" x14ac:dyDescent="0.25">
      <c r="M2273" s="5">
        <v>41477</v>
      </c>
      <c r="N2273">
        <f t="shared" si="84"/>
        <v>11</v>
      </c>
      <c r="O2273">
        <v>28</v>
      </c>
    </row>
    <row r="2274" spans="13:15" x14ac:dyDescent="0.25">
      <c r="M2274" s="5">
        <v>41476</v>
      </c>
      <c r="N2274">
        <f t="shared" si="84"/>
        <v>10</v>
      </c>
      <c r="O2274">
        <v>28</v>
      </c>
    </row>
    <row r="2275" spans="13:15" x14ac:dyDescent="0.25">
      <c r="M2275" s="5">
        <v>41475</v>
      </c>
      <c r="N2275">
        <f t="shared" si="84"/>
        <v>10</v>
      </c>
      <c r="O2275">
        <v>28</v>
      </c>
    </row>
    <row r="2276" spans="13:15" x14ac:dyDescent="0.25">
      <c r="M2276" s="5">
        <v>41474</v>
      </c>
      <c r="N2276">
        <f t="shared" si="84"/>
        <v>10</v>
      </c>
      <c r="O2276">
        <v>28</v>
      </c>
    </row>
    <row r="2277" spans="13:15" x14ac:dyDescent="0.25">
      <c r="M2277" s="5">
        <v>41473</v>
      </c>
      <c r="N2277">
        <f t="shared" si="84"/>
        <v>10</v>
      </c>
      <c r="O2277">
        <v>28</v>
      </c>
    </row>
    <row r="2278" spans="13:15" x14ac:dyDescent="0.25">
      <c r="M2278" s="5">
        <v>41472</v>
      </c>
      <c r="N2278">
        <f t="shared" si="84"/>
        <v>10</v>
      </c>
      <c r="O2278">
        <v>28</v>
      </c>
    </row>
    <row r="2279" spans="13:15" x14ac:dyDescent="0.25">
      <c r="M2279" s="5">
        <v>41471</v>
      </c>
      <c r="N2279">
        <f t="shared" si="84"/>
        <v>10</v>
      </c>
      <c r="O2279">
        <v>28</v>
      </c>
    </row>
    <row r="2280" spans="13:15" x14ac:dyDescent="0.25">
      <c r="M2280" s="5">
        <v>41470</v>
      </c>
      <c r="N2280">
        <f t="shared" si="84"/>
        <v>10</v>
      </c>
      <c r="O2280">
        <v>28</v>
      </c>
    </row>
    <row r="2281" spans="13:15" x14ac:dyDescent="0.25">
      <c r="M2281" s="5">
        <v>41469</v>
      </c>
      <c r="N2281">
        <f t="shared" si="84"/>
        <v>9</v>
      </c>
      <c r="O2281">
        <v>28</v>
      </c>
    </row>
    <row r="2282" spans="13:15" x14ac:dyDescent="0.25">
      <c r="M2282" s="5">
        <v>41468</v>
      </c>
      <c r="N2282">
        <f t="shared" si="84"/>
        <v>9</v>
      </c>
      <c r="O2282">
        <v>28</v>
      </c>
    </row>
    <row r="2283" spans="13:15" x14ac:dyDescent="0.25">
      <c r="M2283" s="5">
        <v>41467</v>
      </c>
      <c r="N2283">
        <f t="shared" si="84"/>
        <v>9</v>
      </c>
      <c r="O2283">
        <v>28</v>
      </c>
    </row>
    <row r="2284" spans="13:15" x14ac:dyDescent="0.25">
      <c r="M2284" s="5">
        <v>41466</v>
      </c>
      <c r="N2284">
        <f t="shared" si="84"/>
        <v>9</v>
      </c>
      <c r="O2284">
        <v>28</v>
      </c>
    </row>
    <row r="2285" spans="13:15" x14ac:dyDescent="0.25">
      <c r="M2285" s="5">
        <v>41465</v>
      </c>
      <c r="N2285">
        <f t="shared" si="84"/>
        <v>9</v>
      </c>
      <c r="O2285">
        <v>28</v>
      </c>
    </row>
    <row r="2286" spans="13:15" x14ac:dyDescent="0.25">
      <c r="M2286" s="5">
        <v>41464</v>
      </c>
      <c r="N2286">
        <f t="shared" si="84"/>
        <v>9</v>
      </c>
      <c r="O2286">
        <v>28</v>
      </c>
    </row>
    <row r="2287" spans="13:15" x14ac:dyDescent="0.25">
      <c r="M2287" s="5">
        <v>41463</v>
      </c>
      <c r="N2287">
        <f t="shared" si="84"/>
        <v>9</v>
      </c>
      <c r="O2287">
        <v>28</v>
      </c>
    </row>
    <row r="2288" spans="13:15" x14ac:dyDescent="0.25">
      <c r="M2288" s="5">
        <v>41462</v>
      </c>
      <c r="N2288">
        <f t="shared" si="84"/>
        <v>8</v>
      </c>
      <c r="O2288">
        <v>28</v>
      </c>
    </row>
    <row r="2289" spans="13:15" x14ac:dyDescent="0.25">
      <c r="M2289" s="5">
        <v>41461</v>
      </c>
      <c r="N2289">
        <f t="shared" si="84"/>
        <v>8</v>
      </c>
      <c r="O2289">
        <v>28</v>
      </c>
    </row>
    <row r="2290" spans="13:15" x14ac:dyDescent="0.25">
      <c r="M2290" s="5">
        <v>41460</v>
      </c>
      <c r="N2290">
        <f t="shared" si="84"/>
        <v>8</v>
      </c>
      <c r="O2290">
        <v>28</v>
      </c>
    </row>
    <row r="2291" spans="13:15" x14ac:dyDescent="0.25">
      <c r="M2291" s="5">
        <v>41459</v>
      </c>
      <c r="N2291">
        <f t="shared" si="84"/>
        <v>8</v>
      </c>
      <c r="O2291">
        <v>28</v>
      </c>
    </row>
    <row r="2292" spans="13:15" x14ac:dyDescent="0.25">
      <c r="M2292" s="5">
        <v>41458</v>
      </c>
      <c r="N2292">
        <f t="shared" si="84"/>
        <v>8</v>
      </c>
      <c r="O2292">
        <v>28</v>
      </c>
    </row>
    <row r="2293" spans="13:15" x14ac:dyDescent="0.25">
      <c r="M2293" s="5">
        <v>41457</v>
      </c>
      <c r="N2293">
        <f t="shared" si="84"/>
        <v>8</v>
      </c>
      <c r="O2293">
        <v>28</v>
      </c>
    </row>
    <row r="2294" spans="13:15" x14ac:dyDescent="0.25">
      <c r="M2294" s="5">
        <v>41456</v>
      </c>
      <c r="N2294">
        <f t="shared" si="84"/>
        <v>8</v>
      </c>
      <c r="O2294">
        <v>28</v>
      </c>
    </row>
    <row r="2295" spans="13:15" x14ac:dyDescent="0.25">
      <c r="M2295" s="5">
        <v>41455</v>
      </c>
      <c r="N2295">
        <f t="shared" si="84"/>
        <v>7</v>
      </c>
      <c r="O2295">
        <v>28</v>
      </c>
    </row>
    <row r="2296" spans="13:15" x14ac:dyDescent="0.25">
      <c r="M2296" s="5">
        <v>41454</v>
      </c>
      <c r="N2296">
        <f t="shared" si="84"/>
        <v>7</v>
      </c>
      <c r="O2296">
        <v>28</v>
      </c>
    </row>
    <row r="2297" spans="13:15" x14ac:dyDescent="0.25">
      <c r="M2297" s="5">
        <v>41453</v>
      </c>
      <c r="N2297">
        <f t="shared" si="84"/>
        <v>7</v>
      </c>
      <c r="O2297">
        <v>28</v>
      </c>
    </row>
    <row r="2298" spans="13:15" x14ac:dyDescent="0.25">
      <c r="M2298" s="5">
        <v>41452</v>
      </c>
      <c r="N2298">
        <f t="shared" si="84"/>
        <v>7</v>
      </c>
      <c r="O2298">
        <v>28</v>
      </c>
    </row>
    <row r="2299" spans="13:15" x14ac:dyDescent="0.25">
      <c r="M2299" s="5">
        <v>41451</v>
      </c>
      <c r="N2299">
        <f t="shared" si="84"/>
        <v>7</v>
      </c>
      <c r="O2299">
        <v>28</v>
      </c>
    </row>
    <row r="2300" spans="13:15" x14ac:dyDescent="0.25">
      <c r="M2300" s="5">
        <v>41450</v>
      </c>
      <c r="N2300">
        <f t="shared" si="84"/>
        <v>7</v>
      </c>
      <c r="O2300">
        <v>28</v>
      </c>
    </row>
    <row r="2301" spans="13:15" x14ac:dyDescent="0.25">
      <c r="M2301" s="5">
        <v>41449</v>
      </c>
      <c r="N2301">
        <f t="shared" si="84"/>
        <v>7</v>
      </c>
      <c r="O2301">
        <v>28</v>
      </c>
    </row>
    <row r="2302" spans="13:15" x14ac:dyDescent="0.25">
      <c r="M2302" s="5">
        <v>41448</v>
      </c>
      <c r="N2302">
        <f t="shared" si="84"/>
        <v>6</v>
      </c>
      <c r="O2302">
        <v>28</v>
      </c>
    </row>
    <row r="2303" spans="13:15" x14ac:dyDescent="0.25">
      <c r="M2303" s="5">
        <v>41447</v>
      </c>
      <c r="N2303">
        <f t="shared" ref="N2303:N2334" si="85">N2296-1</f>
        <v>6</v>
      </c>
      <c r="O2303">
        <v>28</v>
      </c>
    </row>
    <row r="2304" spans="13:15" x14ac:dyDescent="0.25">
      <c r="M2304" s="5">
        <v>41446</v>
      </c>
      <c r="N2304">
        <f t="shared" si="85"/>
        <v>6</v>
      </c>
      <c r="O2304">
        <v>28</v>
      </c>
    </row>
    <row r="2305" spans="13:15" x14ac:dyDescent="0.25">
      <c r="M2305" s="5">
        <v>41445</v>
      </c>
      <c r="N2305">
        <f t="shared" si="85"/>
        <v>6</v>
      </c>
      <c r="O2305">
        <v>28</v>
      </c>
    </row>
    <row r="2306" spans="13:15" x14ac:dyDescent="0.25">
      <c r="M2306" s="5">
        <v>41444</v>
      </c>
      <c r="N2306">
        <f t="shared" si="85"/>
        <v>6</v>
      </c>
      <c r="O2306">
        <v>28</v>
      </c>
    </row>
    <row r="2307" spans="13:15" x14ac:dyDescent="0.25">
      <c r="M2307" s="5">
        <v>41443</v>
      </c>
      <c r="N2307">
        <f t="shared" si="85"/>
        <v>6</v>
      </c>
      <c r="O2307">
        <v>28</v>
      </c>
    </row>
    <row r="2308" spans="13:15" x14ac:dyDescent="0.25">
      <c r="M2308" s="5">
        <v>41442</v>
      </c>
      <c r="N2308">
        <f t="shared" si="85"/>
        <v>6</v>
      </c>
      <c r="O2308">
        <v>28</v>
      </c>
    </row>
    <row r="2309" spans="13:15" x14ac:dyDescent="0.25">
      <c r="M2309" s="5">
        <v>41441</v>
      </c>
      <c r="N2309">
        <f t="shared" si="85"/>
        <v>5</v>
      </c>
      <c r="O2309">
        <v>28</v>
      </c>
    </row>
    <row r="2310" spans="13:15" x14ac:dyDescent="0.25">
      <c r="M2310" s="5">
        <v>41440</v>
      </c>
      <c r="N2310">
        <f t="shared" si="85"/>
        <v>5</v>
      </c>
      <c r="O2310">
        <v>28</v>
      </c>
    </row>
    <row r="2311" spans="13:15" x14ac:dyDescent="0.25">
      <c r="M2311" s="5">
        <v>41439</v>
      </c>
      <c r="N2311">
        <f t="shared" si="85"/>
        <v>5</v>
      </c>
      <c r="O2311">
        <v>28</v>
      </c>
    </row>
    <row r="2312" spans="13:15" x14ac:dyDescent="0.25">
      <c r="M2312" s="5">
        <v>41438</v>
      </c>
      <c r="N2312">
        <f t="shared" si="85"/>
        <v>5</v>
      </c>
      <c r="O2312">
        <v>28</v>
      </c>
    </row>
    <row r="2313" spans="13:15" x14ac:dyDescent="0.25">
      <c r="M2313" s="5">
        <v>41437</v>
      </c>
      <c r="N2313">
        <f t="shared" si="85"/>
        <v>5</v>
      </c>
      <c r="O2313">
        <v>28</v>
      </c>
    </row>
    <row r="2314" spans="13:15" x14ac:dyDescent="0.25">
      <c r="M2314" s="5">
        <v>41436</v>
      </c>
      <c r="N2314">
        <f t="shared" si="85"/>
        <v>5</v>
      </c>
      <c r="O2314">
        <v>28</v>
      </c>
    </row>
    <row r="2315" spans="13:15" x14ac:dyDescent="0.25">
      <c r="M2315" s="5">
        <v>41435</v>
      </c>
      <c r="N2315">
        <f t="shared" si="85"/>
        <v>5</v>
      </c>
      <c r="O2315">
        <v>28</v>
      </c>
    </row>
    <row r="2316" spans="13:15" x14ac:dyDescent="0.25">
      <c r="M2316" s="5">
        <v>41434</v>
      </c>
      <c r="N2316">
        <f t="shared" si="85"/>
        <v>4</v>
      </c>
      <c r="O2316">
        <v>28</v>
      </c>
    </row>
    <row r="2317" spans="13:15" x14ac:dyDescent="0.25">
      <c r="M2317" s="5">
        <v>41433</v>
      </c>
      <c r="N2317">
        <f t="shared" si="85"/>
        <v>4</v>
      </c>
      <c r="O2317">
        <v>28</v>
      </c>
    </row>
    <row r="2318" spans="13:15" x14ac:dyDescent="0.25">
      <c r="M2318" s="5">
        <v>41432</v>
      </c>
      <c r="N2318">
        <f t="shared" si="85"/>
        <v>4</v>
      </c>
      <c r="O2318">
        <v>28</v>
      </c>
    </row>
    <row r="2319" spans="13:15" x14ac:dyDescent="0.25">
      <c r="M2319" s="5">
        <v>41431</v>
      </c>
      <c r="N2319">
        <f t="shared" si="85"/>
        <v>4</v>
      </c>
      <c r="O2319">
        <v>28</v>
      </c>
    </row>
    <row r="2320" spans="13:15" x14ac:dyDescent="0.25">
      <c r="M2320" s="5">
        <v>41430</v>
      </c>
      <c r="N2320">
        <f t="shared" si="85"/>
        <v>4</v>
      </c>
      <c r="O2320">
        <v>28</v>
      </c>
    </row>
    <row r="2321" spans="13:15" x14ac:dyDescent="0.25">
      <c r="M2321" s="5">
        <v>41429</v>
      </c>
      <c r="N2321">
        <f t="shared" si="85"/>
        <v>4</v>
      </c>
      <c r="O2321">
        <v>28</v>
      </c>
    </row>
    <row r="2322" spans="13:15" x14ac:dyDescent="0.25">
      <c r="M2322" s="5">
        <v>41428</v>
      </c>
      <c r="N2322">
        <f t="shared" si="85"/>
        <v>4</v>
      </c>
      <c r="O2322">
        <v>28</v>
      </c>
    </row>
    <row r="2323" spans="13:15" x14ac:dyDescent="0.25">
      <c r="M2323" s="5">
        <v>41427</v>
      </c>
      <c r="N2323">
        <f t="shared" si="85"/>
        <v>3</v>
      </c>
      <c r="O2323">
        <v>28</v>
      </c>
    </row>
    <row r="2324" spans="13:15" x14ac:dyDescent="0.25">
      <c r="M2324" s="5">
        <v>41426</v>
      </c>
      <c r="N2324">
        <f t="shared" si="85"/>
        <v>3</v>
      </c>
      <c r="O2324">
        <v>28</v>
      </c>
    </row>
    <row r="2325" spans="13:15" x14ac:dyDescent="0.25">
      <c r="M2325" s="5">
        <v>41425</v>
      </c>
      <c r="N2325">
        <f t="shared" si="85"/>
        <v>3</v>
      </c>
      <c r="O2325">
        <v>28</v>
      </c>
    </row>
    <row r="2326" spans="13:15" x14ac:dyDescent="0.25">
      <c r="M2326" s="5">
        <v>41424</v>
      </c>
      <c r="N2326">
        <f t="shared" si="85"/>
        <v>3</v>
      </c>
      <c r="O2326">
        <v>28</v>
      </c>
    </row>
    <row r="2327" spans="13:15" x14ac:dyDescent="0.25">
      <c r="M2327" s="5">
        <v>41423</v>
      </c>
      <c r="N2327">
        <f t="shared" si="85"/>
        <v>3</v>
      </c>
      <c r="O2327">
        <v>28</v>
      </c>
    </row>
    <row r="2328" spans="13:15" x14ac:dyDescent="0.25">
      <c r="M2328" s="5">
        <v>41422</v>
      </c>
      <c r="N2328">
        <f t="shared" si="85"/>
        <v>3</v>
      </c>
      <c r="O2328">
        <v>28</v>
      </c>
    </row>
    <row r="2329" spans="13:15" x14ac:dyDescent="0.25">
      <c r="M2329" s="5">
        <v>41421</v>
      </c>
      <c r="N2329">
        <f t="shared" si="85"/>
        <v>3</v>
      </c>
      <c r="O2329">
        <v>28</v>
      </c>
    </row>
    <row r="2330" spans="13:15" x14ac:dyDescent="0.25">
      <c r="M2330" s="5">
        <v>41420</v>
      </c>
      <c r="N2330">
        <f t="shared" si="85"/>
        <v>2</v>
      </c>
      <c r="O2330">
        <v>28</v>
      </c>
    </row>
    <row r="2331" spans="13:15" x14ac:dyDescent="0.25">
      <c r="M2331" s="5">
        <v>41419</v>
      </c>
      <c r="N2331">
        <f t="shared" si="85"/>
        <v>2</v>
      </c>
      <c r="O2331">
        <v>28</v>
      </c>
    </row>
    <row r="2332" spans="13:15" x14ac:dyDescent="0.25">
      <c r="M2332" s="5">
        <v>41418</v>
      </c>
      <c r="N2332">
        <f t="shared" si="85"/>
        <v>2</v>
      </c>
      <c r="O2332">
        <v>28</v>
      </c>
    </row>
    <row r="2333" spans="13:15" x14ac:dyDescent="0.25">
      <c r="M2333" s="5">
        <v>41417</v>
      </c>
      <c r="N2333">
        <f t="shared" si="85"/>
        <v>2</v>
      </c>
      <c r="O2333">
        <v>28</v>
      </c>
    </row>
    <row r="2334" spans="13:15" x14ac:dyDescent="0.25">
      <c r="M2334" s="5">
        <v>41416</v>
      </c>
      <c r="N2334">
        <f t="shared" si="85"/>
        <v>2</v>
      </c>
      <c r="O2334">
        <v>28</v>
      </c>
    </row>
    <row r="2335" spans="13:15" x14ac:dyDescent="0.25">
      <c r="M2335" s="5">
        <v>41415</v>
      </c>
      <c r="N2335">
        <f t="shared" ref="N2335:N2343" si="86">N2328-1</f>
        <v>2</v>
      </c>
      <c r="O2335">
        <v>28</v>
      </c>
    </row>
    <row r="2336" spans="13:15" x14ac:dyDescent="0.25">
      <c r="M2336" s="5">
        <v>41414</v>
      </c>
      <c r="N2336">
        <f t="shared" si="86"/>
        <v>2</v>
      </c>
      <c r="O2336">
        <v>28</v>
      </c>
    </row>
    <row r="2337" spans="13:15" x14ac:dyDescent="0.25">
      <c r="M2337" s="5">
        <v>41413</v>
      </c>
      <c r="N2337">
        <f t="shared" si="86"/>
        <v>1</v>
      </c>
      <c r="O2337">
        <v>28</v>
      </c>
    </row>
    <row r="2338" spans="13:15" x14ac:dyDescent="0.25">
      <c r="M2338" s="5">
        <v>41412</v>
      </c>
      <c r="N2338">
        <f t="shared" si="86"/>
        <v>1</v>
      </c>
      <c r="O2338">
        <v>28</v>
      </c>
    </row>
    <row r="2339" spans="13:15" x14ac:dyDescent="0.25">
      <c r="M2339" s="5">
        <v>41411</v>
      </c>
      <c r="N2339">
        <f t="shared" si="86"/>
        <v>1</v>
      </c>
      <c r="O2339">
        <v>28</v>
      </c>
    </row>
    <row r="2340" spans="13:15" x14ac:dyDescent="0.25">
      <c r="M2340" s="5">
        <v>41410</v>
      </c>
      <c r="N2340">
        <f t="shared" si="86"/>
        <v>1</v>
      </c>
      <c r="O2340">
        <v>28</v>
      </c>
    </row>
    <row r="2341" spans="13:15" x14ac:dyDescent="0.25">
      <c r="M2341" s="5">
        <v>41409</v>
      </c>
      <c r="N2341">
        <f t="shared" si="86"/>
        <v>1</v>
      </c>
      <c r="O2341">
        <v>28</v>
      </c>
    </row>
    <row r="2342" spans="13:15" x14ac:dyDescent="0.25">
      <c r="M2342" s="5">
        <v>41408</v>
      </c>
      <c r="N2342">
        <f t="shared" si="86"/>
        <v>1</v>
      </c>
      <c r="O2342">
        <v>28</v>
      </c>
    </row>
    <row r="2343" spans="13:15" x14ac:dyDescent="0.25">
      <c r="M2343" s="5">
        <v>41407</v>
      </c>
      <c r="N2343">
        <f t="shared" si="86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7">N2344-1</f>
        <v>15</v>
      </c>
      <c r="O2351">
        <v>27</v>
      </c>
    </row>
    <row r="2352" spans="13:15" x14ac:dyDescent="0.25">
      <c r="M2352" s="5">
        <v>41398</v>
      </c>
      <c r="N2352">
        <f t="shared" si="87"/>
        <v>15</v>
      </c>
      <c r="O2352">
        <v>27</v>
      </c>
    </row>
    <row r="2353" spans="13:15" x14ac:dyDescent="0.25">
      <c r="M2353" s="5">
        <v>41397</v>
      </c>
      <c r="N2353">
        <f t="shared" si="87"/>
        <v>15</v>
      </c>
      <c r="O2353">
        <v>27</v>
      </c>
    </row>
    <row r="2354" spans="13:15" x14ac:dyDescent="0.25">
      <c r="M2354" s="5">
        <v>41396</v>
      </c>
      <c r="N2354">
        <f t="shared" si="87"/>
        <v>15</v>
      </c>
      <c r="O2354">
        <v>27</v>
      </c>
    </row>
    <row r="2355" spans="13:15" x14ac:dyDescent="0.25">
      <c r="M2355" s="5">
        <v>41395</v>
      </c>
      <c r="N2355">
        <f t="shared" si="87"/>
        <v>15</v>
      </c>
      <c r="O2355">
        <v>27</v>
      </c>
    </row>
    <row r="2356" spans="13:15" x14ac:dyDescent="0.25">
      <c r="M2356" s="5">
        <v>41394</v>
      </c>
      <c r="N2356">
        <f t="shared" si="87"/>
        <v>15</v>
      </c>
      <c r="O2356">
        <v>27</v>
      </c>
    </row>
    <row r="2357" spans="13:15" x14ac:dyDescent="0.25">
      <c r="M2357" s="5">
        <v>41393</v>
      </c>
      <c r="N2357">
        <f t="shared" si="87"/>
        <v>15</v>
      </c>
      <c r="O2357">
        <v>27</v>
      </c>
    </row>
    <row r="2358" spans="13:15" x14ac:dyDescent="0.25">
      <c r="M2358" s="5">
        <v>41392</v>
      </c>
      <c r="N2358">
        <f t="shared" si="87"/>
        <v>14</v>
      </c>
      <c r="O2358">
        <v>27</v>
      </c>
    </row>
    <row r="2359" spans="13:15" x14ac:dyDescent="0.25">
      <c r="M2359" s="5">
        <v>41391</v>
      </c>
      <c r="N2359">
        <f t="shared" si="87"/>
        <v>14</v>
      </c>
      <c r="O2359">
        <v>27</v>
      </c>
    </row>
    <row r="2360" spans="13:15" x14ac:dyDescent="0.25">
      <c r="M2360" s="5">
        <v>41390</v>
      </c>
      <c r="N2360">
        <f t="shared" si="87"/>
        <v>14</v>
      </c>
      <c r="O2360">
        <v>27</v>
      </c>
    </row>
    <row r="2361" spans="13:15" x14ac:dyDescent="0.25">
      <c r="M2361" s="5">
        <v>41389</v>
      </c>
      <c r="N2361">
        <f t="shared" si="87"/>
        <v>14</v>
      </c>
      <c r="O2361">
        <v>27</v>
      </c>
    </row>
    <row r="2362" spans="13:15" x14ac:dyDescent="0.25">
      <c r="M2362" s="5">
        <v>41388</v>
      </c>
      <c r="N2362">
        <f t="shared" si="87"/>
        <v>14</v>
      </c>
      <c r="O2362">
        <v>27</v>
      </c>
    </row>
    <row r="2363" spans="13:15" x14ac:dyDescent="0.25">
      <c r="M2363" s="5">
        <v>41387</v>
      </c>
      <c r="N2363">
        <f t="shared" si="87"/>
        <v>14</v>
      </c>
      <c r="O2363">
        <v>27</v>
      </c>
    </row>
    <row r="2364" spans="13:15" x14ac:dyDescent="0.25">
      <c r="M2364" s="5">
        <v>41386</v>
      </c>
      <c r="N2364">
        <f t="shared" si="87"/>
        <v>14</v>
      </c>
      <c r="O2364">
        <v>27</v>
      </c>
    </row>
    <row r="2365" spans="13:15" x14ac:dyDescent="0.25">
      <c r="M2365" s="5">
        <v>41385</v>
      </c>
      <c r="N2365">
        <f t="shared" si="87"/>
        <v>13</v>
      </c>
      <c r="O2365">
        <v>27</v>
      </c>
    </row>
    <row r="2366" spans="13:15" x14ac:dyDescent="0.25">
      <c r="M2366" s="5">
        <v>41384</v>
      </c>
      <c r="N2366">
        <f t="shared" si="87"/>
        <v>13</v>
      </c>
      <c r="O2366">
        <v>27</v>
      </c>
    </row>
    <row r="2367" spans="13:15" x14ac:dyDescent="0.25">
      <c r="M2367" s="5">
        <v>41383</v>
      </c>
      <c r="N2367">
        <f t="shared" si="87"/>
        <v>13</v>
      </c>
      <c r="O2367">
        <v>27</v>
      </c>
    </row>
    <row r="2368" spans="13:15" x14ac:dyDescent="0.25">
      <c r="M2368" s="5">
        <v>41382</v>
      </c>
      <c r="N2368">
        <f t="shared" si="87"/>
        <v>13</v>
      </c>
      <c r="O2368">
        <v>27</v>
      </c>
    </row>
    <row r="2369" spans="13:15" x14ac:dyDescent="0.25">
      <c r="M2369" s="5">
        <v>41381</v>
      </c>
      <c r="N2369">
        <f t="shared" si="87"/>
        <v>13</v>
      </c>
      <c r="O2369">
        <v>27</v>
      </c>
    </row>
    <row r="2370" spans="13:15" x14ac:dyDescent="0.25">
      <c r="M2370" s="5">
        <v>41380</v>
      </c>
      <c r="N2370">
        <f t="shared" si="87"/>
        <v>13</v>
      </c>
      <c r="O2370">
        <v>27</v>
      </c>
    </row>
    <row r="2371" spans="13:15" x14ac:dyDescent="0.25">
      <c r="M2371" s="5">
        <v>41379</v>
      </c>
      <c r="N2371">
        <f t="shared" si="87"/>
        <v>13</v>
      </c>
      <c r="O2371">
        <v>27</v>
      </c>
    </row>
    <row r="2372" spans="13:15" x14ac:dyDescent="0.25">
      <c r="M2372" s="5">
        <v>41378</v>
      </c>
      <c r="N2372">
        <f t="shared" si="87"/>
        <v>12</v>
      </c>
      <c r="O2372">
        <v>27</v>
      </c>
    </row>
    <row r="2373" spans="13:15" x14ac:dyDescent="0.25">
      <c r="M2373" s="5">
        <v>41377</v>
      </c>
      <c r="N2373">
        <f t="shared" si="87"/>
        <v>12</v>
      </c>
      <c r="O2373">
        <v>27</v>
      </c>
    </row>
    <row r="2374" spans="13:15" x14ac:dyDescent="0.25">
      <c r="M2374" s="5">
        <v>41376</v>
      </c>
      <c r="N2374">
        <f t="shared" si="87"/>
        <v>12</v>
      </c>
      <c r="O2374">
        <v>27</v>
      </c>
    </row>
    <row r="2375" spans="13:15" x14ac:dyDescent="0.25">
      <c r="M2375" s="5">
        <v>41375</v>
      </c>
      <c r="N2375">
        <f t="shared" si="87"/>
        <v>12</v>
      </c>
      <c r="O2375">
        <v>27</v>
      </c>
    </row>
    <row r="2376" spans="13:15" x14ac:dyDescent="0.25">
      <c r="M2376" s="5">
        <v>41374</v>
      </c>
      <c r="N2376">
        <f t="shared" si="87"/>
        <v>12</v>
      </c>
      <c r="O2376">
        <v>27</v>
      </c>
    </row>
    <row r="2377" spans="13:15" x14ac:dyDescent="0.25">
      <c r="M2377" s="5">
        <v>41373</v>
      </c>
      <c r="N2377">
        <f t="shared" si="87"/>
        <v>12</v>
      </c>
      <c r="O2377">
        <v>27</v>
      </c>
    </row>
    <row r="2378" spans="13:15" x14ac:dyDescent="0.25">
      <c r="M2378" s="5">
        <v>41372</v>
      </c>
      <c r="N2378">
        <f t="shared" si="87"/>
        <v>12</v>
      </c>
      <c r="O2378">
        <v>27</v>
      </c>
    </row>
    <row r="2379" spans="13:15" x14ac:dyDescent="0.25">
      <c r="M2379" s="5">
        <v>41371</v>
      </c>
      <c r="N2379">
        <f t="shared" si="87"/>
        <v>11</v>
      </c>
      <c r="O2379">
        <v>27</v>
      </c>
    </row>
    <row r="2380" spans="13:15" x14ac:dyDescent="0.25">
      <c r="M2380" s="5">
        <v>41370</v>
      </c>
      <c r="N2380">
        <f t="shared" si="87"/>
        <v>11</v>
      </c>
      <c r="O2380">
        <v>27</v>
      </c>
    </row>
    <row r="2381" spans="13:15" x14ac:dyDescent="0.25">
      <c r="M2381" s="5">
        <v>41369</v>
      </c>
      <c r="N2381">
        <f t="shared" si="87"/>
        <v>11</v>
      </c>
      <c r="O2381">
        <v>27</v>
      </c>
    </row>
    <row r="2382" spans="13:15" x14ac:dyDescent="0.25">
      <c r="M2382" s="5">
        <v>41368</v>
      </c>
      <c r="N2382">
        <f t="shared" si="87"/>
        <v>11</v>
      </c>
      <c r="O2382">
        <v>27</v>
      </c>
    </row>
    <row r="2383" spans="13:15" x14ac:dyDescent="0.25">
      <c r="M2383" s="5">
        <v>41367</v>
      </c>
      <c r="N2383">
        <f t="shared" ref="N2383:N2414" si="88">N2376-1</f>
        <v>11</v>
      </c>
      <c r="O2383">
        <v>27</v>
      </c>
    </row>
    <row r="2384" spans="13:15" x14ac:dyDescent="0.25">
      <c r="M2384" s="5">
        <v>41366</v>
      </c>
      <c r="N2384">
        <f t="shared" si="88"/>
        <v>11</v>
      </c>
      <c r="O2384">
        <v>27</v>
      </c>
    </row>
    <row r="2385" spans="13:15" x14ac:dyDescent="0.25">
      <c r="M2385" s="5">
        <v>41365</v>
      </c>
      <c r="N2385">
        <f t="shared" si="88"/>
        <v>11</v>
      </c>
      <c r="O2385">
        <v>27</v>
      </c>
    </row>
    <row r="2386" spans="13:15" x14ac:dyDescent="0.25">
      <c r="M2386" s="5">
        <v>41364</v>
      </c>
      <c r="N2386">
        <f t="shared" si="88"/>
        <v>10</v>
      </c>
      <c r="O2386">
        <v>27</v>
      </c>
    </row>
    <row r="2387" spans="13:15" x14ac:dyDescent="0.25">
      <c r="M2387" s="5">
        <v>41363</v>
      </c>
      <c r="N2387">
        <f t="shared" si="88"/>
        <v>10</v>
      </c>
      <c r="O2387">
        <v>27</v>
      </c>
    </row>
    <row r="2388" spans="13:15" x14ac:dyDescent="0.25">
      <c r="M2388" s="5">
        <v>41362</v>
      </c>
      <c r="N2388">
        <f t="shared" si="88"/>
        <v>10</v>
      </c>
      <c r="O2388">
        <v>27</v>
      </c>
    </row>
    <row r="2389" spans="13:15" x14ac:dyDescent="0.25">
      <c r="M2389" s="5">
        <v>41361</v>
      </c>
      <c r="N2389">
        <f t="shared" si="88"/>
        <v>10</v>
      </c>
      <c r="O2389">
        <v>27</v>
      </c>
    </row>
    <row r="2390" spans="13:15" x14ac:dyDescent="0.25">
      <c r="M2390" s="5">
        <v>41360</v>
      </c>
      <c r="N2390">
        <f t="shared" si="88"/>
        <v>10</v>
      </c>
      <c r="O2390">
        <v>27</v>
      </c>
    </row>
    <row r="2391" spans="13:15" x14ac:dyDescent="0.25">
      <c r="M2391" s="5">
        <v>41359</v>
      </c>
      <c r="N2391">
        <f t="shared" si="88"/>
        <v>10</v>
      </c>
      <c r="O2391">
        <v>27</v>
      </c>
    </row>
    <row r="2392" spans="13:15" x14ac:dyDescent="0.25">
      <c r="M2392" s="5">
        <v>41358</v>
      </c>
      <c r="N2392">
        <f t="shared" si="88"/>
        <v>10</v>
      </c>
      <c r="O2392">
        <v>27</v>
      </c>
    </row>
    <row r="2393" spans="13:15" x14ac:dyDescent="0.25">
      <c r="M2393" s="5">
        <v>41357</v>
      </c>
      <c r="N2393">
        <f t="shared" si="88"/>
        <v>9</v>
      </c>
      <c r="O2393">
        <v>27</v>
      </c>
    </row>
    <row r="2394" spans="13:15" x14ac:dyDescent="0.25">
      <c r="M2394" s="5">
        <v>41356</v>
      </c>
      <c r="N2394">
        <f t="shared" si="88"/>
        <v>9</v>
      </c>
      <c r="O2394">
        <v>27</v>
      </c>
    </row>
    <row r="2395" spans="13:15" x14ac:dyDescent="0.25">
      <c r="M2395" s="5">
        <v>41355</v>
      </c>
      <c r="N2395">
        <f t="shared" si="88"/>
        <v>9</v>
      </c>
      <c r="O2395">
        <v>27</v>
      </c>
    </row>
    <row r="2396" spans="13:15" x14ac:dyDescent="0.25">
      <c r="M2396" s="5">
        <v>41354</v>
      </c>
      <c r="N2396">
        <f t="shared" si="88"/>
        <v>9</v>
      </c>
      <c r="O2396">
        <v>27</v>
      </c>
    </row>
    <row r="2397" spans="13:15" x14ac:dyDescent="0.25">
      <c r="M2397" s="5">
        <v>41353</v>
      </c>
      <c r="N2397">
        <f t="shared" si="88"/>
        <v>9</v>
      </c>
      <c r="O2397">
        <v>27</v>
      </c>
    </row>
    <row r="2398" spans="13:15" x14ac:dyDescent="0.25">
      <c r="M2398" s="5">
        <v>41352</v>
      </c>
      <c r="N2398">
        <f t="shared" si="88"/>
        <v>9</v>
      </c>
      <c r="O2398">
        <v>27</v>
      </c>
    </row>
    <row r="2399" spans="13:15" x14ac:dyDescent="0.25">
      <c r="M2399" s="5">
        <v>41351</v>
      </c>
      <c r="N2399">
        <f t="shared" si="88"/>
        <v>9</v>
      </c>
      <c r="O2399">
        <v>27</v>
      </c>
    </row>
    <row r="2400" spans="13:15" x14ac:dyDescent="0.25">
      <c r="M2400" s="5">
        <v>41350</v>
      </c>
      <c r="N2400">
        <f t="shared" si="88"/>
        <v>8</v>
      </c>
      <c r="O2400">
        <v>27</v>
      </c>
    </row>
    <row r="2401" spans="13:15" x14ac:dyDescent="0.25">
      <c r="M2401" s="5">
        <v>41349</v>
      </c>
      <c r="N2401">
        <f t="shared" si="88"/>
        <v>8</v>
      </c>
      <c r="O2401">
        <v>27</v>
      </c>
    </row>
    <row r="2402" spans="13:15" x14ac:dyDescent="0.25">
      <c r="M2402" s="5">
        <v>41348</v>
      </c>
      <c r="N2402">
        <f t="shared" si="88"/>
        <v>8</v>
      </c>
      <c r="O2402">
        <v>27</v>
      </c>
    </row>
    <row r="2403" spans="13:15" x14ac:dyDescent="0.25">
      <c r="M2403" s="5">
        <v>41347</v>
      </c>
      <c r="N2403">
        <f t="shared" si="88"/>
        <v>8</v>
      </c>
      <c r="O2403">
        <v>27</v>
      </c>
    </row>
    <row r="2404" spans="13:15" x14ac:dyDescent="0.25">
      <c r="M2404" s="5">
        <v>41346</v>
      </c>
      <c r="N2404">
        <f t="shared" si="88"/>
        <v>8</v>
      </c>
      <c r="O2404">
        <v>27</v>
      </c>
    </row>
    <row r="2405" spans="13:15" x14ac:dyDescent="0.25">
      <c r="M2405" s="5">
        <v>41345</v>
      </c>
      <c r="N2405">
        <f t="shared" si="88"/>
        <v>8</v>
      </c>
      <c r="O2405">
        <v>27</v>
      </c>
    </row>
    <row r="2406" spans="13:15" x14ac:dyDescent="0.25">
      <c r="M2406" s="5">
        <v>41344</v>
      </c>
      <c r="N2406">
        <f t="shared" si="88"/>
        <v>8</v>
      </c>
      <c r="O2406">
        <v>27</v>
      </c>
    </row>
    <row r="2407" spans="13:15" x14ac:dyDescent="0.25">
      <c r="M2407" s="5">
        <v>41343</v>
      </c>
      <c r="N2407">
        <f t="shared" si="88"/>
        <v>7</v>
      </c>
      <c r="O2407">
        <v>27</v>
      </c>
    </row>
    <row r="2408" spans="13:15" x14ac:dyDescent="0.25">
      <c r="M2408" s="5">
        <v>41342</v>
      </c>
      <c r="N2408">
        <f t="shared" si="88"/>
        <v>7</v>
      </c>
      <c r="O2408">
        <v>27</v>
      </c>
    </row>
    <row r="2409" spans="13:15" x14ac:dyDescent="0.25">
      <c r="M2409" s="5">
        <v>41341</v>
      </c>
      <c r="N2409">
        <f t="shared" si="88"/>
        <v>7</v>
      </c>
      <c r="O2409">
        <v>27</v>
      </c>
    </row>
    <row r="2410" spans="13:15" x14ac:dyDescent="0.25">
      <c r="M2410" s="5">
        <v>41340</v>
      </c>
      <c r="N2410">
        <f t="shared" si="88"/>
        <v>7</v>
      </c>
      <c r="O2410">
        <v>27</v>
      </c>
    </row>
    <row r="2411" spans="13:15" x14ac:dyDescent="0.25">
      <c r="M2411" s="5">
        <v>41339</v>
      </c>
      <c r="N2411">
        <f t="shared" si="88"/>
        <v>7</v>
      </c>
      <c r="O2411">
        <v>27</v>
      </c>
    </row>
    <row r="2412" spans="13:15" x14ac:dyDescent="0.25">
      <c r="M2412" s="5">
        <v>41338</v>
      </c>
      <c r="N2412">
        <f t="shared" si="88"/>
        <v>7</v>
      </c>
      <c r="O2412">
        <v>27</v>
      </c>
    </row>
    <row r="2413" spans="13:15" x14ac:dyDescent="0.25">
      <c r="M2413" s="5">
        <v>41337</v>
      </c>
      <c r="N2413">
        <f t="shared" si="88"/>
        <v>7</v>
      </c>
      <c r="O2413">
        <v>27</v>
      </c>
    </row>
    <row r="2414" spans="13:15" x14ac:dyDescent="0.25">
      <c r="M2414" s="5">
        <v>41336</v>
      </c>
      <c r="N2414">
        <f t="shared" si="88"/>
        <v>6</v>
      </c>
      <c r="O2414">
        <v>27</v>
      </c>
    </row>
    <row r="2415" spans="13:15" x14ac:dyDescent="0.25">
      <c r="M2415" s="5">
        <v>41335</v>
      </c>
      <c r="N2415">
        <f t="shared" ref="N2415:N2446" si="89">N2408-1</f>
        <v>6</v>
      </c>
      <c r="O2415">
        <v>27</v>
      </c>
    </row>
    <row r="2416" spans="13:15" x14ac:dyDescent="0.25">
      <c r="M2416" s="5">
        <v>41334</v>
      </c>
      <c r="N2416">
        <f t="shared" si="89"/>
        <v>6</v>
      </c>
      <c r="O2416">
        <v>27</v>
      </c>
    </row>
    <row r="2417" spans="13:15" x14ac:dyDescent="0.25">
      <c r="M2417" s="5">
        <v>41333</v>
      </c>
      <c r="N2417">
        <f t="shared" si="89"/>
        <v>6</v>
      </c>
      <c r="O2417">
        <v>27</v>
      </c>
    </row>
    <row r="2418" spans="13:15" x14ac:dyDescent="0.25">
      <c r="M2418" s="5">
        <v>41332</v>
      </c>
      <c r="N2418">
        <f t="shared" si="89"/>
        <v>6</v>
      </c>
      <c r="O2418">
        <v>27</v>
      </c>
    </row>
    <row r="2419" spans="13:15" x14ac:dyDescent="0.25">
      <c r="M2419" s="5">
        <v>41331</v>
      </c>
      <c r="N2419">
        <f t="shared" si="89"/>
        <v>6</v>
      </c>
      <c r="O2419">
        <v>27</v>
      </c>
    </row>
    <row r="2420" spans="13:15" x14ac:dyDescent="0.25">
      <c r="M2420" s="5">
        <v>41330</v>
      </c>
      <c r="N2420">
        <f t="shared" si="89"/>
        <v>6</v>
      </c>
      <c r="O2420">
        <v>27</v>
      </c>
    </row>
    <row r="2421" spans="13:15" x14ac:dyDescent="0.25">
      <c r="M2421" s="5">
        <v>41329</v>
      </c>
      <c r="N2421">
        <f t="shared" si="89"/>
        <v>5</v>
      </c>
      <c r="O2421">
        <v>27</v>
      </c>
    </row>
    <row r="2422" spans="13:15" x14ac:dyDescent="0.25">
      <c r="M2422" s="5">
        <v>41328</v>
      </c>
      <c r="N2422">
        <f t="shared" si="89"/>
        <v>5</v>
      </c>
      <c r="O2422">
        <v>27</v>
      </c>
    </row>
    <row r="2423" spans="13:15" x14ac:dyDescent="0.25">
      <c r="M2423" s="5">
        <v>41327</v>
      </c>
      <c r="N2423">
        <f t="shared" si="89"/>
        <v>5</v>
      </c>
      <c r="O2423">
        <v>27</v>
      </c>
    </row>
    <row r="2424" spans="13:15" x14ac:dyDescent="0.25">
      <c r="M2424" s="5">
        <v>41326</v>
      </c>
      <c r="N2424">
        <f t="shared" si="89"/>
        <v>5</v>
      </c>
      <c r="O2424">
        <v>27</v>
      </c>
    </row>
    <row r="2425" spans="13:15" x14ac:dyDescent="0.25">
      <c r="M2425" s="5">
        <v>41325</v>
      </c>
      <c r="N2425">
        <f t="shared" si="89"/>
        <v>5</v>
      </c>
      <c r="O2425">
        <v>27</v>
      </c>
    </row>
    <row r="2426" spans="13:15" x14ac:dyDescent="0.25">
      <c r="M2426" s="5">
        <v>41324</v>
      </c>
      <c r="N2426">
        <f t="shared" si="89"/>
        <v>5</v>
      </c>
      <c r="O2426">
        <v>27</v>
      </c>
    </row>
    <row r="2427" spans="13:15" x14ac:dyDescent="0.25">
      <c r="M2427" s="5">
        <v>41323</v>
      </c>
      <c r="N2427">
        <f t="shared" si="89"/>
        <v>5</v>
      </c>
      <c r="O2427">
        <v>27</v>
      </c>
    </row>
    <row r="2428" spans="13:15" x14ac:dyDescent="0.25">
      <c r="M2428" s="5">
        <v>41322</v>
      </c>
      <c r="N2428">
        <f t="shared" si="89"/>
        <v>4</v>
      </c>
      <c r="O2428">
        <v>27</v>
      </c>
    </row>
    <row r="2429" spans="13:15" x14ac:dyDescent="0.25">
      <c r="M2429" s="5">
        <v>41321</v>
      </c>
      <c r="N2429">
        <f t="shared" si="89"/>
        <v>4</v>
      </c>
      <c r="O2429">
        <v>27</v>
      </c>
    </row>
    <row r="2430" spans="13:15" x14ac:dyDescent="0.25">
      <c r="M2430" s="5">
        <v>41320</v>
      </c>
      <c r="N2430">
        <f t="shared" si="89"/>
        <v>4</v>
      </c>
      <c r="O2430">
        <v>27</v>
      </c>
    </row>
    <row r="2431" spans="13:15" x14ac:dyDescent="0.25">
      <c r="M2431" s="5">
        <v>41319</v>
      </c>
      <c r="N2431">
        <f t="shared" si="89"/>
        <v>4</v>
      </c>
      <c r="O2431">
        <v>27</v>
      </c>
    </row>
    <row r="2432" spans="13:15" x14ac:dyDescent="0.25">
      <c r="M2432" s="5">
        <v>41318</v>
      </c>
      <c r="N2432">
        <f t="shared" si="89"/>
        <v>4</v>
      </c>
      <c r="O2432">
        <v>27</v>
      </c>
    </row>
    <row r="2433" spans="13:15" x14ac:dyDescent="0.25">
      <c r="M2433" s="5">
        <v>41317</v>
      </c>
      <c r="N2433">
        <f t="shared" si="89"/>
        <v>4</v>
      </c>
      <c r="O2433">
        <v>27</v>
      </c>
    </row>
    <row r="2434" spans="13:15" x14ac:dyDescent="0.25">
      <c r="M2434" s="5">
        <v>41316</v>
      </c>
      <c r="N2434">
        <f t="shared" si="89"/>
        <v>4</v>
      </c>
      <c r="O2434">
        <v>27</v>
      </c>
    </row>
    <row r="2435" spans="13:15" x14ac:dyDescent="0.25">
      <c r="M2435" s="5">
        <v>41315</v>
      </c>
      <c r="N2435">
        <f t="shared" si="89"/>
        <v>3</v>
      </c>
      <c r="O2435">
        <v>27</v>
      </c>
    </row>
    <row r="2436" spans="13:15" x14ac:dyDescent="0.25">
      <c r="M2436" s="5">
        <v>41314</v>
      </c>
      <c r="N2436">
        <f t="shared" si="89"/>
        <v>3</v>
      </c>
      <c r="O2436">
        <v>27</v>
      </c>
    </row>
    <row r="2437" spans="13:15" x14ac:dyDescent="0.25">
      <c r="M2437" s="5">
        <v>41313</v>
      </c>
      <c r="N2437">
        <f t="shared" si="89"/>
        <v>3</v>
      </c>
      <c r="O2437">
        <v>27</v>
      </c>
    </row>
    <row r="2438" spans="13:15" x14ac:dyDescent="0.25">
      <c r="M2438" s="5">
        <v>41312</v>
      </c>
      <c r="N2438">
        <f t="shared" si="89"/>
        <v>3</v>
      </c>
      <c r="O2438">
        <v>27</v>
      </c>
    </row>
    <row r="2439" spans="13:15" x14ac:dyDescent="0.25">
      <c r="M2439" s="5">
        <v>41311</v>
      </c>
      <c r="N2439">
        <f t="shared" si="89"/>
        <v>3</v>
      </c>
      <c r="O2439">
        <v>27</v>
      </c>
    </row>
    <row r="2440" spans="13:15" x14ac:dyDescent="0.25">
      <c r="M2440" s="5">
        <v>41310</v>
      </c>
      <c r="N2440">
        <f t="shared" si="89"/>
        <v>3</v>
      </c>
      <c r="O2440">
        <v>27</v>
      </c>
    </row>
    <row r="2441" spans="13:15" x14ac:dyDescent="0.25">
      <c r="M2441" s="5">
        <v>41309</v>
      </c>
      <c r="N2441">
        <f t="shared" si="89"/>
        <v>3</v>
      </c>
      <c r="O2441">
        <v>27</v>
      </c>
    </row>
    <row r="2442" spans="13:15" x14ac:dyDescent="0.25">
      <c r="M2442" s="5">
        <v>41308</v>
      </c>
      <c r="N2442">
        <f t="shared" si="89"/>
        <v>2</v>
      </c>
      <c r="O2442">
        <v>27</v>
      </c>
    </row>
    <row r="2443" spans="13:15" x14ac:dyDescent="0.25">
      <c r="M2443" s="5">
        <v>41307</v>
      </c>
      <c r="N2443">
        <f t="shared" si="89"/>
        <v>2</v>
      </c>
      <c r="O2443">
        <v>27</v>
      </c>
    </row>
    <row r="2444" spans="13:15" x14ac:dyDescent="0.25">
      <c r="M2444" s="5">
        <v>41306</v>
      </c>
      <c r="N2444">
        <f t="shared" si="89"/>
        <v>2</v>
      </c>
      <c r="O2444">
        <v>27</v>
      </c>
    </row>
    <row r="2445" spans="13:15" x14ac:dyDescent="0.25">
      <c r="M2445" s="5">
        <v>41305</v>
      </c>
      <c r="N2445">
        <f t="shared" si="89"/>
        <v>2</v>
      </c>
      <c r="O2445">
        <v>27</v>
      </c>
    </row>
    <row r="2446" spans="13:15" x14ac:dyDescent="0.25">
      <c r="M2446" s="5">
        <v>41304</v>
      </c>
      <c r="N2446">
        <f t="shared" si="89"/>
        <v>2</v>
      </c>
      <c r="O2446">
        <v>27</v>
      </c>
    </row>
    <row r="2447" spans="13:15" x14ac:dyDescent="0.25">
      <c r="M2447" s="5">
        <v>41303</v>
      </c>
      <c r="N2447">
        <f t="shared" ref="N2447:N2455" si="90">N2440-1</f>
        <v>2</v>
      </c>
      <c r="O2447">
        <v>27</v>
      </c>
    </row>
    <row r="2448" spans="13:15" x14ac:dyDescent="0.25">
      <c r="M2448" s="5">
        <v>41302</v>
      </c>
      <c r="N2448">
        <f t="shared" si="90"/>
        <v>2</v>
      </c>
      <c r="O2448">
        <v>27</v>
      </c>
    </row>
    <row r="2449" spans="13:15" x14ac:dyDescent="0.25">
      <c r="M2449" s="5">
        <v>41301</v>
      </c>
      <c r="N2449">
        <f t="shared" si="90"/>
        <v>1</v>
      </c>
      <c r="O2449">
        <v>27</v>
      </c>
    </row>
    <row r="2450" spans="13:15" x14ac:dyDescent="0.25">
      <c r="M2450" s="5">
        <v>41300</v>
      </c>
      <c r="N2450">
        <f t="shared" si="90"/>
        <v>1</v>
      </c>
      <c r="O2450">
        <v>27</v>
      </c>
    </row>
    <row r="2451" spans="13:15" x14ac:dyDescent="0.25">
      <c r="M2451" s="5">
        <v>41299</v>
      </c>
      <c r="N2451">
        <f t="shared" si="90"/>
        <v>1</v>
      </c>
      <c r="O2451">
        <v>27</v>
      </c>
    </row>
    <row r="2452" spans="13:15" x14ac:dyDescent="0.25">
      <c r="M2452" s="5">
        <v>41298</v>
      </c>
      <c r="N2452">
        <f t="shared" si="90"/>
        <v>1</v>
      </c>
      <c r="O2452">
        <v>27</v>
      </c>
    </row>
    <row r="2453" spans="13:15" x14ac:dyDescent="0.25">
      <c r="M2453" s="5">
        <v>41297</v>
      </c>
      <c r="N2453">
        <f t="shared" si="90"/>
        <v>1</v>
      </c>
      <c r="O2453">
        <v>27</v>
      </c>
    </row>
    <row r="2454" spans="13:15" x14ac:dyDescent="0.25">
      <c r="M2454" s="5">
        <v>41296</v>
      </c>
      <c r="N2454">
        <f t="shared" si="90"/>
        <v>1</v>
      </c>
      <c r="O2454">
        <v>27</v>
      </c>
    </row>
    <row r="2455" spans="13:15" x14ac:dyDescent="0.25">
      <c r="M2455" s="5">
        <v>41295</v>
      </c>
      <c r="N2455">
        <f t="shared" si="90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1">N2456-1</f>
        <v>15</v>
      </c>
      <c r="O2463">
        <v>26</v>
      </c>
    </row>
    <row r="2464" spans="13:15" x14ac:dyDescent="0.25">
      <c r="M2464" s="5">
        <v>41286</v>
      </c>
      <c r="N2464">
        <f t="shared" si="91"/>
        <v>15</v>
      </c>
      <c r="O2464">
        <v>26</v>
      </c>
    </row>
    <row r="2465" spans="13:15" x14ac:dyDescent="0.25">
      <c r="M2465" s="5">
        <v>41285</v>
      </c>
      <c r="N2465">
        <f t="shared" si="91"/>
        <v>15</v>
      </c>
      <c r="O2465">
        <v>26</v>
      </c>
    </row>
    <row r="2466" spans="13:15" x14ac:dyDescent="0.25">
      <c r="M2466" s="5">
        <v>41284</v>
      </c>
      <c r="N2466">
        <f t="shared" si="91"/>
        <v>15</v>
      </c>
      <c r="O2466">
        <v>26</v>
      </c>
    </row>
    <row r="2467" spans="13:15" x14ac:dyDescent="0.25">
      <c r="M2467" s="5">
        <v>41283</v>
      </c>
      <c r="N2467">
        <f t="shared" si="91"/>
        <v>15</v>
      </c>
      <c r="O2467">
        <v>26</v>
      </c>
    </row>
    <row r="2468" spans="13:15" x14ac:dyDescent="0.25">
      <c r="M2468" s="5">
        <v>41282</v>
      </c>
      <c r="N2468">
        <f t="shared" si="91"/>
        <v>15</v>
      </c>
      <c r="O2468">
        <v>26</v>
      </c>
    </row>
    <row r="2469" spans="13:15" x14ac:dyDescent="0.25">
      <c r="M2469" s="5">
        <v>41281</v>
      </c>
      <c r="N2469">
        <f t="shared" si="91"/>
        <v>15</v>
      </c>
      <c r="O2469">
        <v>26</v>
      </c>
    </row>
    <row r="2470" spans="13:15" x14ac:dyDescent="0.25">
      <c r="M2470" s="5">
        <v>41280</v>
      </c>
      <c r="N2470">
        <f t="shared" si="91"/>
        <v>14</v>
      </c>
      <c r="O2470">
        <v>26</v>
      </c>
    </row>
    <row r="2471" spans="13:15" x14ac:dyDescent="0.25">
      <c r="M2471" s="5">
        <v>41279</v>
      </c>
      <c r="N2471">
        <f t="shared" si="91"/>
        <v>14</v>
      </c>
      <c r="O2471">
        <v>26</v>
      </c>
    </row>
    <row r="2472" spans="13:15" x14ac:dyDescent="0.25">
      <c r="M2472" s="5">
        <v>41278</v>
      </c>
      <c r="N2472">
        <f t="shared" si="91"/>
        <v>14</v>
      </c>
      <c r="O2472">
        <v>26</v>
      </c>
    </row>
    <row r="2473" spans="13:15" x14ac:dyDescent="0.25">
      <c r="M2473" s="5">
        <v>41277</v>
      </c>
      <c r="N2473">
        <f t="shared" si="91"/>
        <v>14</v>
      </c>
      <c r="O2473">
        <v>26</v>
      </c>
    </row>
    <row r="2474" spans="13:15" x14ac:dyDescent="0.25">
      <c r="M2474" s="5">
        <v>41276</v>
      </c>
      <c r="N2474">
        <f t="shared" si="91"/>
        <v>14</v>
      </c>
      <c r="O2474">
        <v>26</v>
      </c>
    </row>
    <row r="2475" spans="13:15" x14ac:dyDescent="0.25">
      <c r="M2475" s="5">
        <v>41275</v>
      </c>
      <c r="N2475">
        <f t="shared" si="91"/>
        <v>14</v>
      </c>
      <c r="O2475">
        <v>26</v>
      </c>
    </row>
    <row r="2476" spans="13:15" x14ac:dyDescent="0.25">
      <c r="M2476" s="5">
        <v>41274</v>
      </c>
      <c r="N2476">
        <f t="shared" si="91"/>
        <v>14</v>
      </c>
      <c r="O2476">
        <v>26</v>
      </c>
    </row>
    <row r="2477" spans="13:15" x14ac:dyDescent="0.25">
      <c r="M2477" s="5">
        <v>41273</v>
      </c>
      <c r="N2477">
        <f t="shared" si="91"/>
        <v>13</v>
      </c>
      <c r="O2477">
        <v>26</v>
      </c>
    </row>
    <row r="2478" spans="13:15" x14ac:dyDescent="0.25">
      <c r="M2478" s="5">
        <v>41272</v>
      </c>
      <c r="N2478">
        <f t="shared" si="91"/>
        <v>13</v>
      </c>
      <c r="O2478">
        <v>26</v>
      </c>
    </row>
    <row r="2479" spans="13:15" x14ac:dyDescent="0.25">
      <c r="M2479" s="5">
        <v>41271</v>
      </c>
      <c r="N2479">
        <f t="shared" si="91"/>
        <v>13</v>
      </c>
      <c r="O2479">
        <v>26</v>
      </c>
    </row>
    <row r="2480" spans="13:15" x14ac:dyDescent="0.25">
      <c r="M2480" s="5">
        <v>41270</v>
      </c>
      <c r="N2480">
        <f t="shared" si="91"/>
        <v>13</v>
      </c>
      <c r="O2480">
        <v>26</v>
      </c>
    </row>
    <row r="2481" spans="13:15" x14ac:dyDescent="0.25">
      <c r="M2481" s="5">
        <v>41269</v>
      </c>
      <c r="N2481">
        <f t="shared" si="91"/>
        <v>13</v>
      </c>
      <c r="O2481">
        <v>26</v>
      </c>
    </row>
    <row r="2482" spans="13:15" x14ac:dyDescent="0.25">
      <c r="M2482" s="5">
        <v>41268</v>
      </c>
      <c r="N2482">
        <f t="shared" si="91"/>
        <v>13</v>
      </c>
      <c r="O2482">
        <v>26</v>
      </c>
    </row>
    <row r="2483" spans="13:15" x14ac:dyDescent="0.25">
      <c r="M2483" s="5">
        <v>41267</v>
      </c>
      <c r="N2483">
        <f t="shared" si="91"/>
        <v>13</v>
      </c>
      <c r="O2483">
        <v>26</v>
      </c>
    </row>
    <row r="2484" spans="13:15" x14ac:dyDescent="0.25">
      <c r="M2484" s="5">
        <v>41266</v>
      </c>
      <c r="N2484">
        <f t="shared" si="91"/>
        <v>12</v>
      </c>
      <c r="O2484">
        <v>26</v>
      </c>
    </row>
    <row r="2485" spans="13:15" x14ac:dyDescent="0.25">
      <c r="M2485" s="5">
        <v>41265</v>
      </c>
      <c r="N2485">
        <f t="shared" si="91"/>
        <v>12</v>
      </c>
      <c r="O2485">
        <v>26</v>
      </c>
    </row>
    <row r="2486" spans="13:15" x14ac:dyDescent="0.25">
      <c r="M2486" s="5">
        <v>41264</v>
      </c>
      <c r="N2486">
        <f t="shared" si="91"/>
        <v>12</v>
      </c>
      <c r="O2486">
        <v>26</v>
      </c>
    </row>
    <row r="2487" spans="13:15" x14ac:dyDescent="0.25">
      <c r="M2487" s="5">
        <v>41263</v>
      </c>
      <c r="N2487">
        <f t="shared" si="91"/>
        <v>12</v>
      </c>
      <c r="O2487">
        <v>26</v>
      </c>
    </row>
    <row r="2488" spans="13:15" x14ac:dyDescent="0.25">
      <c r="M2488" s="5">
        <v>41262</v>
      </c>
      <c r="N2488">
        <f t="shared" si="91"/>
        <v>12</v>
      </c>
      <c r="O2488">
        <v>26</v>
      </c>
    </row>
    <row r="2489" spans="13:15" x14ac:dyDescent="0.25">
      <c r="M2489" s="5">
        <v>41261</v>
      </c>
      <c r="N2489">
        <f t="shared" si="91"/>
        <v>12</v>
      </c>
      <c r="O2489">
        <v>26</v>
      </c>
    </row>
    <row r="2490" spans="13:15" x14ac:dyDescent="0.25">
      <c r="M2490" s="5">
        <v>41260</v>
      </c>
      <c r="N2490">
        <f t="shared" si="91"/>
        <v>12</v>
      </c>
      <c r="O2490">
        <v>26</v>
      </c>
    </row>
    <row r="2491" spans="13:15" x14ac:dyDescent="0.25">
      <c r="M2491" s="5">
        <v>41259</v>
      </c>
      <c r="N2491">
        <f t="shared" si="91"/>
        <v>11</v>
      </c>
      <c r="O2491">
        <v>26</v>
      </c>
    </row>
    <row r="2492" spans="13:15" x14ac:dyDescent="0.25">
      <c r="M2492" s="5">
        <v>41258</v>
      </c>
      <c r="N2492">
        <f t="shared" si="91"/>
        <v>11</v>
      </c>
      <c r="O2492">
        <v>26</v>
      </c>
    </row>
    <row r="2493" spans="13:15" x14ac:dyDescent="0.25">
      <c r="M2493" s="5">
        <v>41257</v>
      </c>
      <c r="N2493">
        <f t="shared" si="91"/>
        <v>11</v>
      </c>
      <c r="O2493">
        <v>26</v>
      </c>
    </row>
    <row r="2494" spans="13:15" x14ac:dyDescent="0.25">
      <c r="M2494" s="5">
        <v>41256</v>
      </c>
      <c r="N2494">
        <f t="shared" si="91"/>
        <v>11</v>
      </c>
      <c r="O2494">
        <v>26</v>
      </c>
    </row>
    <row r="2495" spans="13:15" x14ac:dyDescent="0.25">
      <c r="M2495" s="5">
        <v>41255</v>
      </c>
      <c r="N2495">
        <f t="shared" ref="N2495:N2526" si="92">N2488-1</f>
        <v>11</v>
      </c>
      <c r="O2495">
        <v>26</v>
      </c>
    </row>
    <row r="2496" spans="13:15" x14ac:dyDescent="0.25">
      <c r="M2496" s="5">
        <v>41254</v>
      </c>
      <c r="N2496">
        <f t="shared" si="92"/>
        <v>11</v>
      </c>
      <c r="O2496">
        <v>26</v>
      </c>
    </row>
    <row r="2497" spans="13:15" x14ac:dyDescent="0.25">
      <c r="M2497" s="5">
        <v>41253</v>
      </c>
      <c r="N2497">
        <f t="shared" si="92"/>
        <v>11</v>
      </c>
      <c r="O2497">
        <v>26</v>
      </c>
    </row>
    <row r="2498" spans="13:15" x14ac:dyDescent="0.25">
      <c r="M2498" s="5">
        <v>41252</v>
      </c>
      <c r="N2498">
        <f t="shared" si="92"/>
        <v>10</v>
      </c>
      <c r="O2498">
        <v>26</v>
      </c>
    </row>
    <row r="2499" spans="13:15" x14ac:dyDescent="0.25">
      <c r="M2499" s="5">
        <v>41251</v>
      </c>
      <c r="N2499">
        <f t="shared" si="92"/>
        <v>10</v>
      </c>
      <c r="O2499">
        <v>26</v>
      </c>
    </row>
    <row r="2500" spans="13:15" x14ac:dyDescent="0.25">
      <c r="M2500" s="5">
        <v>41250</v>
      </c>
      <c r="N2500">
        <f t="shared" si="92"/>
        <v>10</v>
      </c>
      <c r="O2500">
        <v>26</v>
      </c>
    </row>
    <row r="2501" spans="13:15" x14ac:dyDescent="0.25">
      <c r="M2501" s="5">
        <v>41249</v>
      </c>
      <c r="N2501">
        <f t="shared" si="92"/>
        <v>10</v>
      </c>
      <c r="O2501">
        <v>26</v>
      </c>
    </row>
    <row r="2502" spans="13:15" x14ac:dyDescent="0.25">
      <c r="M2502" s="5">
        <v>41248</v>
      </c>
      <c r="N2502">
        <f t="shared" si="92"/>
        <v>10</v>
      </c>
      <c r="O2502">
        <v>26</v>
      </c>
    </row>
    <row r="2503" spans="13:15" x14ac:dyDescent="0.25">
      <c r="M2503" s="5">
        <v>41247</v>
      </c>
      <c r="N2503">
        <f t="shared" si="92"/>
        <v>10</v>
      </c>
      <c r="O2503">
        <v>26</v>
      </c>
    </row>
    <row r="2504" spans="13:15" x14ac:dyDescent="0.25">
      <c r="M2504" s="5">
        <v>41246</v>
      </c>
      <c r="N2504">
        <f t="shared" si="92"/>
        <v>10</v>
      </c>
      <c r="O2504">
        <v>26</v>
      </c>
    </row>
    <row r="2505" spans="13:15" x14ac:dyDescent="0.25">
      <c r="M2505" s="5">
        <v>41245</v>
      </c>
      <c r="N2505">
        <f t="shared" si="92"/>
        <v>9</v>
      </c>
      <c r="O2505">
        <v>26</v>
      </c>
    </row>
    <row r="2506" spans="13:15" x14ac:dyDescent="0.25">
      <c r="M2506" s="5">
        <v>41244</v>
      </c>
      <c r="N2506">
        <f t="shared" si="92"/>
        <v>9</v>
      </c>
      <c r="O2506">
        <v>26</v>
      </c>
    </row>
    <row r="2507" spans="13:15" x14ac:dyDescent="0.25">
      <c r="M2507" s="5">
        <v>41243</v>
      </c>
      <c r="N2507">
        <f t="shared" si="92"/>
        <v>9</v>
      </c>
      <c r="O2507">
        <v>26</v>
      </c>
    </row>
    <row r="2508" spans="13:15" x14ac:dyDescent="0.25">
      <c r="M2508" s="5">
        <v>41242</v>
      </c>
      <c r="N2508">
        <f t="shared" si="92"/>
        <v>9</v>
      </c>
      <c r="O2508">
        <v>26</v>
      </c>
    </row>
    <row r="2509" spans="13:15" x14ac:dyDescent="0.25">
      <c r="M2509" s="5">
        <v>41241</v>
      </c>
      <c r="N2509">
        <f t="shared" si="92"/>
        <v>9</v>
      </c>
      <c r="O2509">
        <v>26</v>
      </c>
    </row>
    <row r="2510" spans="13:15" x14ac:dyDescent="0.25">
      <c r="M2510" s="5">
        <v>41240</v>
      </c>
      <c r="N2510">
        <f t="shared" si="92"/>
        <v>9</v>
      </c>
      <c r="O2510">
        <v>26</v>
      </c>
    </row>
    <row r="2511" spans="13:15" x14ac:dyDescent="0.25">
      <c r="M2511" s="5">
        <v>41239</v>
      </c>
      <c r="N2511">
        <f t="shared" si="92"/>
        <v>9</v>
      </c>
      <c r="O2511">
        <v>26</v>
      </c>
    </row>
    <row r="2512" spans="13:15" x14ac:dyDescent="0.25">
      <c r="M2512" s="5">
        <v>41238</v>
      </c>
      <c r="N2512">
        <f t="shared" si="92"/>
        <v>8</v>
      </c>
      <c r="O2512">
        <v>26</v>
      </c>
    </row>
    <row r="2513" spans="13:15" x14ac:dyDescent="0.25">
      <c r="M2513" s="5">
        <v>41237</v>
      </c>
      <c r="N2513">
        <f t="shared" si="92"/>
        <v>8</v>
      </c>
      <c r="O2513">
        <v>26</v>
      </c>
    </row>
    <row r="2514" spans="13:15" x14ac:dyDescent="0.25">
      <c r="M2514" s="5">
        <v>41236</v>
      </c>
      <c r="N2514">
        <f t="shared" si="92"/>
        <v>8</v>
      </c>
      <c r="O2514">
        <v>26</v>
      </c>
    </row>
    <row r="2515" spans="13:15" x14ac:dyDescent="0.25">
      <c r="M2515" s="5">
        <v>41235</v>
      </c>
      <c r="N2515">
        <f t="shared" si="92"/>
        <v>8</v>
      </c>
      <c r="O2515">
        <v>26</v>
      </c>
    </row>
    <row r="2516" spans="13:15" x14ac:dyDescent="0.25">
      <c r="M2516" s="5">
        <v>41234</v>
      </c>
      <c r="N2516">
        <f t="shared" si="92"/>
        <v>8</v>
      </c>
      <c r="O2516">
        <v>26</v>
      </c>
    </row>
    <row r="2517" spans="13:15" x14ac:dyDescent="0.25">
      <c r="M2517" s="5">
        <v>41233</v>
      </c>
      <c r="N2517">
        <f t="shared" si="92"/>
        <v>8</v>
      </c>
      <c r="O2517">
        <v>26</v>
      </c>
    </row>
    <row r="2518" spans="13:15" x14ac:dyDescent="0.25">
      <c r="M2518" s="5">
        <v>41232</v>
      </c>
      <c r="N2518">
        <f t="shared" si="92"/>
        <v>8</v>
      </c>
      <c r="O2518">
        <v>26</v>
      </c>
    </row>
    <row r="2519" spans="13:15" x14ac:dyDescent="0.25">
      <c r="M2519" s="5">
        <v>41231</v>
      </c>
      <c r="N2519">
        <f t="shared" si="92"/>
        <v>7</v>
      </c>
      <c r="O2519">
        <v>26</v>
      </c>
    </row>
    <row r="2520" spans="13:15" x14ac:dyDescent="0.25">
      <c r="M2520" s="5">
        <v>41230</v>
      </c>
      <c r="N2520">
        <f t="shared" si="92"/>
        <v>7</v>
      </c>
      <c r="O2520">
        <v>26</v>
      </c>
    </row>
    <row r="2521" spans="13:15" x14ac:dyDescent="0.25">
      <c r="M2521" s="5">
        <v>41229</v>
      </c>
      <c r="N2521">
        <f t="shared" si="92"/>
        <v>7</v>
      </c>
      <c r="O2521">
        <v>26</v>
      </c>
    </row>
    <row r="2522" spans="13:15" x14ac:dyDescent="0.25">
      <c r="M2522" s="5">
        <v>41228</v>
      </c>
      <c r="N2522">
        <f t="shared" si="92"/>
        <v>7</v>
      </c>
      <c r="O2522">
        <v>26</v>
      </c>
    </row>
    <row r="2523" spans="13:15" x14ac:dyDescent="0.25">
      <c r="M2523" s="5">
        <v>41227</v>
      </c>
      <c r="N2523">
        <f t="shared" si="92"/>
        <v>7</v>
      </c>
      <c r="O2523">
        <v>26</v>
      </c>
    </row>
    <row r="2524" spans="13:15" x14ac:dyDescent="0.25">
      <c r="M2524" s="5">
        <v>41226</v>
      </c>
      <c r="N2524">
        <f t="shared" si="92"/>
        <v>7</v>
      </c>
      <c r="O2524">
        <v>26</v>
      </c>
    </row>
    <row r="2525" spans="13:15" x14ac:dyDescent="0.25">
      <c r="M2525" s="5">
        <v>41225</v>
      </c>
      <c r="N2525">
        <f t="shared" si="92"/>
        <v>7</v>
      </c>
      <c r="O2525">
        <v>26</v>
      </c>
    </row>
    <row r="2526" spans="13:15" x14ac:dyDescent="0.25">
      <c r="M2526" s="5">
        <v>41224</v>
      </c>
      <c r="N2526">
        <f t="shared" si="92"/>
        <v>6</v>
      </c>
      <c r="O2526">
        <v>26</v>
      </c>
    </row>
    <row r="2527" spans="13:15" x14ac:dyDescent="0.25">
      <c r="M2527" s="5">
        <v>41223</v>
      </c>
      <c r="N2527">
        <f t="shared" ref="N2527:N2558" si="93">N2520-1</f>
        <v>6</v>
      </c>
      <c r="O2527">
        <v>26</v>
      </c>
    </row>
    <row r="2528" spans="13:15" x14ac:dyDescent="0.25">
      <c r="M2528" s="5">
        <v>41222</v>
      </c>
      <c r="N2528">
        <f t="shared" si="93"/>
        <v>6</v>
      </c>
      <c r="O2528">
        <v>26</v>
      </c>
    </row>
    <row r="2529" spans="13:15" x14ac:dyDescent="0.25">
      <c r="M2529" s="5">
        <v>41221</v>
      </c>
      <c r="N2529">
        <f t="shared" si="93"/>
        <v>6</v>
      </c>
      <c r="O2529">
        <v>26</v>
      </c>
    </row>
    <row r="2530" spans="13:15" x14ac:dyDescent="0.25">
      <c r="M2530" s="5">
        <v>41220</v>
      </c>
      <c r="N2530">
        <f t="shared" si="93"/>
        <v>6</v>
      </c>
      <c r="O2530">
        <v>26</v>
      </c>
    </row>
    <row r="2531" spans="13:15" x14ac:dyDescent="0.25">
      <c r="M2531" s="5">
        <v>41219</v>
      </c>
      <c r="N2531">
        <f t="shared" si="93"/>
        <v>6</v>
      </c>
      <c r="O2531">
        <v>26</v>
      </c>
    </row>
    <row r="2532" spans="13:15" x14ac:dyDescent="0.25">
      <c r="M2532" s="5">
        <v>41218</v>
      </c>
      <c r="N2532">
        <f t="shared" si="93"/>
        <v>6</v>
      </c>
      <c r="O2532">
        <v>26</v>
      </c>
    </row>
    <row r="2533" spans="13:15" x14ac:dyDescent="0.25">
      <c r="M2533" s="5">
        <v>41217</v>
      </c>
      <c r="N2533">
        <f t="shared" si="93"/>
        <v>5</v>
      </c>
      <c r="O2533">
        <v>26</v>
      </c>
    </row>
    <row r="2534" spans="13:15" x14ac:dyDescent="0.25">
      <c r="M2534" s="5">
        <v>41216</v>
      </c>
      <c r="N2534">
        <f t="shared" si="93"/>
        <v>5</v>
      </c>
      <c r="O2534">
        <v>26</v>
      </c>
    </row>
    <row r="2535" spans="13:15" x14ac:dyDescent="0.25">
      <c r="M2535" s="5">
        <v>41215</v>
      </c>
      <c r="N2535">
        <f t="shared" si="93"/>
        <v>5</v>
      </c>
      <c r="O2535">
        <v>26</v>
      </c>
    </row>
    <row r="2536" spans="13:15" x14ac:dyDescent="0.25">
      <c r="M2536" s="5">
        <v>41214</v>
      </c>
      <c r="N2536">
        <f t="shared" si="93"/>
        <v>5</v>
      </c>
      <c r="O2536">
        <v>26</v>
      </c>
    </row>
    <row r="2537" spans="13:15" x14ac:dyDescent="0.25">
      <c r="M2537" s="5">
        <v>41213</v>
      </c>
      <c r="N2537">
        <f t="shared" si="93"/>
        <v>5</v>
      </c>
      <c r="O2537">
        <v>26</v>
      </c>
    </row>
    <row r="2538" spans="13:15" x14ac:dyDescent="0.25">
      <c r="M2538" s="5">
        <v>41212</v>
      </c>
      <c r="N2538">
        <f t="shared" si="93"/>
        <v>5</v>
      </c>
      <c r="O2538">
        <v>26</v>
      </c>
    </row>
    <row r="2539" spans="13:15" x14ac:dyDescent="0.25">
      <c r="M2539" s="5">
        <v>41211</v>
      </c>
      <c r="N2539">
        <f t="shared" si="93"/>
        <v>5</v>
      </c>
      <c r="O2539">
        <v>26</v>
      </c>
    </row>
    <row r="2540" spans="13:15" x14ac:dyDescent="0.25">
      <c r="M2540" s="5">
        <v>41210</v>
      </c>
      <c r="N2540">
        <f t="shared" si="93"/>
        <v>4</v>
      </c>
      <c r="O2540">
        <v>26</v>
      </c>
    </row>
    <row r="2541" spans="13:15" x14ac:dyDescent="0.25">
      <c r="M2541" s="5">
        <v>41209</v>
      </c>
      <c r="N2541">
        <f t="shared" si="93"/>
        <v>4</v>
      </c>
      <c r="O2541">
        <v>26</v>
      </c>
    </row>
    <row r="2542" spans="13:15" x14ac:dyDescent="0.25">
      <c r="M2542" s="5">
        <v>41208</v>
      </c>
      <c r="N2542">
        <f t="shared" si="93"/>
        <v>4</v>
      </c>
      <c r="O2542">
        <v>26</v>
      </c>
    </row>
    <row r="2543" spans="13:15" x14ac:dyDescent="0.25">
      <c r="M2543" s="5">
        <v>41207</v>
      </c>
      <c r="N2543">
        <f t="shared" si="93"/>
        <v>4</v>
      </c>
      <c r="O2543">
        <v>26</v>
      </c>
    </row>
    <row r="2544" spans="13:15" x14ac:dyDescent="0.25">
      <c r="M2544" s="5">
        <v>41206</v>
      </c>
      <c r="N2544">
        <f t="shared" si="93"/>
        <v>4</v>
      </c>
      <c r="O2544">
        <v>26</v>
      </c>
    </row>
    <row r="2545" spans="13:15" x14ac:dyDescent="0.25">
      <c r="M2545" s="5">
        <v>41205</v>
      </c>
      <c r="N2545">
        <f t="shared" si="93"/>
        <v>4</v>
      </c>
      <c r="O2545">
        <v>26</v>
      </c>
    </row>
    <row r="2546" spans="13:15" x14ac:dyDescent="0.25">
      <c r="M2546" s="5">
        <v>41204</v>
      </c>
      <c r="N2546">
        <f t="shared" si="93"/>
        <v>4</v>
      </c>
      <c r="O2546">
        <v>26</v>
      </c>
    </row>
    <row r="2547" spans="13:15" x14ac:dyDescent="0.25">
      <c r="M2547" s="5">
        <v>41203</v>
      </c>
      <c r="N2547">
        <f t="shared" si="93"/>
        <v>3</v>
      </c>
      <c r="O2547">
        <v>26</v>
      </c>
    </row>
    <row r="2548" spans="13:15" x14ac:dyDescent="0.25">
      <c r="M2548" s="5">
        <v>41202</v>
      </c>
      <c r="N2548">
        <f t="shared" si="93"/>
        <v>3</v>
      </c>
      <c r="O2548">
        <v>26</v>
      </c>
    </row>
    <row r="2549" spans="13:15" x14ac:dyDescent="0.25">
      <c r="M2549" s="5">
        <v>41201</v>
      </c>
      <c r="N2549">
        <f t="shared" si="93"/>
        <v>3</v>
      </c>
      <c r="O2549">
        <v>26</v>
      </c>
    </row>
    <row r="2550" spans="13:15" x14ac:dyDescent="0.25">
      <c r="M2550" s="5">
        <v>41200</v>
      </c>
      <c r="N2550">
        <f t="shared" si="93"/>
        <v>3</v>
      </c>
      <c r="O2550">
        <v>26</v>
      </c>
    </row>
    <row r="2551" spans="13:15" x14ac:dyDescent="0.25">
      <c r="M2551" s="5">
        <v>41199</v>
      </c>
      <c r="N2551">
        <f t="shared" si="93"/>
        <v>3</v>
      </c>
      <c r="O2551">
        <v>26</v>
      </c>
    </row>
    <row r="2552" spans="13:15" x14ac:dyDescent="0.25">
      <c r="M2552" s="5">
        <v>41198</v>
      </c>
      <c r="N2552">
        <f t="shared" si="93"/>
        <v>3</v>
      </c>
      <c r="O2552">
        <v>26</v>
      </c>
    </row>
    <row r="2553" spans="13:15" x14ac:dyDescent="0.25">
      <c r="M2553" s="5">
        <v>41197</v>
      </c>
      <c r="N2553">
        <f t="shared" si="93"/>
        <v>3</v>
      </c>
      <c r="O2553">
        <v>26</v>
      </c>
    </row>
    <row r="2554" spans="13:15" x14ac:dyDescent="0.25">
      <c r="M2554" s="5">
        <v>41196</v>
      </c>
      <c r="N2554">
        <f t="shared" si="93"/>
        <v>2</v>
      </c>
      <c r="O2554">
        <v>26</v>
      </c>
    </row>
    <row r="2555" spans="13:15" x14ac:dyDescent="0.25">
      <c r="M2555" s="5">
        <v>41195</v>
      </c>
      <c r="N2555">
        <f t="shared" si="93"/>
        <v>2</v>
      </c>
      <c r="O2555">
        <v>26</v>
      </c>
    </row>
    <row r="2556" spans="13:15" x14ac:dyDescent="0.25">
      <c r="M2556" s="5">
        <v>41194</v>
      </c>
      <c r="N2556">
        <f t="shared" si="93"/>
        <v>2</v>
      </c>
      <c r="O2556">
        <v>26</v>
      </c>
    </row>
    <row r="2557" spans="13:15" x14ac:dyDescent="0.25">
      <c r="M2557" s="5">
        <v>41193</v>
      </c>
      <c r="N2557">
        <f t="shared" si="93"/>
        <v>2</v>
      </c>
      <c r="O2557">
        <v>26</v>
      </c>
    </row>
    <row r="2558" spans="13:15" x14ac:dyDescent="0.25">
      <c r="M2558" s="5">
        <v>41192</v>
      </c>
      <c r="N2558">
        <f t="shared" si="93"/>
        <v>2</v>
      </c>
      <c r="O2558">
        <v>26</v>
      </c>
    </row>
    <row r="2559" spans="13:15" x14ac:dyDescent="0.25">
      <c r="M2559" s="5">
        <v>41191</v>
      </c>
      <c r="N2559">
        <f t="shared" ref="N2559:N2567" si="94">N2552-1</f>
        <v>2</v>
      </c>
      <c r="O2559">
        <v>26</v>
      </c>
    </row>
    <row r="2560" spans="13:15" x14ac:dyDescent="0.25">
      <c r="M2560" s="5">
        <v>41190</v>
      </c>
      <c r="N2560">
        <f t="shared" si="94"/>
        <v>2</v>
      </c>
      <c r="O2560">
        <v>26</v>
      </c>
    </row>
    <row r="2561" spans="13:15" x14ac:dyDescent="0.25">
      <c r="M2561" s="5">
        <v>41189</v>
      </c>
      <c r="N2561">
        <f t="shared" si="94"/>
        <v>1</v>
      </c>
      <c r="O2561">
        <v>26</v>
      </c>
    </row>
    <row r="2562" spans="13:15" x14ac:dyDescent="0.25">
      <c r="M2562" s="5">
        <v>41188</v>
      </c>
      <c r="N2562">
        <f t="shared" si="94"/>
        <v>1</v>
      </c>
      <c r="O2562">
        <v>26</v>
      </c>
    </row>
    <row r="2563" spans="13:15" x14ac:dyDescent="0.25">
      <c r="M2563" s="5">
        <v>41187</v>
      </c>
      <c r="N2563">
        <f t="shared" si="94"/>
        <v>1</v>
      </c>
      <c r="O2563">
        <v>26</v>
      </c>
    </row>
    <row r="2564" spans="13:15" x14ac:dyDescent="0.25">
      <c r="M2564" s="5">
        <v>41186</v>
      </c>
      <c r="N2564">
        <f t="shared" si="94"/>
        <v>1</v>
      </c>
      <c r="O2564">
        <v>26</v>
      </c>
    </row>
    <row r="2565" spans="13:15" x14ac:dyDescent="0.25">
      <c r="M2565" s="5">
        <v>41185</v>
      </c>
      <c r="N2565">
        <f t="shared" si="94"/>
        <v>1</v>
      </c>
      <c r="O2565">
        <v>26</v>
      </c>
    </row>
    <row r="2566" spans="13:15" x14ac:dyDescent="0.25">
      <c r="M2566" s="5">
        <v>41184</v>
      </c>
      <c r="N2566">
        <f t="shared" si="94"/>
        <v>1</v>
      </c>
      <c r="O2566">
        <v>26</v>
      </c>
    </row>
    <row r="2567" spans="13:15" x14ac:dyDescent="0.25">
      <c r="M2567" s="5">
        <v>41183</v>
      </c>
      <c r="N2567">
        <f t="shared" si="94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5">N2568-1</f>
        <v>15</v>
      </c>
      <c r="O2575">
        <v>25</v>
      </c>
    </row>
    <row r="2576" spans="13:15" x14ac:dyDescent="0.25">
      <c r="M2576" s="5">
        <v>41174</v>
      </c>
      <c r="N2576">
        <f t="shared" si="95"/>
        <v>15</v>
      </c>
      <c r="O2576">
        <v>25</v>
      </c>
    </row>
    <row r="2577" spans="13:15" x14ac:dyDescent="0.25">
      <c r="M2577" s="5">
        <v>41173</v>
      </c>
      <c r="N2577">
        <f t="shared" si="95"/>
        <v>15</v>
      </c>
      <c r="O2577">
        <v>25</v>
      </c>
    </row>
    <row r="2578" spans="13:15" x14ac:dyDescent="0.25">
      <c r="M2578" s="5">
        <v>41172</v>
      </c>
      <c r="N2578">
        <f t="shared" si="95"/>
        <v>15</v>
      </c>
      <c r="O2578">
        <v>25</v>
      </c>
    </row>
    <row r="2579" spans="13:15" x14ac:dyDescent="0.25">
      <c r="M2579" s="5">
        <v>41171</v>
      </c>
      <c r="N2579">
        <f t="shared" si="95"/>
        <v>15</v>
      </c>
      <c r="O2579">
        <v>25</v>
      </c>
    </row>
    <row r="2580" spans="13:15" x14ac:dyDescent="0.25">
      <c r="M2580" s="5">
        <v>41170</v>
      </c>
      <c r="N2580">
        <f t="shared" si="95"/>
        <v>15</v>
      </c>
      <c r="O2580">
        <v>25</v>
      </c>
    </row>
    <row r="2581" spans="13:15" x14ac:dyDescent="0.25">
      <c r="M2581" s="5">
        <v>41169</v>
      </c>
      <c r="N2581">
        <f t="shared" si="95"/>
        <v>15</v>
      </c>
      <c r="O2581">
        <v>25</v>
      </c>
    </row>
    <row r="2582" spans="13:15" x14ac:dyDescent="0.25">
      <c r="M2582" s="5">
        <v>41168</v>
      </c>
      <c r="N2582">
        <f t="shared" si="95"/>
        <v>14</v>
      </c>
      <c r="O2582">
        <v>25</v>
      </c>
    </row>
    <row r="2583" spans="13:15" x14ac:dyDescent="0.25">
      <c r="M2583" s="5">
        <v>41167</v>
      </c>
      <c r="N2583">
        <f t="shared" si="95"/>
        <v>14</v>
      </c>
      <c r="O2583">
        <v>25</v>
      </c>
    </row>
    <row r="2584" spans="13:15" x14ac:dyDescent="0.25">
      <c r="M2584" s="5">
        <v>41166</v>
      </c>
      <c r="N2584">
        <f t="shared" si="95"/>
        <v>14</v>
      </c>
      <c r="O2584">
        <v>25</v>
      </c>
    </row>
    <row r="2585" spans="13:15" x14ac:dyDescent="0.25">
      <c r="M2585" s="5">
        <v>41165</v>
      </c>
      <c r="N2585">
        <f t="shared" si="95"/>
        <v>14</v>
      </c>
      <c r="O2585">
        <v>25</v>
      </c>
    </row>
    <row r="2586" spans="13:15" x14ac:dyDescent="0.25">
      <c r="M2586" s="5">
        <v>41164</v>
      </c>
      <c r="N2586">
        <f t="shared" si="95"/>
        <v>14</v>
      </c>
      <c r="O2586">
        <v>25</v>
      </c>
    </row>
    <row r="2587" spans="13:15" x14ac:dyDescent="0.25">
      <c r="M2587" s="5">
        <v>41163</v>
      </c>
      <c r="N2587">
        <f t="shared" si="95"/>
        <v>14</v>
      </c>
      <c r="O2587">
        <v>25</v>
      </c>
    </row>
    <row r="2588" spans="13:15" x14ac:dyDescent="0.25">
      <c r="M2588" s="5">
        <v>41162</v>
      </c>
      <c r="N2588">
        <f t="shared" si="95"/>
        <v>14</v>
      </c>
      <c r="O2588">
        <v>25</v>
      </c>
    </row>
    <row r="2589" spans="13:15" x14ac:dyDescent="0.25">
      <c r="M2589" s="5">
        <v>41161</v>
      </c>
      <c r="N2589">
        <f t="shared" si="95"/>
        <v>13</v>
      </c>
      <c r="O2589">
        <v>25</v>
      </c>
    </row>
    <row r="2590" spans="13:15" x14ac:dyDescent="0.25">
      <c r="M2590" s="5">
        <v>41160</v>
      </c>
      <c r="N2590">
        <f t="shared" si="95"/>
        <v>13</v>
      </c>
      <c r="O2590">
        <v>25</v>
      </c>
    </row>
    <row r="2591" spans="13:15" x14ac:dyDescent="0.25">
      <c r="M2591" s="5">
        <v>41159</v>
      </c>
      <c r="N2591">
        <f t="shared" si="95"/>
        <v>13</v>
      </c>
      <c r="O2591">
        <v>25</v>
      </c>
    </row>
    <row r="2592" spans="13:15" x14ac:dyDescent="0.25">
      <c r="M2592" s="5">
        <v>41158</v>
      </c>
      <c r="N2592">
        <f t="shared" si="95"/>
        <v>13</v>
      </c>
      <c r="O2592">
        <v>25</v>
      </c>
    </row>
    <row r="2593" spans="13:15" x14ac:dyDescent="0.25">
      <c r="M2593" s="5">
        <v>41157</v>
      </c>
      <c r="N2593">
        <f t="shared" si="95"/>
        <v>13</v>
      </c>
      <c r="O2593">
        <v>25</v>
      </c>
    </row>
    <row r="2594" spans="13:15" x14ac:dyDescent="0.25">
      <c r="M2594" s="5">
        <v>41156</v>
      </c>
      <c r="N2594">
        <f t="shared" si="95"/>
        <v>13</v>
      </c>
      <c r="O2594">
        <v>25</v>
      </c>
    </row>
    <row r="2595" spans="13:15" x14ac:dyDescent="0.25">
      <c r="M2595" s="5">
        <v>41155</v>
      </c>
      <c r="N2595">
        <f t="shared" si="95"/>
        <v>13</v>
      </c>
      <c r="O2595">
        <v>25</v>
      </c>
    </row>
    <row r="2596" spans="13:15" x14ac:dyDescent="0.25">
      <c r="M2596" s="5">
        <v>41154</v>
      </c>
      <c r="N2596">
        <f t="shared" si="95"/>
        <v>12</v>
      </c>
      <c r="O2596">
        <v>25</v>
      </c>
    </row>
    <row r="2597" spans="13:15" x14ac:dyDescent="0.25">
      <c r="M2597" s="5">
        <v>41153</v>
      </c>
      <c r="N2597">
        <f t="shared" si="95"/>
        <v>12</v>
      </c>
      <c r="O2597">
        <v>25</v>
      </c>
    </row>
    <row r="2598" spans="13:15" x14ac:dyDescent="0.25">
      <c r="M2598" s="5">
        <v>41152</v>
      </c>
      <c r="N2598">
        <f t="shared" si="95"/>
        <v>12</v>
      </c>
      <c r="O2598">
        <v>25</v>
      </c>
    </row>
    <row r="2599" spans="13:15" x14ac:dyDescent="0.25">
      <c r="M2599" s="5">
        <v>41151</v>
      </c>
      <c r="N2599">
        <f t="shared" si="95"/>
        <v>12</v>
      </c>
      <c r="O2599">
        <v>25</v>
      </c>
    </row>
    <row r="2600" spans="13:15" x14ac:dyDescent="0.25">
      <c r="M2600" s="5">
        <v>41150</v>
      </c>
      <c r="N2600">
        <f t="shared" si="95"/>
        <v>12</v>
      </c>
      <c r="O2600">
        <v>25</v>
      </c>
    </row>
    <row r="2601" spans="13:15" x14ac:dyDescent="0.25">
      <c r="M2601" s="5">
        <v>41149</v>
      </c>
      <c r="N2601">
        <f t="shared" si="95"/>
        <v>12</v>
      </c>
      <c r="O2601">
        <v>25</v>
      </c>
    </row>
    <row r="2602" spans="13:15" x14ac:dyDescent="0.25">
      <c r="M2602" s="5">
        <v>41148</v>
      </c>
      <c r="N2602">
        <f t="shared" si="95"/>
        <v>12</v>
      </c>
      <c r="O2602">
        <v>25</v>
      </c>
    </row>
    <row r="2603" spans="13:15" x14ac:dyDescent="0.25">
      <c r="M2603" s="5">
        <v>41147</v>
      </c>
      <c r="N2603">
        <f t="shared" si="95"/>
        <v>11</v>
      </c>
      <c r="O2603">
        <v>25</v>
      </c>
    </row>
    <row r="2604" spans="13:15" x14ac:dyDescent="0.25">
      <c r="M2604" s="5">
        <v>41146</v>
      </c>
      <c r="N2604">
        <f t="shared" si="95"/>
        <v>11</v>
      </c>
      <c r="O2604">
        <v>25</v>
      </c>
    </row>
    <row r="2605" spans="13:15" x14ac:dyDescent="0.25">
      <c r="M2605" s="5">
        <v>41145</v>
      </c>
      <c r="N2605">
        <f t="shared" si="95"/>
        <v>11</v>
      </c>
      <c r="O2605">
        <v>25</v>
      </c>
    </row>
    <row r="2606" spans="13:15" x14ac:dyDescent="0.25">
      <c r="M2606" s="5">
        <v>41144</v>
      </c>
      <c r="N2606">
        <f t="shared" si="95"/>
        <v>11</v>
      </c>
      <c r="O2606">
        <v>25</v>
      </c>
    </row>
    <row r="2607" spans="13:15" x14ac:dyDescent="0.25">
      <c r="M2607" s="5">
        <v>41143</v>
      </c>
      <c r="N2607">
        <f t="shared" ref="N2607:N2638" si="96">N2600-1</f>
        <v>11</v>
      </c>
      <c r="O2607">
        <v>25</v>
      </c>
    </row>
    <row r="2608" spans="13:15" x14ac:dyDescent="0.25">
      <c r="M2608" s="5">
        <v>41142</v>
      </c>
      <c r="N2608">
        <f t="shared" si="96"/>
        <v>11</v>
      </c>
      <c r="O2608">
        <v>25</v>
      </c>
    </row>
    <row r="2609" spans="13:15" x14ac:dyDescent="0.25">
      <c r="M2609" s="5">
        <v>41141</v>
      </c>
      <c r="N2609">
        <f t="shared" si="96"/>
        <v>11</v>
      </c>
      <c r="O2609">
        <v>25</v>
      </c>
    </row>
    <row r="2610" spans="13:15" x14ac:dyDescent="0.25">
      <c r="M2610" s="5">
        <v>41140</v>
      </c>
      <c r="N2610">
        <f t="shared" si="96"/>
        <v>10</v>
      </c>
      <c r="O2610">
        <v>25</v>
      </c>
    </row>
    <row r="2611" spans="13:15" x14ac:dyDescent="0.25">
      <c r="M2611" s="5">
        <v>41139</v>
      </c>
      <c r="N2611">
        <f t="shared" si="96"/>
        <v>10</v>
      </c>
      <c r="O2611">
        <v>25</v>
      </c>
    </row>
    <row r="2612" spans="13:15" x14ac:dyDescent="0.25">
      <c r="M2612" s="5">
        <v>41138</v>
      </c>
      <c r="N2612">
        <f t="shared" si="96"/>
        <v>10</v>
      </c>
      <c r="O2612">
        <v>25</v>
      </c>
    </row>
    <row r="2613" spans="13:15" x14ac:dyDescent="0.25">
      <c r="M2613" s="5">
        <v>41137</v>
      </c>
      <c r="N2613">
        <f t="shared" si="96"/>
        <v>10</v>
      </c>
      <c r="O2613">
        <v>25</v>
      </c>
    </row>
    <row r="2614" spans="13:15" x14ac:dyDescent="0.25">
      <c r="M2614" s="5">
        <v>41136</v>
      </c>
      <c r="N2614">
        <f t="shared" si="96"/>
        <v>10</v>
      </c>
      <c r="O2614">
        <v>25</v>
      </c>
    </row>
    <row r="2615" spans="13:15" x14ac:dyDescent="0.25">
      <c r="M2615" s="5">
        <v>41135</v>
      </c>
      <c r="N2615">
        <f t="shared" si="96"/>
        <v>10</v>
      </c>
      <c r="O2615">
        <v>25</v>
      </c>
    </row>
    <row r="2616" spans="13:15" x14ac:dyDescent="0.25">
      <c r="M2616" s="5">
        <v>41134</v>
      </c>
      <c r="N2616">
        <f t="shared" si="96"/>
        <v>10</v>
      </c>
      <c r="O2616">
        <v>25</v>
      </c>
    </row>
    <row r="2617" spans="13:15" x14ac:dyDescent="0.25">
      <c r="M2617" s="5">
        <v>41133</v>
      </c>
      <c r="N2617">
        <f t="shared" si="96"/>
        <v>9</v>
      </c>
      <c r="O2617">
        <v>25</v>
      </c>
    </row>
    <row r="2618" spans="13:15" x14ac:dyDescent="0.25">
      <c r="M2618" s="5">
        <v>41132</v>
      </c>
      <c r="N2618">
        <f t="shared" si="96"/>
        <v>9</v>
      </c>
      <c r="O2618">
        <v>25</v>
      </c>
    </row>
    <row r="2619" spans="13:15" x14ac:dyDescent="0.25">
      <c r="M2619" s="5">
        <v>41131</v>
      </c>
      <c r="N2619">
        <f t="shared" si="96"/>
        <v>9</v>
      </c>
      <c r="O2619">
        <v>25</v>
      </c>
    </row>
    <row r="2620" spans="13:15" x14ac:dyDescent="0.25">
      <c r="M2620" s="5">
        <v>41130</v>
      </c>
      <c r="N2620">
        <f t="shared" si="96"/>
        <v>9</v>
      </c>
      <c r="O2620">
        <v>25</v>
      </c>
    </row>
    <row r="2621" spans="13:15" x14ac:dyDescent="0.25">
      <c r="M2621" s="5">
        <v>41129</v>
      </c>
      <c r="N2621">
        <f t="shared" si="96"/>
        <v>9</v>
      </c>
      <c r="O2621">
        <v>25</v>
      </c>
    </row>
    <row r="2622" spans="13:15" x14ac:dyDescent="0.25">
      <c r="M2622" s="5">
        <v>41128</v>
      </c>
      <c r="N2622">
        <f t="shared" si="96"/>
        <v>9</v>
      </c>
      <c r="O2622">
        <v>25</v>
      </c>
    </row>
    <row r="2623" spans="13:15" x14ac:dyDescent="0.25">
      <c r="M2623" s="5">
        <v>41127</v>
      </c>
      <c r="N2623">
        <f t="shared" si="96"/>
        <v>9</v>
      </c>
      <c r="O2623">
        <v>25</v>
      </c>
    </row>
    <row r="2624" spans="13:15" x14ac:dyDescent="0.25">
      <c r="M2624" s="5">
        <v>41126</v>
      </c>
      <c r="N2624">
        <f t="shared" si="96"/>
        <v>8</v>
      </c>
      <c r="O2624">
        <v>25</v>
      </c>
    </row>
    <row r="2625" spans="13:15" x14ac:dyDescent="0.25">
      <c r="M2625" s="5">
        <v>41125</v>
      </c>
      <c r="N2625">
        <f t="shared" si="96"/>
        <v>8</v>
      </c>
      <c r="O2625">
        <v>25</v>
      </c>
    </row>
    <row r="2626" spans="13:15" x14ac:dyDescent="0.25">
      <c r="M2626" s="5">
        <v>41124</v>
      </c>
      <c r="N2626">
        <f t="shared" si="96"/>
        <v>8</v>
      </c>
      <c r="O2626">
        <v>25</v>
      </c>
    </row>
    <row r="2627" spans="13:15" x14ac:dyDescent="0.25">
      <c r="M2627" s="5">
        <v>41123</v>
      </c>
      <c r="N2627">
        <f t="shared" si="96"/>
        <v>8</v>
      </c>
      <c r="O2627">
        <v>25</v>
      </c>
    </row>
    <row r="2628" spans="13:15" x14ac:dyDescent="0.25">
      <c r="M2628" s="5">
        <v>41122</v>
      </c>
      <c r="N2628">
        <f t="shared" si="96"/>
        <v>8</v>
      </c>
      <c r="O2628">
        <v>25</v>
      </c>
    </row>
    <row r="2629" spans="13:15" x14ac:dyDescent="0.25">
      <c r="M2629" s="5">
        <v>41121</v>
      </c>
      <c r="N2629">
        <f t="shared" si="96"/>
        <v>8</v>
      </c>
      <c r="O2629">
        <v>25</v>
      </c>
    </row>
    <row r="2630" spans="13:15" x14ac:dyDescent="0.25">
      <c r="M2630" s="5">
        <v>41120</v>
      </c>
      <c r="N2630">
        <f t="shared" si="96"/>
        <v>8</v>
      </c>
      <c r="O2630">
        <v>25</v>
      </c>
    </row>
    <row r="2631" spans="13:15" x14ac:dyDescent="0.25">
      <c r="M2631" s="5">
        <v>41119</v>
      </c>
      <c r="N2631">
        <f t="shared" si="96"/>
        <v>7</v>
      </c>
      <c r="O2631">
        <v>25</v>
      </c>
    </row>
    <row r="2632" spans="13:15" x14ac:dyDescent="0.25">
      <c r="M2632" s="5">
        <v>41118</v>
      </c>
      <c r="N2632">
        <f t="shared" si="96"/>
        <v>7</v>
      </c>
      <c r="O2632">
        <v>25</v>
      </c>
    </row>
    <row r="2633" spans="13:15" x14ac:dyDescent="0.25">
      <c r="M2633" s="5">
        <v>41117</v>
      </c>
      <c r="N2633">
        <f t="shared" si="96"/>
        <v>7</v>
      </c>
      <c r="O2633">
        <v>25</v>
      </c>
    </row>
    <row r="2634" spans="13:15" x14ac:dyDescent="0.25">
      <c r="M2634" s="5">
        <v>41116</v>
      </c>
      <c r="N2634">
        <f t="shared" si="96"/>
        <v>7</v>
      </c>
      <c r="O2634">
        <v>25</v>
      </c>
    </row>
    <row r="2635" spans="13:15" x14ac:dyDescent="0.25">
      <c r="M2635" s="5">
        <v>41115</v>
      </c>
      <c r="N2635">
        <f t="shared" si="96"/>
        <v>7</v>
      </c>
      <c r="O2635">
        <v>25</v>
      </c>
    </row>
    <row r="2636" spans="13:15" x14ac:dyDescent="0.25">
      <c r="M2636" s="5">
        <v>41114</v>
      </c>
      <c r="N2636">
        <f t="shared" si="96"/>
        <v>7</v>
      </c>
      <c r="O2636">
        <v>25</v>
      </c>
    </row>
    <row r="2637" spans="13:15" x14ac:dyDescent="0.25">
      <c r="M2637" s="5">
        <v>41113</v>
      </c>
      <c r="N2637">
        <f t="shared" si="96"/>
        <v>7</v>
      </c>
      <c r="O2637">
        <v>25</v>
      </c>
    </row>
    <row r="2638" spans="13:15" x14ac:dyDescent="0.25">
      <c r="M2638" s="5">
        <v>41112</v>
      </c>
      <c r="N2638">
        <f t="shared" si="96"/>
        <v>6</v>
      </c>
      <c r="O2638">
        <v>25</v>
      </c>
    </row>
    <row r="2639" spans="13:15" x14ac:dyDescent="0.25">
      <c r="M2639" s="5">
        <v>41111</v>
      </c>
      <c r="N2639">
        <f t="shared" ref="N2639:N2670" si="97">N2632-1</f>
        <v>6</v>
      </c>
      <c r="O2639">
        <v>25</v>
      </c>
    </row>
    <row r="2640" spans="13:15" x14ac:dyDescent="0.25">
      <c r="M2640" s="5">
        <v>41110</v>
      </c>
      <c r="N2640">
        <f t="shared" si="97"/>
        <v>6</v>
      </c>
      <c r="O2640">
        <v>25</v>
      </c>
    </row>
    <row r="2641" spans="13:15" x14ac:dyDescent="0.25">
      <c r="M2641" s="5">
        <v>41109</v>
      </c>
      <c r="N2641">
        <f t="shared" si="97"/>
        <v>6</v>
      </c>
      <c r="O2641">
        <v>25</v>
      </c>
    </row>
    <row r="2642" spans="13:15" x14ac:dyDescent="0.25">
      <c r="M2642" s="5">
        <v>41108</v>
      </c>
      <c r="N2642">
        <f t="shared" si="97"/>
        <v>6</v>
      </c>
      <c r="O2642">
        <v>25</v>
      </c>
    </row>
    <row r="2643" spans="13:15" x14ac:dyDescent="0.25">
      <c r="M2643" s="5">
        <v>41107</v>
      </c>
      <c r="N2643">
        <f t="shared" si="97"/>
        <v>6</v>
      </c>
      <c r="O2643">
        <v>25</v>
      </c>
    </row>
    <row r="2644" spans="13:15" x14ac:dyDescent="0.25">
      <c r="M2644" s="5">
        <v>41106</v>
      </c>
      <c r="N2644">
        <f t="shared" si="97"/>
        <v>6</v>
      </c>
      <c r="O2644">
        <v>25</v>
      </c>
    </row>
    <row r="2645" spans="13:15" x14ac:dyDescent="0.25">
      <c r="M2645" s="5">
        <v>41105</v>
      </c>
      <c r="N2645">
        <f t="shared" si="97"/>
        <v>5</v>
      </c>
      <c r="O2645">
        <v>25</v>
      </c>
    </row>
    <row r="2646" spans="13:15" x14ac:dyDescent="0.25">
      <c r="M2646" s="5">
        <v>41104</v>
      </c>
      <c r="N2646">
        <f t="shared" si="97"/>
        <v>5</v>
      </c>
      <c r="O2646">
        <v>25</v>
      </c>
    </row>
    <row r="2647" spans="13:15" x14ac:dyDescent="0.25">
      <c r="M2647" s="5">
        <v>41103</v>
      </c>
      <c r="N2647">
        <f t="shared" si="97"/>
        <v>5</v>
      </c>
      <c r="O2647">
        <v>25</v>
      </c>
    </row>
    <row r="2648" spans="13:15" x14ac:dyDescent="0.25">
      <c r="M2648" s="5">
        <v>41102</v>
      </c>
      <c r="N2648">
        <f t="shared" si="97"/>
        <v>5</v>
      </c>
      <c r="O2648">
        <v>25</v>
      </c>
    </row>
    <row r="2649" spans="13:15" x14ac:dyDescent="0.25">
      <c r="M2649" s="5">
        <v>41101</v>
      </c>
      <c r="N2649">
        <f t="shared" si="97"/>
        <v>5</v>
      </c>
      <c r="O2649">
        <v>25</v>
      </c>
    </row>
    <row r="2650" spans="13:15" x14ac:dyDescent="0.25">
      <c r="M2650" s="5">
        <v>41100</v>
      </c>
      <c r="N2650">
        <f t="shared" si="97"/>
        <v>5</v>
      </c>
      <c r="O2650">
        <v>25</v>
      </c>
    </row>
    <row r="2651" spans="13:15" x14ac:dyDescent="0.25">
      <c r="M2651" s="5">
        <v>41099</v>
      </c>
      <c r="N2651">
        <f t="shared" si="97"/>
        <v>5</v>
      </c>
      <c r="O2651">
        <v>25</v>
      </c>
    </row>
    <row r="2652" spans="13:15" x14ac:dyDescent="0.25">
      <c r="M2652" s="5">
        <v>41098</v>
      </c>
      <c r="N2652">
        <f t="shared" si="97"/>
        <v>4</v>
      </c>
      <c r="O2652">
        <v>25</v>
      </c>
    </row>
    <row r="2653" spans="13:15" x14ac:dyDescent="0.25">
      <c r="M2653" s="5">
        <v>41097</v>
      </c>
      <c r="N2653">
        <f t="shared" si="97"/>
        <v>4</v>
      </c>
      <c r="O2653">
        <v>25</v>
      </c>
    </row>
    <row r="2654" spans="13:15" x14ac:dyDescent="0.25">
      <c r="M2654" s="5">
        <v>41096</v>
      </c>
      <c r="N2654">
        <f t="shared" si="97"/>
        <v>4</v>
      </c>
      <c r="O2654">
        <v>25</v>
      </c>
    </row>
    <row r="2655" spans="13:15" x14ac:dyDescent="0.25">
      <c r="M2655" s="5">
        <v>41095</v>
      </c>
      <c r="N2655">
        <f t="shared" si="97"/>
        <v>4</v>
      </c>
      <c r="O2655">
        <v>25</v>
      </c>
    </row>
    <row r="2656" spans="13:15" x14ac:dyDescent="0.25">
      <c r="M2656" s="5">
        <v>41094</v>
      </c>
      <c r="N2656">
        <f t="shared" si="97"/>
        <v>4</v>
      </c>
      <c r="O2656">
        <v>25</v>
      </c>
    </row>
    <row r="2657" spans="13:15" x14ac:dyDescent="0.25">
      <c r="M2657" s="5">
        <v>41093</v>
      </c>
      <c r="N2657">
        <f t="shared" si="97"/>
        <v>4</v>
      </c>
      <c r="O2657">
        <v>25</v>
      </c>
    </row>
    <row r="2658" spans="13:15" x14ac:dyDescent="0.25">
      <c r="M2658" s="5">
        <v>41092</v>
      </c>
      <c r="N2658">
        <f t="shared" si="97"/>
        <v>4</v>
      </c>
      <c r="O2658">
        <v>25</v>
      </c>
    </row>
    <row r="2659" spans="13:15" x14ac:dyDescent="0.25">
      <c r="M2659" s="5">
        <v>41091</v>
      </c>
      <c r="N2659">
        <f t="shared" si="97"/>
        <v>3</v>
      </c>
      <c r="O2659">
        <v>25</v>
      </c>
    </row>
    <row r="2660" spans="13:15" x14ac:dyDescent="0.25">
      <c r="M2660" s="5">
        <v>41090</v>
      </c>
      <c r="N2660">
        <f t="shared" si="97"/>
        <v>3</v>
      </c>
      <c r="O2660">
        <v>25</v>
      </c>
    </row>
    <row r="2661" spans="13:15" x14ac:dyDescent="0.25">
      <c r="M2661" s="5">
        <v>41089</v>
      </c>
      <c r="N2661">
        <f t="shared" si="97"/>
        <v>3</v>
      </c>
      <c r="O2661">
        <v>25</v>
      </c>
    </row>
    <row r="2662" spans="13:15" x14ac:dyDescent="0.25">
      <c r="M2662" s="5">
        <v>41088</v>
      </c>
      <c r="N2662">
        <f t="shared" si="97"/>
        <v>3</v>
      </c>
      <c r="O2662">
        <v>25</v>
      </c>
    </row>
    <row r="2663" spans="13:15" x14ac:dyDescent="0.25">
      <c r="M2663" s="5">
        <v>41087</v>
      </c>
      <c r="N2663">
        <f t="shared" si="97"/>
        <v>3</v>
      </c>
      <c r="O2663">
        <v>25</v>
      </c>
    </row>
    <row r="2664" spans="13:15" x14ac:dyDescent="0.25">
      <c r="M2664" s="5">
        <v>41086</v>
      </c>
      <c r="N2664">
        <f t="shared" si="97"/>
        <v>3</v>
      </c>
      <c r="O2664">
        <v>25</v>
      </c>
    </row>
    <row r="2665" spans="13:15" x14ac:dyDescent="0.25">
      <c r="M2665" s="5">
        <v>41085</v>
      </c>
      <c r="N2665">
        <f t="shared" si="97"/>
        <v>3</v>
      </c>
      <c r="O2665">
        <v>25</v>
      </c>
    </row>
    <row r="2666" spans="13:15" x14ac:dyDescent="0.25">
      <c r="M2666" s="5">
        <v>41084</v>
      </c>
      <c r="N2666">
        <f t="shared" si="97"/>
        <v>2</v>
      </c>
      <c r="O2666">
        <v>25</v>
      </c>
    </row>
    <row r="2667" spans="13:15" x14ac:dyDescent="0.25">
      <c r="M2667" s="5">
        <v>41083</v>
      </c>
      <c r="N2667">
        <f t="shared" si="97"/>
        <v>2</v>
      </c>
      <c r="O2667">
        <v>25</v>
      </c>
    </row>
    <row r="2668" spans="13:15" x14ac:dyDescent="0.25">
      <c r="M2668" s="5">
        <v>41082</v>
      </c>
      <c r="N2668">
        <f t="shared" si="97"/>
        <v>2</v>
      </c>
      <c r="O2668">
        <v>25</v>
      </c>
    </row>
    <row r="2669" spans="13:15" x14ac:dyDescent="0.25">
      <c r="M2669" s="5">
        <v>41081</v>
      </c>
      <c r="N2669">
        <f t="shared" si="97"/>
        <v>2</v>
      </c>
      <c r="O2669">
        <v>25</v>
      </c>
    </row>
    <row r="2670" spans="13:15" x14ac:dyDescent="0.25">
      <c r="M2670" s="5">
        <v>41080</v>
      </c>
      <c r="N2670">
        <f t="shared" si="97"/>
        <v>2</v>
      </c>
      <c r="O2670">
        <v>25</v>
      </c>
    </row>
    <row r="2671" spans="13:15" x14ac:dyDescent="0.25">
      <c r="M2671" s="5">
        <v>41079</v>
      </c>
      <c r="N2671">
        <f t="shared" ref="N2671:N2679" si="98">N2664-1</f>
        <v>2</v>
      </c>
      <c r="O2671">
        <v>25</v>
      </c>
    </row>
    <row r="2672" spans="13:15" x14ac:dyDescent="0.25">
      <c r="M2672" s="5">
        <v>41078</v>
      </c>
      <c r="N2672">
        <f t="shared" si="98"/>
        <v>2</v>
      </c>
      <c r="O2672">
        <v>25</v>
      </c>
    </row>
    <row r="2673" spans="13:15" x14ac:dyDescent="0.25">
      <c r="M2673" s="5">
        <v>41077</v>
      </c>
      <c r="N2673">
        <f t="shared" si="98"/>
        <v>1</v>
      </c>
      <c r="O2673">
        <v>25</v>
      </c>
    </row>
    <row r="2674" spans="13:15" x14ac:dyDescent="0.25">
      <c r="M2674" s="5">
        <v>41076</v>
      </c>
      <c r="N2674">
        <f t="shared" si="98"/>
        <v>1</v>
      </c>
      <c r="O2674">
        <v>25</v>
      </c>
    </row>
    <row r="2675" spans="13:15" x14ac:dyDescent="0.25">
      <c r="M2675" s="5">
        <v>41075</v>
      </c>
      <c r="N2675">
        <f t="shared" si="98"/>
        <v>1</v>
      </c>
      <c r="O2675">
        <v>25</v>
      </c>
    </row>
    <row r="2676" spans="13:15" x14ac:dyDescent="0.25">
      <c r="M2676" s="5">
        <v>41074</v>
      </c>
      <c r="N2676">
        <f t="shared" si="98"/>
        <v>1</v>
      </c>
      <c r="O2676">
        <v>25</v>
      </c>
    </row>
    <row r="2677" spans="13:15" x14ac:dyDescent="0.25">
      <c r="M2677" s="5">
        <v>41073</v>
      </c>
      <c r="N2677">
        <f t="shared" si="98"/>
        <v>1</v>
      </c>
      <c r="O2677">
        <v>25</v>
      </c>
    </row>
    <row r="2678" spans="13:15" x14ac:dyDescent="0.25">
      <c r="M2678" s="5">
        <v>41072</v>
      </c>
      <c r="N2678">
        <f t="shared" si="98"/>
        <v>1</v>
      </c>
      <c r="O2678">
        <v>25</v>
      </c>
    </row>
    <row r="2679" spans="13:15" x14ac:dyDescent="0.25">
      <c r="M2679" s="5">
        <v>41071</v>
      </c>
      <c r="N2679">
        <f t="shared" si="98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9">N2680-1</f>
        <v>15</v>
      </c>
      <c r="O2687">
        <v>24</v>
      </c>
    </row>
    <row r="2688" spans="13:15" x14ac:dyDescent="0.25">
      <c r="M2688" s="5">
        <v>41062</v>
      </c>
      <c r="N2688">
        <f t="shared" si="99"/>
        <v>15</v>
      </c>
      <c r="O2688">
        <v>24</v>
      </c>
    </row>
    <row r="2689" spans="13:15" x14ac:dyDescent="0.25">
      <c r="M2689" s="5">
        <v>41061</v>
      </c>
      <c r="N2689">
        <f t="shared" si="99"/>
        <v>15</v>
      </c>
      <c r="O2689">
        <v>24</v>
      </c>
    </row>
    <row r="2690" spans="13:15" x14ac:dyDescent="0.25">
      <c r="M2690" s="5">
        <v>41060</v>
      </c>
      <c r="N2690">
        <f t="shared" si="99"/>
        <v>15</v>
      </c>
      <c r="O2690">
        <v>24</v>
      </c>
    </row>
    <row r="2691" spans="13:15" x14ac:dyDescent="0.25">
      <c r="M2691" s="5">
        <v>41059</v>
      </c>
      <c r="N2691">
        <f t="shared" si="99"/>
        <v>15</v>
      </c>
      <c r="O2691">
        <v>24</v>
      </c>
    </row>
    <row r="2692" spans="13:15" x14ac:dyDescent="0.25">
      <c r="M2692" s="5">
        <v>41058</v>
      </c>
      <c r="N2692">
        <f t="shared" si="99"/>
        <v>15</v>
      </c>
      <c r="O2692">
        <v>24</v>
      </c>
    </row>
    <row r="2693" spans="13:15" x14ac:dyDescent="0.25">
      <c r="M2693" s="5">
        <v>41057</v>
      </c>
      <c r="N2693">
        <f t="shared" si="99"/>
        <v>15</v>
      </c>
      <c r="O2693">
        <v>24</v>
      </c>
    </row>
    <row r="2694" spans="13:15" x14ac:dyDescent="0.25">
      <c r="M2694" s="5">
        <v>41056</v>
      </c>
      <c r="N2694">
        <f t="shared" si="99"/>
        <v>14</v>
      </c>
      <c r="O2694">
        <v>24</v>
      </c>
    </row>
    <row r="2695" spans="13:15" x14ac:dyDescent="0.25">
      <c r="M2695" s="5">
        <v>41055</v>
      </c>
      <c r="N2695">
        <f t="shared" si="99"/>
        <v>14</v>
      </c>
      <c r="O2695">
        <v>24</v>
      </c>
    </row>
    <row r="2696" spans="13:15" x14ac:dyDescent="0.25">
      <c r="M2696" s="5">
        <v>41054</v>
      </c>
      <c r="N2696">
        <f t="shared" si="99"/>
        <v>14</v>
      </c>
      <c r="O2696">
        <v>24</v>
      </c>
    </row>
    <row r="2697" spans="13:15" x14ac:dyDescent="0.25">
      <c r="M2697" s="5">
        <v>41053</v>
      </c>
      <c r="N2697">
        <f t="shared" si="99"/>
        <v>14</v>
      </c>
      <c r="O2697">
        <v>24</v>
      </c>
    </row>
    <row r="2698" spans="13:15" x14ac:dyDescent="0.25">
      <c r="M2698" s="5">
        <v>41052</v>
      </c>
      <c r="N2698">
        <f t="shared" si="99"/>
        <v>14</v>
      </c>
      <c r="O2698">
        <v>24</v>
      </c>
    </row>
    <row r="2699" spans="13:15" x14ac:dyDescent="0.25">
      <c r="M2699" s="5">
        <v>41051</v>
      </c>
      <c r="N2699">
        <f t="shared" si="99"/>
        <v>14</v>
      </c>
      <c r="O2699">
        <v>24</v>
      </c>
    </row>
    <row r="2700" spans="13:15" x14ac:dyDescent="0.25">
      <c r="M2700" s="5">
        <v>41050</v>
      </c>
      <c r="N2700">
        <f t="shared" si="99"/>
        <v>14</v>
      </c>
      <c r="O2700">
        <v>24</v>
      </c>
    </row>
    <row r="2701" spans="13:15" x14ac:dyDescent="0.25">
      <c r="M2701" s="5">
        <v>41049</v>
      </c>
      <c r="N2701">
        <f t="shared" si="99"/>
        <v>13</v>
      </c>
      <c r="O2701">
        <v>24</v>
      </c>
    </row>
    <row r="2702" spans="13:15" x14ac:dyDescent="0.25">
      <c r="M2702" s="5">
        <v>41048</v>
      </c>
      <c r="N2702">
        <f t="shared" si="99"/>
        <v>13</v>
      </c>
      <c r="O2702">
        <v>24</v>
      </c>
    </row>
    <row r="2703" spans="13:15" x14ac:dyDescent="0.25">
      <c r="M2703" s="5">
        <v>41047</v>
      </c>
      <c r="N2703">
        <f t="shared" si="99"/>
        <v>13</v>
      </c>
      <c r="O2703">
        <v>24</v>
      </c>
    </row>
    <row r="2704" spans="13:15" x14ac:dyDescent="0.25">
      <c r="M2704" s="5">
        <v>41046</v>
      </c>
      <c r="N2704">
        <f t="shared" si="99"/>
        <v>13</v>
      </c>
      <c r="O2704">
        <v>24</v>
      </c>
    </row>
    <row r="2705" spans="13:15" x14ac:dyDescent="0.25">
      <c r="M2705" s="5">
        <v>41045</v>
      </c>
      <c r="N2705">
        <f t="shared" si="99"/>
        <v>13</v>
      </c>
      <c r="O2705">
        <v>24</v>
      </c>
    </row>
    <row r="2706" spans="13:15" x14ac:dyDescent="0.25">
      <c r="M2706" s="5">
        <v>41044</v>
      </c>
      <c r="N2706">
        <f t="shared" si="99"/>
        <v>13</v>
      </c>
      <c r="O2706">
        <v>24</v>
      </c>
    </row>
    <row r="2707" spans="13:15" x14ac:dyDescent="0.25">
      <c r="M2707" s="5">
        <v>41043</v>
      </c>
      <c r="N2707">
        <f t="shared" si="99"/>
        <v>13</v>
      </c>
      <c r="O2707">
        <v>24</v>
      </c>
    </row>
    <row r="2708" spans="13:15" x14ac:dyDescent="0.25">
      <c r="M2708" s="5">
        <v>41042</v>
      </c>
      <c r="N2708">
        <f t="shared" si="99"/>
        <v>12</v>
      </c>
      <c r="O2708">
        <v>24</v>
      </c>
    </row>
    <row r="2709" spans="13:15" x14ac:dyDescent="0.25">
      <c r="M2709" s="5">
        <v>41041</v>
      </c>
      <c r="N2709">
        <f t="shared" si="99"/>
        <v>12</v>
      </c>
      <c r="O2709">
        <v>24</v>
      </c>
    </row>
    <row r="2710" spans="13:15" x14ac:dyDescent="0.25">
      <c r="M2710" s="5">
        <v>41040</v>
      </c>
      <c r="N2710">
        <f t="shared" si="99"/>
        <v>12</v>
      </c>
      <c r="O2710">
        <v>24</v>
      </c>
    </row>
    <row r="2711" spans="13:15" x14ac:dyDescent="0.25">
      <c r="M2711" s="5">
        <v>41039</v>
      </c>
      <c r="N2711">
        <f t="shared" si="99"/>
        <v>12</v>
      </c>
      <c r="O2711">
        <v>24</v>
      </c>
    </row>
    <row r="2712" spans="13:15" x14ac:dyDescent="0.25">
      <c r="M2712" s="5">
        <v>41038</v>
      </c>
      <c r="N2712">
        <f t="shared" si="99"/>
        <v>12</v>
      </c>
      <c r="O2712">
        <v>24</v>
      </c>
    </row>
    <row r="2713" spans="13:15" x14ac:dyDescent="0.25">
      <c r="M2713" s="5">
        <v>41037</v>
      </c>
      <c r="N2713">
        <f t="shared" si="99"/>
        <v>12</v>
      </c>
      <c r="O2713">
        <v>24</v>
      </c>
    </row>
    <row r="2714" spans="13:15" x14ac:dyDescent="0.25">
      <c r="M2714" s="5">
        <v>41036</v>
      </c>
      <c r="N2714">
        <f t="shared" si="99"/>
        <v>12</v>
      </c>
      <c r="O2714">
        <v>24</v>
      </c>
    </row>
    <row r="2715" spans="13:15" x14ac:dyDescent="0.25">
      <c r="M2715" s="5">
        <v>41035</v>
      </c>
      <c r="N2715">
        <f t="shared" si="99"/>
        <v>11</v>
      </c>
      <c r="O2715">
        <v>24</v>
      </c>
    </row>
    <row r="2716" spans="13:15" x14ac:dyDescent="0.25">
      <c r="M2716" s="5">
        <v>41034</v>
      </c>
      <c r="N2716">
        <f t="shared" si="99"/>
        <v>11</v>
      </c>
      <c r="O2716">
        <v>24</v>
      </c>
    </row>
    <row r="2717" spans="13:15" x14ac:dyDescent="0.25">
      <c r="M2717" s="5">
        <v>41033</v>
      </c>
      <c r="N2717">
        <f t="shared" si="99"/>
        <v>11</v>
      </c>
      <c r="O2717">
        <v>24</v>
      </c>
    </row>
    <row r="2718" spans="13:15" x14ac:dyDescent="0.25">
      <c r="M2718" s="5">
        <v>41032</v>
      </c>
      <c r="N2718">
        <f t="shared" si="99"/>
        <v>11</v>
      </c>
      <c r="O2718">
        <v>24</v>
      </c>
    </row>
    <row r="2719" spans="13:15" x14ac:dyDescent="0.25">
      <c r="M2719" s="5">
        <v>41031</v>
      </c>
      <c r="N2719">
        <f t="shared" ref="N2719:N2750" si="100">N2712-1</f>
        <v>11</v>
      </c>
      <c r="O2719">
        <v>24</v>
      </c>
    </row>
    <row r="2720" spans="13:15" x14ac:dyDescent="0.25">
      <c r="M2720" s="5">
        <v>41030</v>
      </c>
      <c r="N2720">
        <f t="shared" si="100"/>
        <v>11</v>
      </c>
      <c r="O2720">
        <v>24</v>
      </c>
    </row>
    <row r="2721" spans="13:15" x14ac:dyDescent="0.25">
      <c r="M2721" s="5">
        <v>41029</v>
      </c>
      <c r="N2721">
        <f t="shared" si="100"/>
        <v>11</v>
      </c>
      <c r="O2721">
        <v>24</v>
      </c>
    </row>
    <row r="2722" spans="13:15" x14ac:dyDescent="0.25">
      <c r="M2722" s="5">
        <v>41028</v>
      </c>
      <c r="N2722">
        <f t="shared" si="100"/>
        <v>10</v>
      </c>
      <c r="O2722">
        <v>24</v>
      </c>
    </row>
    <row r="2723" spans="13:15" x14ac:dyDescent="0.25">
      <c r="M2723" s="5">
        <v>41027</v>
      </c>
      <c r="N2723">
        <f t="shared" si="100"/>
        <v>10</v>
      </c>
      <c r="O2723">
        <v>24</v>
      </c>
    </row>
    <row r="2724" spans="13:15" x14ac:dyDescent="0.25">
      <c r="M2724" s="5">
        <v>41026</v>
      </c>
      <c r="N2724">
        <f t="shared" si="100"/>
        <v>10</v>
      </c>
      <c r="O2724">
        <v>24</v>
      </c>
    </row>
    <row r="2725" spans="13:15" x14ac:dyDescent="0.25">
      <c r="M2725" s="5">
        <v>41025</v>
      </c>
      <c r="N2725">
        <f t="shared" si="100"/>
        <v>10</v>
      </c>
      <c r="O2725">
        <v>24</v>
      </c>
    </row>
    <row r="2726" spans="13:15" x14ac:dyDescent="0.25">
      <c r="M2726" s="5">
        <v>41024</v>
      </c>
      <c r="N2726">
        <f t="shared" si="100"/>
        <v>10</v>
      </c>
      <c r="O2726">
        <v>24</v>
      </c>
    </row>
    <row r="2727" spans="13:15" x14ac:dyDescent="0.25">
      <c r="M2727" s="5">
        <v>41023</v>
      </c>
      <c r="N2727">
        <f t="shared" si="100"/>
        <v>10</v>
      </c>
      <c r="O2727">
        <v>24</v>
      </c>
    </row>
    <row r="2728" spans="13:15" x14ac:dyDescent="0.25">
      <c r="M2728" s="5">
        <v>41022</v>
      </c>
      <c r="N2728">
        <f t="shared" si="100"/>
        <v>10</v>
      </c>
      <c r="O2728">
        <v>24</v>
      </c>
    </row>
    <row r="2729" spans="13:15" x14ac:dyDescent="0.25">
      <c r="M2729" s="5">
        <v>41021</v>
      </c>
      <c r="N2729">
        <f t="shared" si="100"/>
        <v>9</v>
      </c>
      <c r="O2729">
        <v>24</v>
      </c>
    </row>
    <row r="2730" spans="13:15" x14ac:dyDescent="0.25">
      <c r="M2730" s="5">
        <v>41020</v>
      </c>
      <c r="N2730">
        <f t="shared" si="100"/>
        <v>9</v>
      </c>
      <c r="O2730">
        <v>24</v>
      </c>
    </row>
    <row r="2731" spans="13:15" x14ac:dyDescent="0.25">
      <c r="M2731" s="5">
        <v>41019</v>
      </c>
      <c r="N2731">
        <f t="shared" si="100"/>
        <v>9</v>
      </c>
      <c r="O2731">
        <v>24</v>
      </c>
    </row>
    <row r="2732" spans="13:15" x14ac:dyDescent="0.25">
      <c r="M2732" s="5">
        <v>41018</v>
      </c>
      <c r="N2732">
        <f t="shared" si="100"/>
        <v>9</v>
      </c>
      <c r="O2732">
        <v>24</v>
      </c>
    </row>
    <row r="2733" spans="13:15" x14ac:dyDescent="0.25">
      <c r="M2733" s="5">
        <v>41017</v>
      </c>
      <c r="N2733">
        <f t="shared" si="100"/>
        <v>9</v>
      </c>
      <c r="O2733">
        <v>24</v>
      </c>
    </row>
    <row r="2734" spans="13:15" x14ac:dyDescent="0.25">
      <c r="M2734" s="5">
        <v>41016</v>
      </c>
      <c r="N2734">
        <f t="shared" si="100"/>
        <v>9</v>
      </c>
      <c r="O2734">
        <v>24</v>
      </c>
    </row>
    <row r="2735" spans="13:15" x14ac:dyDescent="0.25">
      <c r="M2735" s="5">
        <v>41015</v>
      </c>
      <c r="N2735">
        <f t="shared" si="100"/>
        <v>9</v>
      </c>
      <c r="O2735">
        <v>24</v>
      </c>
    </row>
    <row r="2736" spans="13:15" x14ac:dyDescent="0.25">
      <c r="M2736" s="5">
        <v>41014</v>
      </c>
      <c r="N2736">
        <f t="shared" si="100"/>
        <v>8</v>
      </c>
      <c r="O2736">
        <v>24</v>
      </c>
    </row>
    <row r="2737" spans="13:15" x14ac:dyDescent="0.25">
      <c r="M2737" s="5">
        <v>41013</v>
      </c>
      <c r="N2737">
        <f t="shared" si="100"/>
        <v>8</v>
      </c>
      <c r="O2737">
        <v>24</v>
      </c>
    </row>
    <row r="2738" spans="13:15" x14ac:dyDescent="0.25">
      <c r="M2738" s="5">
        <v>41012</v>
      </c>
      <c r="N2738">
        <f t="shared" si="100"/>
        <v>8</v>
      </c>
      <c r="O2738">
        <v>24</v>
      </c>
    </row>
    <row r="2739" spans="13:15" x14ac:dyDescent="0.25">
      <c r="M2739" s="5">
        <v>41011</v>
      </c>
      <c r="N2739">
        <f t="shared" si="100"/>
        <v>8</v>
      </c>
      <c r="O2739">
        <v>24</v>
      </c>
    </row>
    <row r="2740" spans="13:15" x14ac:dyDescent="0.25">
      <c r="M2740" s="5">
        <v>41010</v>
      </c>
      <c r="N2740">
        <f t="shared" si="100"/>
        <v>8</v>
      </c>
      <c r="O2740">
        <v>24</v>
      </c>
    </row>
    <row r="2741" spans="13:15" x14ac:dyDescent="0.25">
      <c r="M2741" s="5">
        <v>41009</v>
      </c>
      <c r="N2741">
        <f t="shared" si="100"/>
        <v>8</v>
      </c>
      <c r="O2741">
        <v>24</v>
      </c>
    </row>
    <row r="2742" spans="13:15" x14ac:dyDescent="0.25">
      <c r="M2742" s="5">
        <v>41008</v>
      </c>
      <c r="N2742">
        <f t="shared" si="100"/>
        <v>8</v>
      </c>
      <c r="O2742">
        <v>24</v>
      </c>
    </row>
    <row r="2743" spans="13:15" x14ac:dyDescent="0.25">
      <c r="M2743" s="5">
        <v>41007</v>
      </c>
      <c r="N2743">
        <f t="shared" si="100"/>
        <v>7</v>
      </c>
      <c r="O2743">
        <v>24</v>
      </c>
    </row>
    <row r="2744" spans="13:15" x14ac:dyDescent="0.25">
      <c r="M2744" s="5">
        <v>41006</v>
      </c>
      <c r="N2744">
        <f t="shared" si="100"/>
        <v>7</v>
      </c>
      <c r="O2744">
        <v>24</v>
      </c>
    </row>
    <row r="2745" spans="13:15" x14ac:dyDescent="0.25">
      <c r="M2745" s="5">
        <v>41005</v>
      </c>
      <c r="N2745">
        <f t="shared" si="100"/>
        <v>7</v>
      </c>
      <c r="O2745">
        <v>24</v>
      </c>
    </row>
    <row r="2746" spans="13:15" x14ac:dyDescent="0.25">
      <c r="M2746" s="5">
        <v>41004</v>
      </c>
      <c r="N2746">
        <f t="shared" si="100"/>
        <v>7</v>
      </c>
      <c r="O2746">
        <v>24</v>
      </c>
    </row>
    <row r="2747" spans="13:15" x14ac:dyDescent="0.25">
      <c r="M2747" s="5">
        <v>41003</v>
      </c>
      <c r="N2747">
        <f t="shared" si="100"/>
        <v>7</v>
      </c>
      <c r="O2747">
        <v>24</v>
      </c>
    </row>
    <row r="2748" spans="13:15" x14ac:dyDescent="0.25">
      <c r="M2748" s="5">
        <v>41002</v>
      </c>
      <c r="N2748">
        <f t="shared" si="100"/>
        <v>7</v>
      </c>
      <c r="O2748">
        <v>24</v>
      </c>
    </row>
    <row r="2749" spans="13:15" x14ac:dyDescent="0.25">
      <c r="M2749" s="5">
        <v>41001</v>
      </c>
      <c r="N2749">
        <f t="shared" si="100"/>
        <v>7</v>
      </c>
      <c r="O2749">
        <v>24</v>
      </c>
    </row>
    <row r="2750" spans="13:15" x14ac:dyDescent="0.25">
      <c r="M2750" s="5">
        <v>41000</v>
      </c>
      <c r="N2750">
        <f t="shared" si="100"/>
        <v>6</v>
      </c>
      <c r="O2750">
        <v>24</v>
      </c>
    </row>
    <row r="2751" spans="13:15" x14ac:dyDescent="0.25">
      <c r="M2751" s="5">
        <v>40999</v>
      </c>
      <c r="N2751">
        <f t="shared" ref="N2751:N2782" si="101">N2744-1</f>
        <v>6</v>
      </c>
      <c r="O2751">
        <v>24</v>
      </c>
    </row>
    <row r="2752" spans="13:15" x14ac:dyDescent="0.25">
      <c r="M2752" s="5">
        <v>40998</v>
      </c>
      <c r="N2752">
        <f t="shared" si="101"/>
        <v>6</v>
      </c>
      <c r="O2752">
        <v>24</v>
      </c>
    </row>
    <row r="2753" spans="13:15" x14ac:dyDescent="0.25">
      <c r="M2753" s="5">
        <v>40997</v>
      </c>
      <c r="N2753">
        <f t="shared" si="101"/>
        <v>6</v>
      </c>
      <c r="O2753">
        <v>24</v>
      </c>
    </row>
    <row r="2754" spans="13:15" x14ac:dyDescent="0.25">
      <c r="M2754" s="5">
        <v>40996</v>
      </c>
      <c r="N2754">
        <f t="shared" si="101"/>
        <v>6</v>
      </c>
      <c r="O2754">
        <v>24</v>
      </c>
    </row>
    <row r="2755" spans="13:15" x14ac:dyDescent="0.25">
      <c r="M2755" s="5">
        <v>40995</v>
      </c>
      <c r="N2755">
        <f t="shared" si="101"/>
        <v>6</v>
      </c>
      <c r="O2755">
        <v>24</v>
      </c>
    </row>
    <row r="2756" spans="13:15" x14ac:dyDescent="0.25">
      <c r="M2756" s="5">
        <v>40994</v>
      </c>
      <c r="N2756">
        <f t="shared" si="101"/>
        <v>6</v>
      </c>
      <c r="O2756">
        <v>24</v>
      </c>
    </row>
    <row r="2757" spans="13:15" x14ac:dyDescent="0.25">
      <c r="M2757" s="5">
        <v>40993</v>
      </c>
      <c r="N2757">
        <f t="shared" si="101"/>
        <v>5</v>
      </c>
      <c r="O2757">
        <v>24</v>
      </c>
    </row>
    <row r="2758" spans="13:15" x14ac:dyDescent="0.25">
      <c r="M2758" s="5">
        <v>40992</v>
      </c>
      <c r="N2758">
        <f t="shared" si="101"/>
        <v>5</v>
      </c>
      <c r="O2758">
        <v>24</v>
      </c>
    </row>
    <row r="2759" spans="13:15" x14ac:dyDescent="0.25">
      <c r="M2759" s="5">
        <v>40991</v>
      </c>
      <c r="N2759">
        <f t="shared" si="101"/>
        <v>5</v>
      </c>
      <c r="O2759">
        <v>24</v>
      </c>
    </row>
    <row r="2760" spans="13:15" x14ac:dyDescent="0.25">
      <c r="M2760" s="5">
        <v>40990</v>
      </c>
      <c r="N2760">
        <f t="shared" si="101"/>
        <v>5</v>
      </c>
      <c r="O2760">
        <v>24</v>
      </c>
    </row>
    <row r="2761" spans="13:15" x14ac:dyDescent="0.25">
      <c r="M2761" s="5">
        <v>40989</v>
      </c>
      <c r="N2761">
        <f t="shared" si="101"/>
        <v>5</v>
      </c>
      <c r="O2761">
        <v>24</v>
      </c>
    </row>
    <row r="2762" spans="13:15" x14ac:dyDescent="0.25">
      <c r="M2762" s="5">
        <v>40988</v>
      </c>
      <c r="N2762">
        <f t="shared" si="101"/>
        <v>5</v>
      </c>
      <c r="O2762">
        <v>24</v>
      </c>
    </row>
    <row r="2763" spans="13:15" x14ac:dyDescent="0.25">
      <c r="M2763" s="5">
        <v>40987</v>
      </c>
      <c r="N2763">
        <f t="shared" si="101"/>
        <v>5</v>
      </c>
      <c r="O2763">
        <v>24</v>
      </c>
    </row>
    <row r="2764" spans="13:15" x14ac:dyDescent="0.25">
      <c r="M2764" s="5">
        <v>40986</v>
      </c>
      <c r="N2764">
        <f t="shared" si="101"/>
        <v>4</v>
      </c>
      <c r="O2764">
        <v>24</v>
      </c>
    </row>
    <row r="2765" spans="13:15" x14ac:dyDescent="0.25">
      <c r="M2765" s="5">
        <v>40985</v>
      </c>
      <c r="N2765">
        <f t="shared" si="101"/>
        <v>4</v>
      </c>
      <c r="O2765">
        <v>24</v>
      </c>
    </row>
    <row r="2766" spans="13:15" x14ac:dyDescent="0.25">
      <c r="M2766" s="5">
        <v>40984</v>
      </c>
      <c r="N2766">
        <f t="shared" si="101"/>
        <v>4</v>
      </c>
      <c r="O2766">
        <v>24</v>
      </c>
    </row>
    <row r="2767" spans="13:15" x14ac:dyDescent="0.25">
      <c r="M2767" s="5">
        <v>40983</v>
      </c>
      <c r="N2767">
        <f t="shared" si="101"/>
        <v>4</v>
      </c>
      <c r="O2767">
        <v>24</v>
      </c>
    </row>
    <row r="2768" spans="13:15" x14ac:dyDescent="0.25">
      <c r="M2768" s="5">
        <v>40982</v>
      </c>
      <c r="N2768">
        <f t="shared" si="101"/>
        <v>4</v>
      </c>
      <c r="O2768">
        <v>24</v>
      </c>
    </row>
    <row r="2769" spans="13:15" x14ac:dyDescent="0.25">
      <c r="M2769" s="5">
        <v>40981</v>
      </c>
      <c r="N2769">
        <f t="shared" si="101"/>
        <v>4</v>
      </c>
      <c r="O2769">
        <v>24</v>
      </c>
    </row>
    <row r="2770" spans="13:15" x14ac:dyDescent="0.25">
      <c r="M2770" s="5">
        <v>40980</v>
      </c>
      <c r="N2770">
        <f t="shared" si="101"/>
        <v>4</v>
      </c>
      <c r="O2770">
        <v>24</v>
      </c>
    </row>
    <row r="2771" spans="13:15" x14ac:dyDescent="0.25">
      <c r="M2771" s="5">
        <v>40979</v>
      </c>
      <c r="N2771">
        <f t="shared" si="101"/>
        <v>3</v>
      </c>
      <c r="O2771">
        <v>24</v>
      </c>
    </row>
    <row r="2772" spans="13:15" x14ac:dyDescent="0.25">
      <c r="M2772" s="5">
        <v>40978</v>
      </c>
      <c r="N2772">
        <f t="shared" si="101"/>
        <v>3</v>
      </c>
      <c r="O2772">
        <v>24</v>
      </c>
    </row>
    <row r="2773" spans="13:15" x14ac:dyDescent="0.25">
      <c r="M2773" s="5">
        <v>40977</v>
      </c>
      <c r="N2773">
        <f t="shared" si="101"/>
        <v>3</v>
      </c>
      <c r="O2773">
        <v>24</v>
      </c>
    </row>
    <row r="2774" spans="13:15" x14ac:dyDescent="0.25">
      <c r="M2774" s="5">
        <v>40976</v>
      </c>
      <c r="N2774">
        <f t="shared" si="101"/>
        <v>3</v>
      </c>
      <c r="O2774">
        <v>24</v>
      </c>
    </row>
    <row r="2775" spans="13:15" x14ac:dyDescent="0.25">
      <c r="M2775" s="5">
        <v>40975</v>
      </c>
      <c r="N2775">
        <f t="shared" si="101"/>
        <v>3</v>
      </c>
      <c r="O2775">
        <v>24</v>
      </c>
    </row>
    <row r="2776" spans="13:15" x14ac:dyDescent="0.25">
      <c r="M2776" s="5">
        <v>40974</v>
      </c>
      <c r="N2776">
        <f t="shared" si="101"/>
        <v>3</v>
      </c>
      <c r="O2776">
        <v>24</v>
      </c>
    </row>
    <row r="2777" spans="13:15" x14ac:dyDescent="0.25">
      <c r="M2777" s="5">
        <v>40973</v>
      </c>
      <c r="N2777">
        <f t="shared" si="101"/>
        <v>3</v>
      </c>
      <c r="O2777">
        <v>24</v>
      </c>
    </row>
    <row r="2778" spans="13:15" x14ac:dyDescent="0.25">
      <c r="M2778" s="5">
        <v>40972</v>
      </c>
      <c r="N2778">
        <f t="shared" si="101"/>
        <v>2</v>
      </c>
      <c r="O2778">
        <v>24</v>
      </c>
    </row>
    <row r="2779" spans="13:15" x14ac:dyDescent="0.25">
      <c r="M2779" s="5">
        <v>40971</v>
      </c>
      <c r="N2779">
        <f t="shared" si="101"/>
        <v>2</v>
      </c>
      <c r="O2779">
        <v>24</v>
      </c>
    </row>
    <row r="2780" spans="13:15" x14ac:dyDescent="0.25">
      <c r="M2780" s="5">
        <v>40970</v>
      </c>
      <c r="N2780">
        <f t="shared" si="101"/>
        <v>2</v>
      </c>
      <c r="O2780">
        <v>24</v>
      </c>
    </row>
    <row r="2781" spans="13:15" x14ac:dyDescent="0.25">
      <c r="M2781" s="5">
        <v>40969</v>
      </c>
      <c r="N2781">
        <f t="shared" si="101"/>
        <v>2</v>
      </c>
      <c r="O2781">
        <v>24</v>
      </c>
    </row>
    <row r="2782" spans="13:15" x14ac:dyDescent="0.25">
      <c r="M2782" s="5">
        <v>40968</v>
      </c>
      <c r="N2782">
        <f t="shared" si="101"/>
        <v>2</v>
      </c>
      <c r="O2782">
        <v>24</v>
      </c>
    </row>
    <row r="2783" spans="13:15" x14ac:dyDescent="0.25">
      <c r="M2783" s="5">
        <v>40967</v>
      </c>
      <c r="N2783">
        <f t="shared" ref="N2783:N2791" si="102">N2776-1</f>
        <v>2</v>
      </c>
      <c r="O2783">
        <v>24</v>
      </c>
    </row>
    <row r="2784" spans="13:15" x14ac:dyDescent="0.25">
      <c r="M2784" s="5">
        <v>40966</v>
      </c>
      <c r="N2784">
        <f t="shared" si="102"/>
        <v>2</v>
      </c>
      <c r="O2784">
        <v>24</v>
      </c>
    </row>
    <row r="2785" spans="13:15" x14ac:dyDescent="0.25">
      <c r="M2785" s="5">
        <v>40965</v>
      </c>
      <c r="N2785">
        <f t="shared" si="102"/>
        <v>1</v>
      </c>
      <c r="O2785">
        <v>24</v>
      </c>
    </row>
    <row r="2786" spans="13:15" x14ac:dyDescent="0.25">
      <c r="M2786" s="5">
        <v>40964</v>
      </c>
      <c r="N2786">
        <f t="shared" si="102"/>
        <v>1</v>
      </c>
      <c r="O2786">
        <v>24</v>
      </c>
    </row>
    <row r="2787" spans="13:15" x14ac:dyDescent="0.25">
      <c r="M2787" s="5">
        <v>40963</v>
      </c>
      <c r="N2787">
        <f t="shared" si="102"/>
        <v>1</v>
      </c>
      <c r="O2787">
        <v>24</v>
      </c>
    </row>
    <row r="2788" spans="13:15" x14ac:dyDescent="0.25">
      <c r="M2788" s="5">
        <v>40962</v>
      </c>
      <c r="N2788">
        <f t="shared" si="102"/>
        <v>1</v>
      </c>
      <c r="O2788">
        <v>24</v>
      </c>
    </row>
    <row r="2789" spans="13:15" x14ac:dyDescent="0.25">
      <c r="M2789" s="5">
        <v>40961</v>
      </c>
      <c r="N2789">
        <f t="shared" si="102"/>
        <v>1</v>
      </c>
      <c r="O2789">
        <v>24</v>
      </c>
    </row>
    <row r="2790" spans="13:15" x14ac:dyDescent="0.25">
      <c r="M2790" s="5">
        <v>40960</v>
      </c>
      <c r="N2790">
        <f t="shared" si="102"/>
        <v>1</v>
      </c>
      <c r="O2790">
        <v>24</v>
      </c>
    </row>
    <row r="2791" spans="13:15" x14ac:dyDescent="0.25">
      <c r="M2791" s="5">
        <v>40959</v>
      </c>
      <c r="N2791">
        <f t="shared" si="102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3">N2792-1</f>
        <v>15</v>
      </c>
      <c r="O2799">
        <v>23</v>
      </c>
    </row>
    <row r="2800" spans="13:15" x14ac:dyDescent="0.25">
      <c r="M2800" s="5">
        <v>40950</v>
      </c>
      <c r="N2800">
        <f t="shared" si="103"/>
        <v>15</v>
      </c>
      <c r="O2800">
        <v>23</v>
      </c>
    </row>
    <row r="2801" spans="13:15" x14ac:dyDescent="0.25">
      <c r="M2801" s="5">
        <v>40949</v>
      </c>
      <c r="N2801">
        <f t="shared" si="103"/>
        <v>15</v>
      </c>
      <c r="O2801">
        <v>23</v>
      </c>
    </row>
    <row r="2802" spans="13:15" x14ac:dyDescent="0.25">
      <c r="M2802" s="5">
        <v>40948</v>
      </c>
      <c r="N2802">
        <f t="shared" si="103"/>
        <v>15</v>
      </c>
      <c r="O2802">
        <v>23</v>
      </c>
    </row>
    <row r="2803" spans="13:15" x14ac:dyDescent="0.25">
      <c r="M2803" s="5">
        <v>40947</v>
      </c>
      <c r="N2803">
        <f t="shared" si="103"/>
        <v>15</v>
      </c>
      <c r="O2803">
        <v>23</v>
      </c>
    </row>
    <row r="2804" spans="13:15" x14ac:dyDescent="0.25">
      <c r="M2804" s="5">
        <v>40946</v>
      </c>
      <c r="N2804">
        <f t="shared" si="103"/>
        <v>15</v>
      </c>
      <c r="O2804">
        <v>23</v>
      </c>
    </row>
    <row r="2805" spans="13:15" x14ac:dyDescent="0.25">
      <c r="M2805" s="5">
        <v>40945</v>
      </c>
      <c r="N2805">
        <f t="shared" si="103"/>
        <v>15</v>
      </c>
      <c r="O2805">
        <v>23</v>
      </c>
    </row>
    <row r="2806" spans="13:15" x14ac:dyDescent="0.25">
      <c r="M2806" s="5">
        <v>40944</v>
      </c>
      <c r="N2806">
        <f t="shared" si="103"/>
        <v>14</v>
      </c>
      <c r="O2806">
        <v>23</v>
      </c>
    </row>
    <row r="2807" spans="13:15" x14ac:dyDescent="0.25">
      <c r="M2807" s="5">
        <v>40943</v>
      </c>
      <c r="N2807">
        <f t="shared" si="103"/>
        <v>14</v>
      </c>
      <c r="O2807">
        <v>23</v>
      </c>
    </row>
    <row r="2808" spans="13:15" x14ac:dyDescent="0.25">
      <c r="M2808" s="5">
        <v>40942</v>
      </c>
      <c r="N2808">
        <f t="shared" si="103"/>
        <v>14</v>
      </c>
      <c r="O2808">
        <v>23</v>
      </c>
    </row>
    <row r="2809" spans="13:15" x14ac:dyDescent="0.25">
      <c r="M2809" s="5">
        <v>40941</v>
      </c>
      <c r="N2809">
        <f t="shared" si="103"/>
        <v>14</v>
      </c>
      <c r="O2809">
        <v>23</v>
      </c>
    </row>
    <row r="2810" spans="13:15" x14ac:dyDescent="0.25">
      <c r="M2810" s="5">
        <v>40940</v>
      </c>
      <c r="N2810">
        <f t="shared" si="103"/>
        <v>14</v>
      </c>
      <c r="O2810">
        <v>23</v>
      </c>
    </row>
    <row r="2811" spans="13:15" x14ac:dyDescent="0.25">
      <c r="M2811" s="5">
        <v>40939</v>
      </c>
      <c r="N2811">
        <f t="shared" si="103"/>
        <v>14</v>
      </c>
      <c r="O2811">
        <v>23</v>
      </c>
    </row>
    <row r="2812" spans="13:15" x14ac:dyDescent="0.25">
      <c r="M2812" s="5">
        <v>40938</v>
      </c>
      <c r="N2812">
        <f t="shared" si="103"/>
        <v>14</v>
      </c>
      <c r="O2812">
        <v>23</v>
      </c>
    </row>
    <row r="2813" spans="13:15" x14ac:dyDescent="0.25">
      <c r="M2813" s="5">
        <v>40937</v>
      </c>
      <c r="N2813">
        <f t="shared" si="103"/>
        <v>13</v>
      </c>
      <c r="O2813">
        <v>23</v>
      </c>
    </row>
    <row r="2814" spans="13:15" x14ac:dyDescent="0.25">
      <c r="M2814" s="5">
        <v>40936</v>
      </c>
      <c r="N2814">
        <f t="shared" si="103"/>
        <v>13</v>
      </c>
      <c r="O2814">
        <v>23</v>
      </c>
    </row>
    <row r="2815" spans="13:15" x14ac:dyDescent="0.25">
      <c r="M2815" s="5">
        <v>40935</v>
      </c>
      <c r="N2815">
        <f t="shared" si="103"/>
        <v>13</v>
      </c>
      <c r="O2815">
        <v>23</v>
      </c>
    </row>
    <row r="2816" spans="13:15" x14ac:dyDescent="0.25">
      <c r="M2816" s="5">
        <v>40934</v>
      </c>
      <c r="N2816">
        <f t="shared" si="103"/>
        <v>13</v>
      </c>
      <c r="O2816">
        <v>23</v>
      </c>
    </row>
    <row r="2817" spans="13:15" x14ac:dyDescent="0.25">
      <c r="M2817" s="5">
        <v>40933</v>
      </c>
      <c r="N2817">
        <f t="shared" si="103"/>
        <v>13</v>
      </c>
      <c r="O2817">
        <v>23</v>
      </c>
    </row>
    <row r="2818" spans="13:15" x14ac:dyDescent="0.25">
      <c r="M2818" s="5">
        <v>40932</v>
      </c>
      <c r="N2818">
        <f t="shared" si="103"/>
        <v>13</v>
      </c>
      <c r="O2818">
        <v>23</v>
      </c>
    </row>
    <row r="2819" spans="13:15" x14ac:dyDescent="0.25">
      <c r="M2819" s="5">
        <v>40931</v>
      </c>
      <c r="N2819">
        <f t="shared" si="103"/>
        <v>13</v>
      </c>
      <c r="O2819">
        <v>23</v>
      </c>
    </row>
    <row r="2820" spans="13:15" x14ac:dyDescent="0.25">
      <c r="M2820" s="5">
        <v>40930</v>
      </c>
      <c r="N2820">
        <f t="shared" si="103"/>
        <v>12</v>
      </c>
      <c r="O2820">
        <v>23</v>
      </c>
    </row>
    <row r="2821" spans="13:15" x14ac:dyDescent="0.25">
      <c r="M2821" s="5">
        <v>40929</v>
      </c>
      <c r="N2821">
        <f t="shared" si="103"/>
        <v>12</v>
      </c>
      <c r="O2821">
        <v>23</v>
      </c>
    </row>
    <row r="2822" spans="13:15" x14ac:dyDescent="0.25">
      <c r="M2822" s="5">
        <v>40928</v>
      </c>
      <c r="N2822">
        <f t="shared" si="103"/>
        <v>12</v>
      </c>
      <c r="O2822">
        <v>23</v>
      </c>
    </row>
    <row r="2823" spans="13:15" x14ac:dyDescent="0.25">
      <c r="M2823" s="5">
        <v>40927</v>
      </c>
      <c r="N2823">
        <f t="shared" si="103"/>
        <v>12</v>
      </c>
      <c r="O2823">
        <v>23</v>
      </c>
    </row>
    <row r="2824" spans="13:15" x14ac:dyDescent="0.25">
      <c r="M2824" s="5">
        <v>40926</v>
      </c>
      <c r="N2824">
        <f t="shared" si="103"/>
        <v>12</v>
      </c>
      <c r="O2824">
        <v>23</v>
      </c>
    </row>
    <row r="2825" spans="13:15" x14ac:dyDescent="0.25">
      <c r="M2825" s="5">
        <v>40925</v>
      </c>
      <c r="N2825">
        <f t="shared" si="103"/>
        <v>12</v>
      </c>
      <c r="O2825">
        <v>23</v>
      </c>
    </row>
    <row r="2826" spans="13:15" x14ac:dyDescent="0.25">
      <c r="M2826" s="5">
        <v>40924</v>
      </c>
      <c r="N2826">
        <f t="shared" si="103"/>
        <v>12</v>
      </c>
      <c r="O2826">
        <v>23</v>
      </c>
    </row>
    <row r="2827" spans="13:15" x14ac:dyDescent="0.25">
      <c r="M2827" s="5">
        <v>40923</v>
      </c>
      <c r="N2827">
        <f t="shared" si="103"/>
        <v>11</v>
      </c>
      <c r="O2827">
        <v>23</v>
      </c>
    </row>
    <row r="2828" spans="13:15" x14ac:dyDescent="0.25">
      <c r="M2828" s="5">
        <v>40922</v>
      </c>
      <c r="N2828">
        <f t="shared" si="103"/>
        <v>11</v>
      </c>
      <c r="O2828">
        <v>23</v>
      </c>
    </row>
    <row r="2829" spans="13:15" x14ac:dyDescent="0.25">
      <c r="M2829" s="5">
        <v>40921</v>
      </c>
      <c r="N2829">
        <f t="shared" si="103"/>
        <v>11</v>
      </c>
      <c r="O2829">
        <v>23</v>
      </c>
    </row>
    <row r="2830" spans="13:15" x14ac:dyDescent="0.25">
      <c r="M2830" s="5">
        <v>40920</v>
      </c>
      <c r="N2830">
        <f t="shared" si="103"/>
        <v>11</v>
      </c>
      <c r="O2830">
        <v>23</v>
      </c>
    </row>
    <row r="2831" spans="13:15" x14ac:dyDescent="0.25">
      <c r="M2831" s="5">
        <v>40919</v>
      </c>
      <c r="N2831">
        <f t="shared" ref="N2831:N2862" si="104">N2824-1</f>
        <v>11</v>
      </c>
      <c r="O2831">
        <v>23</v>
      </c>
    </row>
    <row r="2832" spans="13:15" x14ac:dyDescent="0.25">
      <c r="M2832" s="5">
        <v>40918</v>
      </c>
      <c r="N2832">
        <f t="shared" si="104"/>
        <v>11</v>
      </c>
      <c r="O2832">
        <v>23</v>
      </c>
    </row>
    <row r="2833" spans="13:15" x14ac:dyDescent="0.25">
      <c r="M2833" s="5">
        <v>40917</v>
      </c>
      <c r="N2833">
        <f t="shared" si="104"/>
        <v>11</v>
      </c>
      <c r="O2833">
        <v>23</v>
      </c>
    </row>
    <row r="2834" spans="13:15" x14ac:dyDescent="0.25">
      <c r="M2834" s="5">
        <v>40916</v>
      </c>
      <c r="N2834">
        <f t="shared" si="104"/>
        <v>10</v>
      </c>
      <c r="O2834">
        <v>23</v>
      </c>
    </row>
    <row r="2835" spans="13:15" x14ac:dyDescent="0.25">
      <c r="M2835" s="5">
        <v>40915</v>
      </c>
      <c r="N2835">
        <f t="shared" si="104"/>
        <v>10</v>
      </c>
      <c r="O2835">
        <v>23</v>
      </c>
    </row>
    <row r="2836" spans="13:15" x14ac:dyDescent="0.25">
      <c r="M2836" s="5">
        <v>40914</v>
      </c>
      <c r="N2836">
        <f t="shared" si="104"/>
        <v>10</v>
      </c>
      <c r="O2836">
        <v>23</v>
      </c>
    </row>
    <row r="2837" spans="13:15" x14ac:dyDescent="0.25">
      <c r="M2837" s="5">
        <v>40913</v>
      </c>
      <c r="N2837">
        <f t="shared" si="104"/>
        <v>10</v>
      </c>
      <c r="O2837">
        <v>23</v>
      </c>
    </row>
    <row r="2838" spans="13:15" x14ac:dyDescent="0.25">
      <c r="M2838" s="5">
        <v>40912</v>
      </c>
      <c r="N2838">
        <f t="shared" si="104"/>
        <v>10</v>
      </c>
      <c r="O2838">
        <v>23</v>
      </c>
    </row>
    <row r="2839" spans="13:15" x14ac:dyDescent="0.25">
      <c r="M2839" s="5">
        <v>40911</v>
      </c>
      <c r="N2839">
        <f t="shared" si="104"/>
        <v>10</v>
      </c>
      <c r="O2839">
        <v>23</v>
      </c>
    </row>
    <row r="2840" spans="13:15" x14ac:dyDescent="0.25">
      <c r="M2840" s="5">
        <v>40910</v>
      </c>
      <c r="N2840">
        <f t="shared" si="104"/>
        <v>10</v>
      </c>
      <c r="O2840">
        <v>23</v>
      </c>
    </row>
    <row r="2841" spans="13:15" x14ac:dyDescent="0.25">
      <c r="M2841" s="5">
        <v>40909</v>
      </c>
      <c r="N2841">
        <f t="shared" si="104"/>
        <v>9</v>
      </c>
      <c r="O2841">
        <v>23</v>
      </c>
    </row>
    <row r="2842" spans="13:15" x14ac:dyDescent="0.25">
      <c r="M2842" s="5">
        <v>40908</v>
      </c>
      <c r="N2842">
        <f t="shared" si="104"/>
        <v>9</v>
      </c>
      <c r="O2842">
        <v>23</v>
      </c>
    </row>
    <row r="2843" spans="13:15" x14ac:dyDescent="0.25">
      <c r="M2843" s="5">
        <v>40907</v>
      </c>
      <c r="N2843">
        <f t="shared" si="104"/>
        <v>9</v>
      </c>
      <c r="O2843">
        <v>23</v>
      </c>
    </row>
    <row r="2844" spans="13:15" x14ac:dyDescent="0.25">
      <c r="M2844" s="5">
        <v>40906</v>
      </c>
      <c r="N2844">
        <f t="shared" si="104"/>
        <v>9</v>
      </c>
      <c r="O2844">
        <v>23</v>
      </c>
    </row>
    <row r="2845" spans="13:15" x14ac:dyDescent="0.25">
      <c r="M2845" s="5">
        <v>40905</v>
      </c>
      <c r="N2845">
        <f t="shared" si="104"/>
        <v>9</v>
      </c>
      <c r="O2845">
        <v>23</v>
      </c>
    </row>
    <row r="2846" spans="13:15" x14ac:dyDescent="0.25">
      <c r="M2846" s="5">
        <v>40904</v>
      </c>
      <c r="N2846">
        <f t="shared" si="104"/>
        <v>9</v>
      </c>
      <c r="O2846">
        <v>23</v>
      </c>
    </row>
    <row r="2847" spans="13:15" x14ac:dyDescent="0.25">
      <c r="M2847" s="5">
        <v>40903</v>
      </c>
      <c r="N2847">
        <f t="shared" si="104"/>
        <v>9</v>
      </c>
      <c r="O2847">
        <v>23</v>
      </c>
    </row>
    <row r="2848" spans="13:15" x14ac:dyDescent="0.25">
      <c r="M2848" s="5">
        <v>40902</v>
      </c>
      <c r="N2848">
        <f t="shared" si="104"/>
        <v>8</v>
      </c>
      <c r="O2848">
        <v>23</v>
      </c>
    </row>
    <row r="2849" spans="13:15" x14ac:dyDescent="0.25">
      <c r="M2849" s="5">
        <v>40901</v>
      </c>
      <c r="N2849">
        <f t="shared" si="104"/>
        <v>8</v>
      </c>
      <c r="O2849">
        <v>23</v>
      </c>
    </row>
    <row r="2850" spans="13:15" x14ac:dyDescent="0.25">
      <c r="M2850" s="5">
        <v>40900</v>
      </c>
      <c r="N2850">
        <f t="shared" si="104"/>
        <v>8</v>
      </c>
      <c r="O2850">
        <v>23</v>
      </c>
    </row>
    <row r="2851" spans="13:15" x14ac:dyDescent="0.25">
      <c r="M2851" s="5">
        <v>40899</v>
      </c>
      <c r="N2851">
        <f t="shared" si="104"/>
        <v>8</v>
      </c>
      <c r="O2851">
        <v>23</v>
      </c>
    </row>
    <row r="2852" spans="13:15" x14ac:dyDescent="0.25">
      <c r="M2852" s="5">
        <v>40898</v>
      </c>
      <c r="N2852">
        <f t="shared" si="104"/>
        <v>8</v>
      </c>
      <c r="O2852">
        <v>23</v>
      </c>
    </row>
    <row r="2853" spans="13:15" x14ac:dyDescent="0.25">
      <c r="M2853" s="5">
        <v>40897</v>
      </c>
      <c r="N2853">
        <f t="shared" si="104"/>
        <v>8</v>
      </c>
      <c r="O2853">
        <v>23</v>
      </c>
    </row>
    <row r="2854" spans="13:15" x14ac:dyDescent="0.25">
      <c r="M2854" s="5">
        <v>40896</v>
      </c>
      <c r="N2854">
        <f t="shared" si="104"/>
        <v>8</v>
      </c>
      <c r="O2854">
        <v>23</v>
      </c>
    </row>
    <row r="2855" spans="13:15" x14ac:dyDescent="0.25">
      <c r="M2855" s="5">
        <v>40895</v>
      </c>
      <c r="N2855">
        <f t="shared" si="104"/>
        <v>7</v>
      </c>
      <c r="O2855">
        <v>23</v>
      </c>
    </row>
    <row r="2856" spans="13:15" x14ac:dyDescent="0.25">
      <c r="M2856" s="5">
        <v>40894</v>
      </c>
      <c r="N2856">
        <f t="shared" si="104"/>
        <v>7</v>
      </c>
      <c r="O2856">
        <v>23</v>
      </c>
    </row>
    <row r="2857" spans="13:15" x14ac:dyDescent="0.25">
      <c r="M2857" s="5">
        <v>40893</v>
      </c>
      <c r="N2857">
        <f t="shared" si="104"/>
        <v>7</v>
      </c>
      <c r="O2857">
        <v>23</v>
      </c>
    </row>
    <row r="2858" spans="13:15" x14ac:dyDescent="0.25">
      <c r="M2858" s="5">
        <v>40892</v>
      </c>
      <c r="N2858">
        <f t="shared" si="104"/>
        <v>7</v>
      </c>
      <c r="O2858">
        <v>23</v>
      </c>
    </row>
    <row r="2859" spans="13:15" x14ac:dyDescent="0.25">
      <c r="M2859" s="5">
        <v>40891</v>
      </c>
      <c r="N2859">
        <f t="shared" si="104"/>
        <v>7</v>
      </c>
      <c r="O2859">
        <v>23</v>
      </c>
    </row>
    <row r="2860" spans="13:15" x14ac:dyDescent="0.25">
      <c r="M2860" s="5">
        <v>40890</v>
      </c>
      <c r="N2860">
        <f t="shared" si="104"/>
        <v>7</v>
      </c>
      <c r="O2860">
        <v>23</v>
      </c>
    </row>
    <row r="2861" spans="13:15" x14ac:dyDescent="0.25">
      <c r="M2861" s="5">
        <v>40889</v>
      </c>
      <c r="N2861">
        <f t="shared" si="104"/>
        <v>7</v>
      </c>
      <c r="O2861">
        <v>23</v>
      </c>
    </row>
    <row r="2862" spans="13:15" x14ac:dyDescent="0.25">
      <c r="M2862" s="5">
        <v>40888</v>
      </c>
      <c r="N2862">
        <f t="shared" si="104"/>
        <v>6</v>
      </c>
      <c r="O2862">
        <v>23</v>
      </c>
    </row>
    <row r="2863" spans="13:15" x14ac:dyDescent="0.25">
      <c r="M2863" s="5">
        <v>40887</v>
      </c>
      <c r="N2863">
        <f t="shared" ref="N2863:N2894" si="105">N2856-1</f>
        <v>6</v>
      </c>
      <c r="O2863">
        <v>23</v>
      </c>
    </row>
    <row r="2864" spans="13:15" x14ac:dyDescent="0.25">
      <c r="M2864" s="5">
        <v>40886</v>
      </c>
      <c r="N2864">
        <f t="shared" si="105"/>
        <v>6</v>
      </c>
      <c r="O2864">
        <v>23</v>
      </c>
    </row>
    <row r="2865" spans="13:15" x14ac:dyDescent="0.25">
      <c r="M2865" s="5">
        <v>40885</v>
      </c>
      <c r="N2865">
        <f t="shared" si="105"/>
        <v>6</v>
      </c>
      <c r="O2865">
        <v>23</v>
      </c>
    </row>
    <row r="2866" spans="13:15" x14ac:dyDescent="0.25">
      <c r="M2866" s="5">
        <v>40884</v>
      </c>
      <c r="N2866">
        <f t="shared" si="105"/>
        <v>6</v>
      </c>
      <c r="O2866">
        <v>23</v>
      </c>
    </row>
    <row r="2867" spans="13:15" x14ac:dyDescent="0.25">
      <c r="M2867" s="5">
        <v>40883</v>
      </c>
      <c r="N2867">
        <f t="shared" si="105"/>
        <v>6</v>
      </c>
      <c r="O2867">
        <v>23</v>
      </c>
    </row>
    <row r="2868" spans="13:15" x14ac:dyDescent="0.25">
      <c r="M2868" s="5">
        <v>40882</v>
      </c>
      <c r="N2868">
        <f t="shared" si="105"/>
        <v>6</v>
      </c>
      <c r="O2868">
        <v>23</v>
      </c>
    </row>
    <row r="2869" spans="13:15" x14ac:dyDescent="0.25">
      <c r="M2869" s="5">
        <v>40881</v>
      </c>
      <c r="N2869">
        <f t="shared" si="105"/>
        <v>5</v>
      </c>
      <c r="O2869">
        <v>23</v>
      </c>
    </row>
    <row r="2870" spans="13:15" x14ac:dyDescent="0.25">
      <c r="M2870" s="5">
        <v>40880</v>
      </c>
      <c r="N2870">
        <f t="shared" si="105"/>
        <v>5</v>
      </c>
      <c r="O2870">
        <v>23</v>
      </c>
    </row>
    <row r="2871" spans="13:15" x14ac:dyDescent="0.25">
      <c r="M2871" s="5">
        <v>40879</v>
      </c>
      <c r="N2871">
        <f t="shared" si="105"/>
        <v>5</v>
      </c>
      <c r="O2871">
        <v>23</v>
      </c>
    </row>
    <row r="2872" spans="13:15" x14ac:dyDescent="0.25">
      <c r="M2872" s="5">
        <v>40878</v>
      </c>
      <c r="N2872">
        <f t="shared" si="105"/>
        <v>5</v>
      </c>
      <c r="O2872">
        <v>23</v>
      </c>
    </row>
    <row r="2873" spans="13:15" x14ac:dyDescent="0.25">
      <c r="M2873" s="5">
        <v>40877</v>
      </c>
      <c r="N2873">
        <f t="shared" si="105"/>
        <v>5</v>
      </c>
      <c r="O2873">
        <v>23</v>
      </c>
    </row>
    <row r="2874" spans="13:15" x14ac:dyDescent="0.25">
      <c r="M2874" s="5">
        <v>40876</v>
      </c>
      <c r="N2874">
        <f t="shared" si="105"/>
        <v>5</v>
      </c>
      <c r="O2874">
        <v>23</v>
      </c>
    </row>
    <row r="2875" spans="13:15" x14ac:dyDescent="0.25">
      <c r="M2875" s="5">
        <v>40875</v>
      </c>
      <c r="N2875">
        <f t="shared" si="105"/>
        <v>5</v>
      </c>
      <c r="O2875">
        <v>23</v>
      </c>
    </row>
    <row r="2876" spans="13:15" x14ac:dyDescent="0.25">
      <c r="M2876" s="5">
        <v>40874</v>
      </c>
      <c r="N2876">
        <f t="shared" si="105"/>
        <v>4</v>
      </c>
      <c r="O2876">
        <v>23</v>
      </c>
    </row>
    <row r="2877" spans="13:15" x14ac:dyDescent="0.25">
      <c r="M2877" s="5">
        <v>40873</v>
      </c>
      <c r="N2877">
        <f t="shared" si="105"/>
        <v>4</v>
      </c>
      <c r="O2877">
        <v>23</v>
      </c>
    </row>
    <row r="2878" spans="13:15" x14ac:dyDescent="0.25">
      <c r="M2878" s="5">
        <v>40872</v>
      </c>
      <c r="N2878">
        <f t="shared" si="105"/>
        <v>4</v>
      </c>
      <c r="O2878">
        <v>23</v>
      </c>
    </row>
    <row r="2879" spans="13:15" x14ac:dyDescent="0.25">
      <c r="M2879" s="5">
        <v>40871</v>
      </c>
      <c r="N2879">
        <f t="shared" si="105"/>
        <v>4</v>
      </c>
      <c r="O2879">
        <v>23</v>
      </c>
    </row>
    <row r="2880" spans="13:15" x14ac:dyDescent="0.25">
      <c r="M2880" s="5">
        <v>40870</v>
      </c>
      <c r="N2880">
        <f t="shared" si="105"/>
        <v>4</v>
      </c>
      <c r="O2880">
        <v>23</v>
      </c>
    </row>
    <row r="2881" spans="13:15" x14ac:dyDescent="0.25">
      <c r="M2881" s="5">
        <v>40869</v>
      </c>
      <c r="N2881">
        <f t="shared" si="105"/>
        <v>4</v>
      </c>
      <c r="O2881">
        <v>23</v>
      </c>
    </row>
    <row r="2882" spans="13:15" x14ac:dyDescent="0.25">
      <c r="M2882" s="5">
        <v>40868</v>
      </c>
      <c r="N2882">
        <f t="shared" si="105"/>
        <v>4</v>
      </c>
      <c r="O2882">
        <v>23</v>
      </c>
    </row>
    <row r="2883" spans="13:15" x14ac:dyDescent="0.25">
      <c r="M2883" s="5">
        <v>40867</v>
      </c>
      <c r="N2883">
        <f t="shared" si="105"/>
        <v>3</v>
      </c>
      <c r="O2883">
        <v>23</v>
      </c>
    </row>
    <row r="2884" spans="13:15" x14ac:dyDescent="0.25">
      <c r="M2884" s="5">
        <v>40866</v>
      </c>
      <c r="N2884">
        <f t="shared" si="105"/>
        <v>3</v>
      </c>
      <c r="O2884">
        <v>23</v>
      </c>
    </row>
    <row r="2885" spans="13:15" x14ac:dyDescent="0.25">
      <c r="M2885" s="5">
        <v>40865</v>
      </c>
      <c r="N2885">
        <f t="shared" si="105"/>
        <v>3</v>
      </c>
      <c r="O2885">
        <v>23</v>
      </c>
    </row>
    <row r="2886" spans="13:15" x14ac:dyDescent="0.25">
      <c r="M2886" s="5">
        <v>40864</v>
      </c>
      <c r="N2886">
        <f t="shared" si="105"/>
        <v>3</v>
      </c>
      <c r="O2886">
        <v>23</v>
      </c>
    </row>
    <row r="2887" spans="13:15" x14ac:dyDescent="0.25">
      <c r="M2887" s="5">
        <v>40863</v>
      </c>
      <c r="N2887">
        <f t="shared" si="105"/>
        <v>3</v>
      </c>
      <c r="O2887">
        <v>23</v>
      </c>
    </row>
    <row r="2888" spans="13:15" x14ac:dyDescent="0.25">
      <c r="M2888" s="5">
        <v>40862</v>
      </c>
      <c r="N2888">
        <f t="shared" si="105"/>
        <v>3</v>
      </c>
      <c r="O2888">
        <v>23</v>
      </c>
    </row>
    <row r="2889" spans="13:15" x14ac:dyDescent="0.25">
      <c r="M2889" s="5">
        <v>40861</v>
      </c>
      <c r="N2889">
        <f t="shared" si="105"/>
        <v>3</v>
      </c>
      <c r="O2889">
        <v>23</v>
      </c>
    </row>
    <row r="2890" spans="13:15" x14ac:dyDescent="0.25">
      <c r="M2890" s="5">
        <v>40860</v>
      </c>
      <c r="N2890">
        <f t="shared" si="105"/>
        <v>2</v>
      </c>
      <c r="O2890">
        <v>23</v>
      </c>
    </row>
    <row r="2891" spans="13:15" x14ac:dyDescent="0.25">
      <c r="M2891" s="5">
        <v>40859</v>
      </c>
      <c r="N2891">
        <f t="shared" si="105"/>
        <v>2</v>
      </c>
      <c r="O2891">
        <v>23</v>
      </c>
    </row>
    <row r="2892" spans="13:15" x14ac:dyDescent="0.25">
      <c r="M2892" s="5">
        <v>40858</v>
      </c>
      <c r="N2892">
        <f t="shared" si="105"/>
        <v>2</v>
      </c>
      <c r="O2892">
        <v>23</v>
      </c>
    </row>
    <row r="2893" spans="13:15" x14ac:dyDescent="0.25">
      <c r="M2893" s="5">
        <v>40857</v>
      </c>
      <c r="N2893">
        <f t="shared" si="105"/>
        <v>2</v>
      </c>
      <c r="O2893">
        <v>23</v>
      </c>
    </row>
    <row r="2894" spans="13:15" x14ac:dyDescent="0.25">
      <c r="M2894" s="5">
        <v>40856</v>
      </c>
      <c r="N2894">
        <f t="shared" si="105"/>
        <v>2</v>
      </c>
      <c r="O2894">
        <v>23</v>
      </c>
    </row>
    <row r="2895" spans="13:15" x14ac:dyDescent="0.25">
      <c r="M2895" s="5">
        <v>40855</v>
      </c>
      <c r="N2895">
        <f t="shared" ref="N2895:N2903" si="106">N2888-1</f>
        <v>2</v>
      </c>
      <c r="O2895">
        <v>23</v>
      </c>
    </row>
    <row r="2896" spans="13:15" x14ac:dyDescent="0.25">
      <c r="M2896" s="5">
        <v>40854</v>
      </c>
      <c r="N2896">
        <f t="shared" si="106"/>
        <v>2</v>
      </c>
      <c r="O2896">
        <v>23</v>
      </c>
    </row>
    <row r="2897" spans="13:15" x14ac:dyDescent="0.25">
      <c r="M2897" s="5">
        <v>40853</v>
      </c>
      <c r="N2897">
        <f t="shared" si="106"/>
        <v>1</v>
      </c>
      <c r="O2897">
        <v>23</v>
      </c>
    </row>
    <row r="2898" spans="13:15" x14ac:dyDescent="0.25">
      <c r="M2898" s="5">
        <v>40852</v>
      </c>
      <c r="N2898">
        <f t="shared" si="106"/>
        <v>1</v>
      </c>
      <c r="O2898">
        <v>23</v>
      </c>
    </row>
    <row r="2899" spans="13:15" x14ac:dyDescent="0.25">
      <c r="M2899" s="5">
        <v>40851</v>
      </c>
      <c r="N2899">
        <f t="shared" si="106"/>
        <v>1</v>
      </c>
      <c r="O2899">
        <v>23</v>
      </c>
    </row>
    <row r="2900" spans="13:15" x14ac:dyDescent="0.25">
      <c r="M2900" s="5">
        <v>40850</v>
      </c>
      <c r="N2900">
        <f t="shared" si="106"/>
        <v>1</v>
      </c>
      <c r="O2900">
        <v>23</v>
      </c>
    </row>
    <row r="2901" spans="13:15" x14ac:dyDescent="0.25">
      <c r="M2901" s="5">
        <v>40849</v>
      </c>
      <c r="N2901">
        <f t="shared" si="106"/>
        <v>1</v>
      </c>
      <c r="O2901">
        <v>23</v>
      </c>
    </row>
    <row r="2902" spans="13:15" x14ac:dyDescent="0.25">
      <c r="M2902" s="5">
        <v>40848</v>
      </c>
      <c r="N2902">
        <f t="shared" si="106"/>
        <v>1</v>
      </c>
      <c r="O2902">
        <v>23</v>
      </c>
    </row>
    <row r="2903" spans="13:15" x14ac:dyDescent="0.25">
      <c r="M2903" s="5">
        <v>40847</v>
      </c>
      <c r="N2903">
        <f t="shared" si="106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7">N2904-1</f>
        <v>15</v>
      </c>
      <c r="O2911">
        <v>22</v>
      </c>
    </row>
    <row r="2912" spans="13:15" x14ac:dyDescent="0.25">
      <c r="M2912" s="5">
        <v>40838</v>
      </c>
      <c r="N2912">
        <f t="shared" si="107"/>
        <v>15</v>
      </c>
      <c r="O2912">
        <v>22</v>
      </c>
    </row>
    <row r="2913" spans="13:15" x14ac:dyDescent="0.25">
      <c r="M2913" s="5">
        <v>40837</v>
      </c>
      <c r="N2913">
        <f t="shared" si="107"/>
        <v>15</v>
      </c>
      <c r="O2913">
        <v>22</v>
      </c>
    </row>
    <row r="2914" spans="13:15" x14ac:dyDescent="0.25">
      <c r="M2914" s="5">
        <v>40836</v>
      </c>
      <c r="N2914">
        <f t="shared" si="107"/>
        <v>15</v>
      </c>
      <c r="O2914">
        <v>22</v>
      </c>
    </row>
    <row r="2915" spans="13:15" x14ac:dyDescent="0.25">
      <c r="M2915" s="5">
        <v>40835</v>
      </c>
      <c r="N2915">
        <f t="shared" si="107"/>
        <v>15</v>
      </c>
      <c r="O2915">
        <v>22</v>
      </c>
    </row>
    <row r="2916" spans="13:15" x14ac:dyDescent="0.25">
      <c r="M2916" s="5">
        <v>40834</v>
      </c>
      <c r="N2916">
        <f t="shared" si="107"/>
        <v>15</v>
      </c>
      <c r="O2916">
        <v>22</v>
      </c>
    </row>
    <row r="2917" spans="13:15" x14ac:dyDescent="0.25">
      <c r="M2917" s="5">
        <v>40833</v>
      </c>
      <c r="N2917">
        <f t="shared" si="107"/>
        <v>15</v>
      </c>
      <c r="O2917">
        <v>22</v>
      </c>
    </row>
    <row r="2918" spans="13:15" x14ac:dyDescent="0.25">
      <c r="M2918" s="5">
        <v>40832</v>
      </c>
      <c r="N2918">
        <f t="shared" si="107"/>
        <v>14</v>
      </c>
      <c r="O2918">
        <v>22</v>
      </c>
    </row>
    <row r="2919" spans="13:15" x14ac:dyDescent="0.25">
      <c r="M2919" s="5">
        <v>40831</v>
      </c>
      <c r="N2919">
        <f t="shared" si="107"/>
        <v>14</v>
      </c>
      <c r="O2919">
        <v>22</v>
      </c>
    </row>
    <row r="2920" spans="13:15" x14ac:dyDescent="0.25">
      <c r="M2920" s="5">
        <v>40830</v>
      </c>
      <c r="N2920">
        <f t="shared" si="107"/>
        <v>14</v>
      </c>
      <c r="O2920">
        <v>22</v>
      </c>
    </row>
    <row r="2921" spans="13:15" x14ac:dyDescent="0.25">
      <c r="M2921" s="5">
        <v>40829</v>
      </c>
      <c r="N2921">
        <f t="shared" si="107"/>
        <v>14</v>
      </c>
      <c r="O2921">
        <v>22</v>
      </c>
    </row>
    <row r="2922" spans="13:15" x14ac:dyDescent="0.25">
      <c r="M2922" s="5">
        <v>40828</v>
      </c>
      <c r="N2922">
        <f t="shared" si="107"/>
        <v>14</v>
      </c>
      <c r="O2922">
        <v>22</v>
      </c>
    </row>
    <row r="2923" spans="13:15" x14ac:dyDescent="0.25">
      <c r="M2923" s="5">
        <v>40827</v>
      </c>
      <c r="N2923">
        <f t="shared" si="107"/>
        <v>14</v>
      </c>
      <c r="O2923">
        <v>22</v>
      </c>
    </row>
    <row r="2924" spans="13:15" x14ac:dyDescent="0.25">
      <c r="M2924" s="5">
        <v>40826</v>
      </c>
      <c r="N2924">
        <f t="shared" si="107"/>
        <v>14</v>
      </c>
      <c r="O2924">
        <v>22</v>
      </c>
    </row>
    <row r="2925" spans="13:15" x14ac:dyDescent="0.25">
      <c r="M2925" s="5">
        <v>40825</v>
      </c>
      <c r="N2925">
        <f t="shared" si="107"/>
        <v>13</v>
      </c>
      <c r="O2925">
        <v>22</v>
      </c>
    </row>
    <row r="2926" spans="13:15" x14ac:dyDescent="0.25">
      <c r="M2926" s="5">
        <v>40824</v>
      </c>
      <c r="N2926">
        <f t="shared" si="107"/>
        <v>13</v>
      </c>
      <c r="O2926">
        <v>22</v>
      </c>
    </row>
    <row r="2927" spans="13:15" x14ac:dyDescent="0.25">
      <c r="M2927" s="5">
        <v>40823</v>
      </c>
      <c r="N2927">
        <f t="shared" si="107"/>
        <v>13</v>
      </c>
      <c r="O2927">
        <v>22</v>
      </c>
    </row>
    <row r="2928" spans="13:15" x14ac:dyDescent="0.25">
      <c r="M2928" s="5">
        <v>40822</v>
      </c>
      <c r="N2928">
        <f t="shared" si="107"/>
        <v>13</v>
      </c>
      <c r="O2928">
        <v>22</v>
      </c>
    </row>
    <row r="2929" spans="13:15" x14ac:dyDescent="0.25">
      <c r="M2929" s="5">
        <v>40821</v>
      </c>
      <c r="N2929">
        <f t="shared" si="107"/>
        <v>13</v>
      </c>
      <c r="O2929">
        <v>22</v>
      </c>
    </row>
    <row r="2930" spans="13:15" x14ac:dyDescent="0.25">
      <c r="M2930" s="5">
        <v>40820</v>
      </c>
      <c r="N2930">
        <f t="shared" si="107"/>
        <v>13</v>
      </c>
      <c r="O2930">
        <v>22</v>
      </c>
    </row>
    <row r="2931" spans="13:15" x14ac:dyDescent="0.25">
      <c r="M2931" s="5">
        <v>40819</v>
      </c>
      <c r="N2931">
        <f t="shared" si="107"/>
        <v>13</v>
      </c>
      <c r="O2931">
        <v>22</v>
      </c>
    </row>
    <row r="2932" spans="13:15" x14ac:dyDescent="0.25">
      <c r="M2932" s="5">
        <v>40818</v>
      </c>
      <c r="N2932">
        <f t="shared" si="107"/>
        <v>12</v>
      </c>
      <c r="O2932">
        <v>22</v>
      </c>
    </row>
    <row r="2933" spans="13:15" x14ac:dyDescent="0.25">
      <c r="M2933" s="5">
        <v>40817</v>
      </c>
      <c r="N2933">
        <f t="shared" si="107"/>
        <v>12</v>
      </c>
      <c r="O2933">
        <v>22</v>
      </c>
    </row>
    <row r="2934" spans="13:15" x14ac:dyDescent="0.25">
      <c r="M2934" s="5">
        <v>40816</v>
      </c>
      <c r="N2934">
        <f t="shared" si="107"/>
        <v>12</v>
      </c>
      <c r="O2934">
        <v>22</v>
      </c>
    </row>
    <row r="2935" spans="13:15" x14ac:dyDescent="0.25">
      <c r="M2935" s="5">
        <v>40815</v>
      </c>
      <c r="N2935">
        <f t="shared" si="107"/>
        <v>12</v>
      </c>
      <c r="O2935">
        <v>22</v>
      </c>
    </row>
    <row r="2936" spans="13:15" x14ac:dyDescent="0.25">
      <c r="M2936" s="5">
        <v>40814</v>
      </c>
      <c r="N2936">
        <f t="shared" si="107"/>
        <v>12</v>
      </c>
      <c r="O2936">
        <v>22</v>
      </c>
    </row>
    <row r="2937" spans="13:15" x14ac:dyDescent="0.25">
      <c r="M2937" s="5">
        <v>40813</v>
      </c>
      <c r="N2937">
        <f t="shared" si="107"/>
        <v>12</v>
      </c>
      <c r="O2937">
        <v>22</v>
      </c>
    </row>
    <row r="2938" spans="13:15" x14ac:dyDescent="0.25">
      <c r="M2938" s="5">
        <v>40812</v>
      </c>
      <c r="N2938">
        <f t="shared" si="107"/>
        <v>12</v>
      </c>
      <c r="O2938">
        <v>22</v>
      </c>
    </row>
    <row r="2939" spans="13:15" x14ac:dyDescent="0.25">
      <c r="M2939" s="5">
        <v>40811</v>
      </c>
      <c r="N2939">
        <f t="shared" si="107"/>
        <v>11</v>
      </c>
      <c r="O2939">
        <v>22</v>
      </c>
    </row>
    <row r="2940" spans="13:15" x14ac:dyDescent="0.25">
      <c r="M2940" s="5">
        <v>40810</v>
      </c>
      <c r="N2940">
        <f t="shared" si="107"/>
        <v>11</v>
      </c>
      <c r="O2940">
        <v>22</v>
      </c>
    </row>
    <row r="2941" spans="13:15" x14ac:dyDescent="0.25">
      <c r="M2941" s="5">
        <v>40809</v>
      </c>
      <c r="N2941">
        <f t="shared" si="107"/>
        <v>11</v>
      </c>
      <c r="O2941">
        <v>22</v>
      </c>
    </row>
    <row r="2942" spans="13:15" x14ac:dyDescent="0.25">
      <c r="M2942" s="5">
        <v>40808</v>
      </c>
      <c r="N2942">
        <f t="shared" si="107"/>
        <v>11</v>
      </c>
      <c r="O2942">
        <v>22</v>
      </c>
    </row>
    <row r="2943" spans="13:15" x14ac:dyDescent="0.25">
      <c r="M2943" s="5">
        <v>40807</v>
      </c>
      <c r="N2943">
        <f t="shared" ref="N2943:N2974" si="108">N2936-1</f>
        <v>11</v>
      </c>
      <c r="O2943">
        <v>22</v>
      </c>
    </row>
    <row r="2944" spans="13:15" x14ac:dyDescent="0.25">
      <c r="M2944" s="5">
        <v>40806</v>
      </c>
      <c r="N2944">
        <f t="shared" si="108"/>
        <v>11</v>
      </c>
      <c r="O2944">
        <v>22</v>
      </c>
    </row>
    <row r="2945" spans="13:15" x14ac:dyDescent="0.25">
      <c r="M2945" s="5">
        <v>40805</v>
      </c>
      <c r="N2945">
        <f t="shared" si="108"/>
        <v>11</v>
      </c>
      <c r="O2945">
        <v>22</v>
      </c>
    </row>
    <row r="2946" spans="13:15" x14ac:dyDescent="0.25">
      <c r="M2946" s="5">
        <v>40804</v>
      </c>
      <c r="N2946">
        <f t="shared" si="108"/>
        <v>10</v>
      </c>
      <c r="O2946">
        <v>22</v>
      </c>
    </row>
    <row r="2947" spans="13:15" x14ac:dyDescent="0.25">
      <c r="M2947" s="5">
        <v>40803</v>
      </c>
      <c r="N2947">
        <f t="shared" si="108"/>
        <v>10</v>
      </c>
      <c r="O2947">
        <v>22</v>
      </c>
    </row>
    <row r="2948" spans="13:15" x14ac:dyDescent="0.25">
      <c r="M2948" s="5">
        <v>40802</v>
      </c>
      <c r="N2948">
        <f t="shared" si="108"/>
        <v>10</v>
      </c>
      <c r="O2948">
        <v>22</v>
      </c>
    </row>
    <row r="2949" spans="13:15" x14ac:dyDescent="0.25">
      <c r="M2949" s="5">
        <v>40801</v>
      </c>
      <c r="N2949">
        <f t="shared" si="108"/>
        <v>10</v>
      </c>
      <c r="O2949">
        <v>22</v>
      </c>
    </row>
    <row r="2950" spans="13:15" x14ac:dyDescent="0.25">
      <c r="M2950" s="5">
        <v>40800</v>
      </c>
      <c r="N2950">
        <f t="shared" si="108"/>
        <v>10</v>
      </c>
      <c r="O2950">
        <v>22</v>
      </c>
    </row>
    <row r="2951" spans="13:15" x14ac:dyDescent="0.25">
      <c r="M2951" s="5">
        <v>40799</v>
      </c>
      <c r="N2951">
        <f t="shared" si="108"/>
        <v>10</v>
      </c>
      <c r="O2951">
        <v>22</v>
      </c>
    </row>
    <row r="2952" spans="13:15" x14ac:dyDescent="0.25">
      <c r="M2952" s="5">
        <v>40798</v>
      </c>
      <c r="N2952">
        <f t="shared" si="108"/>
        <v>10</v>
      </c>
      <c r="O2952">
        <v>22</v>
      </c>
    </row>
    <row r="2953" spans="13:15" x14ac:dyDescent="0.25">
      <c r="M2953" s="5">
        <v>40797</v>
      </c>
      <c r="N2953">
        <f t="shared" si="108"/>
        <v>9</v>
      </c>
      <c r="O2953">
        <v>22</v>
      </c>
    </row>
    <row r="2954" spans="13:15" x14ac:dyDescent="0.25">
      <c r="M2954" s="5">
        <v>40796</v>
      </c>
      <c r="N2954">
        <f t="shared" si="108"/>
        <v>9</v>
      </c>
      <c r="O2954">
        <v>22</v>
      </c>
    </row>
    <row r="2955" spans="13:15" x14ac:dyDescent="0.25">
      <c r="M2955" s="5">
        <v>40795</v>
      </c>
      <c r="N2955">
        <f t="shared" si="108"/>
        <v>9</v>
      </c>
      <c r="O2955">
        <v>22</v>
      </c>
    </row>
    <row r="2956" spans="13:15" x14ac:dyDescent="0.25">
      <c r="M2956" s="5">
        <v>40794</v>
      </c>
      <c r="N2956">
        <f t="shared" si="108"/>
        <v>9</v>
      </c>
      <c r="O2956">
        <v>22</v>
      </c>
    </row>
    <row r="2957" spans="13:15" x14ac:dyDescent="0.25">
      <c r="M2957" s="5">
        <v>40793</v>
      </c>
      <c r="N2957">
        <f t="shared" si="108"/>
        <v>9</v>
      </c>
      <c r="O2957">
        <v>22</v>
      </c>
    </row>
    <row r="2958" spans="13:15" x14ac:dyDescent="0.25">
      <c r="M2958" s="5">
        <v>40792</v>
      </c>
      <c r="N2958">
        <f t="shared" si="108"/>
        <v>9</v>
      </c>
      <c r="O2958">
        <v>22</v>
      </c>
    </row>
    <row r="2959" spans="13:15" x14ac:dyDescent="0.25">
      <c r="M2959" s="5">
        <v>40791</v>
      </c>
      <c r="N2959">
        <f t="shared" si="108"/>
        <v>9</v>
      </c>
      <c r="O2959">
        <v>22</v>
      </c>
    </row>
    <row r="2960" spans="13:15" x14ac:dyDescent="0.25">
      <c r="M2960" s="5">
        <v>40790</v>
      </c>
      <c r="N2960">
        <f t="shared" si="108"/>
        <v>8</v>
      </c>
      <c r="O2960">
        <v>22</v>
      </c>
    </row>
    <row r="2961" spans="13:15" x14ac:dyDescent="0.25">
      <c r="M2961" s="5">
        <v>40789</v>
      </c>
      <c r="N2961">
        <f t="shared" si="108"/>
        <v>8</v>
      </c>
      <c r="O2961">
        <v>22</v>
      </c>
    </row>
    <row r="2962" spans="13:15" x14ac:dyDescent="0.25">
      <c r="M2962" s="5">
        <v>40788</v>
      </c>
      <c r="N2962">
        <f t="shared" si="108"/>
        <v>8</v>
      </c>
      <c r="O2962">
        <v>22</v>
      </c>
    </row>
    <row r="2963" spans="13:15" x14ac:dyDescent="0.25">
      <c r="M2963" s="5">
        <v>40787</v>
      </c>
      <c r="N2963">
        <f t="shared" si="108"/>
        <v>8</v>
      </c>
      <c r="O2963">
        <v>22</v>
      </c>
    </row>
    <row r="2964" spans="13:15" x14ac:dyDescent="0.25">
      <c r="M2964" s="5">
        <v>40786</v>
      </c>
      <c r="N2964">
        <f t="shared" si="108"/>
        <v>8</v>
      </c>
      <c r="O2964">
        <v>22</v>
      </c>
    </row>
    <row r="2965" spans="13:15" x14ac:dyDescent="0.25">
      <c r="M2965" s="5">
        <v>40785</v>
      </c>
      <c r="N2965">
        <f t="shared" si="108"/>
        <v>8</v>
      </c>
      <c r="O2965">
        <v>22</v>
      </c>
    </row>
    <row r="2966" spans="13:15" x14ac:dyDescent="0.25">
      <c r="M2966" s="5">
        <v>40784</v>
      </c>
      <c r="N2966">
        <f t="shared" si="108"/>
        <v>8</v>
      </c>
      <c r="O2966">
        <v>22</v>
      </c>
    </row>
    <row r="2967" spans="13:15" x14ac:dyDescent="0.25">
      <c r="M2967" s="5">
        <v>40783</v>
      </c>
      <c r="N2967">
        <f t="shared" si="108"/>
        <v>7</v>
      </c>
      <c r="O2967">
        <v>22</v>
      </c>
    </row>
    <row r="2968" spans="13:15" x14ac:dyDescent="0.25">
      <c r="M2968" s="5">
        <v>40782</v>
      </c>
      <c r="N2968">
        <f t="shared" si="108"/>
        <v>7</v>
      </c>
      <c r="O2968">
        <v>22</v>
      </c>
    </row>
    <row r="2969" spans="13:15" x14ac:dyDescent="0.25">
      <c r="M2969" s="5">
        <v>40781</v>
      </c>
      <c r="N2969">
        <f t="shared" si="108"/>
        <v>7</v>
      </c>
      <c r="O2969">
        <v>22</v>
      </c>
    </row>
    <row r="2970" spans="13:15" x14ac:dyDescent="0.25">
      <c r="M2970" s="5">
        <v>40780</v>
      </c>
      <c r="N2970">
        <f t="shared" si="108"/>
        <v>7</v>
      </c>
      <c r="O2970">
        <v>22</v>
      </c>
    </row>
    <row r="2971" spans="13:15" x14ac:dyDescent="0.25">
      <c r="M2971" s="5">
        <v>40779</v>
      </c>
      <c r="N2971">
        <f t="shared" si="108"/>
        <v>7</v>
      </c>
      <c r="O2971">
        <v>22</v>
      </c>
    </row>
    <row r="2972" spans="13:15" x14ac:dyDescent="0.25">
      <c r="M2972" s="5">
        <v>40778</v>
      </c>
      <c r="N2972">
        <f t="shared" si="108"/>
        <v>7</v>
      </c>
      <c r="O2972">
        <v>22</v>
      </c>
    </row>
    <row r="2973" spans="13:15" x14ac:dyDescent="0.25">
      <c r="M2973" s="5">
        <v>40777</v>
      </c>
      <c r="N2973">
        <f t="shared" si="108"/>
        <v>7</v>
      </c>
      <c r="O2973">
        <v>22</v>
      </c>
    </row>
    <row r="2974" spans="13:15" x14ac:dyDescent="0.25">
      <c r="M2974" s="5">
        <v>40776</v>
      </c>
      <c r="N2974">
        <f t="shared" si="108"/>
        <v>6</v>
      </c>
      <c r="O2974">
        <v>22</v>
      </c>
    </row>
    <row r="2975" spans="13:15" x14ac:dyDescent="0.25">
      <c r="M2975" s="5">
        <v>40775</v>
      </c>
      <c r="N2975">
        <f t="shared" ref="N2975:N3006" si="109">N2968-1</f>
        <v>6</v>
      </c>
      <c r="O2975">
        <v>22</v>
      </c>
    </row>
    <row r="2976" spans="13:15" x14ac:dyDescent="0.25">
      <c r="M2976" s="5">
        <v>40774</v>
      </c>
      <c r="N2976">
        <f t="shared" si="109"/>
        <v>6</v>
      </c>
      <c r="O2976">
        <v>22</v>
      </c>
    </row>
    <row r="2977" spans="13:15" x14ac:dyDescent="0.25">
      <c r="M2977" s="5">
        <v>40773</v>
      </c>
      <c r="N2977">
        <f t="shared" si="109"/>
        <v>6</v>
      </c>
      <c r="O2977">
        <v>22</v>
      </c>
    </row>
    <row r="2978" spans="13:15" x14ac:dyDescent="0.25">
      <c r="M2978" s="5">
        <v>40772</v>
      </c>
      <c r="N2978">
        <f t="shared" si="109"/>
        <v>6</v>
      </c>
      <c r="O2978">
        <v>22</v>
      </c>
    </row>
    <row r="2979" spans="13:15" x14ac:dyDescent="0.25">
      <c r="M2979" s="5">
        <v>40771</v>
      </c>
      <c r="N2979">
        <f t="shared" si="109"/>
        <v>6</v>
      </c>
      <c r="O2979">
        <v>22</v>
      </c>
    </row>
    <row r="2980" spans="13:15" x14ac:dyDescent="0.25">
      <c r="M2980" s="5">
        <v>40770</v>
      </c>
      <c r="N2980">
        <f t="shared" si="109"/>
        <v>6</v>
      </c>
      <c r="O2980">
        <v>22</v>
      </c>
    </row>
    <row r="2981" spans="13:15" x14ac:dyDescent="0.25">
      <c r="M2981" s="5">
        <v>40769</v>
      </c>
      <c r="N2981">
        <f t="shared" si="109"/>
        <v>5</v>
      </c>
      <c r="O2981">
        <v>22</v>
      </c>
    </row>
    <row r="2982" spans="13:15" x14ac:dyDescent="0.25">
      <c r="M2982" s="5">
        <v>40768</v>
      </c>
      <c r="N2982">
        <f t="shared" si="109"/>
        <v>5</v>
      </c>
      <c r="O2982">
        <v>22</v>
      </c>
    </row>
    <row r="2983" spans="13:15" x14ac:dyDescent="0.25">
      <c r="M2983" s="5">
        <v>40767</v>
      </c>
      <c r="N2983">
        <f t="shared" si="109"/>
        <v>5</v>
      </c>
      <c r="O2983">
        <v>22</v>
      </c>
    </row>
    <row r="2984" spans="13:15" x14ac:dyDescent="0.25">
      <c r="M2984" s="5">
        <v>40766</v>
      </c>
      <c r="N2984">
        <f t="shared" si="109"/>
        <v>5</v>
      </c>
      <c r="O2984">
        <v>22</v>
      </c>
    </row>
    <row r="2985" spans="13:15" x14ac:dyDescent="0.25">
      <c r="M2985" s="5">
        <v>40765</v>
      </c>
      <c r="N2985">
        <f t="shared" si="109"/>
        <v>5</v>
      </c>
      <c r="O2985">
        <v>22</v>
      </c>
    </row>
    <row r="2986" spans="13:15" x14ac:dyDescent="0.25">
      <c r="M2986" s="5">
        <v>40764</v>
      </c>
      <c r="N2986">
        <f t="shared" si="109"/>
        <v>5</v>
      </c>
      <c r="O2986">
        <v>22</v>
      </c>
    </row>
    <row r="2987" spans="13:15" x14ac:dyDescent="0.25">
      <c r="M2987" s="5">
        <v>40763</v>
      </c>
      <c r="N2987">
        <f t="shared" si="109"/>
        <v>5</v>
      </c>
      <c r="O2987">
        <v>22</v>
      </c>
    </row>
    <row r="2988" spans="13:15" x14ac:dyDescent="0.25">
      <c r="M2988" s="5">
        <v>40762</v>
      </c>
      <c r="N2988">
        <f t="shared" si="109"/>
        <v>4</v>
      </c>
      <c r="O2988">
        <v>22</v>
      </c>
    </row>
    <row r="2989" spans="13:15" x14ac:dyDescent="0.25">
      <c r="M2989" s="5">
        <v>40761</v>
      </c>
      <c r="N2989">
        <f t="shared" si="109"/>
        <v>4</v>
      </c>
      <c r="O2989">
        <v>22</v>
      </c>
    </row>
    <row r="2990" spans="13:15" x14ac:dyDescent="0.25">
      <c r="M2990" s="5">
        <v>40760</v>
      </c>
      <c r="N2990">
        <f t="shared" si="109"/>
        <v>4</v>
      </c>
      <c r="O2990">
        <v>22</v>
      </c>
    </row>
    <row r="2991" spans="13:15" x14ac:dyDescent="0.25">
      <c r="M2991" s="5">
        <v>40759</v>
      </c>
      <c r="N2991">
        <f t="shared" si="109"/>
        <v>4</v>
      </c>
      <c r="O2991">
        <v>22</v>
      </c>
    </row>
    <row r="2992" spans="13:15" x14ac:dyDescent="0.25">
      <c r="M2992" s="5">
        <v>40758</v>
      </c>
      <c r="N2992">
        <f t="shared" si="109"/>
        <v>4</v>
      </c>
      <c r="O2992">
        <v>22</v>
      </c>
    </row>
    <row r="2993" spans="13:15" x14ac:dyDescent="0.25">
      <c r="M2993" s="5">
        <v>40757</v>
      </c>
      <c r="N2993">
        <f t="shared" si="109"/>
        <v>4</v>
      </c>
      <c r="O2993">
        <v>22</v>
      </c>
    </row>
    <row r="2994" spans="13:15" x14ac:dyDescent="0.25">
      <c r="M2994" s="5">
        <v>40756</v>
      </c>
      <c r="N2994">
        <f t="shared" si="109"/>
        <v>4</v>
      </c>
      <c r="O2994">
        <v>22</v>
      </c>
    </row>
    <row r="2995" spans="13:15" x14ac:dyDescent="0.25">
      <c r="M2995" s="5">
        <v>40755</v>
      </c>
      <c r="N2995">
        <f t="shared" si="109"/>
        <v>3</v>
      </c>
      <c r="O2995">
        <v>22</v>
      </c>
    </row>
    <row r="2996" spans="13:15" x14ac:dyDescent="0.25">
      <c r="M2996" s="5">
        <v>40754</v>
      </c>
      <c r="N2996">
        <f t="shared" si="109"/>
        <v>3</v>
      </c>
      <c r="O2996">
        <v>22</v>
      </c>
    </row>
    <row r="2997" spans="13:15" x14ac:dyDescent="0.25">
      <c r="M2997" s="5">
        <v>40753</v>
      </c>
      <c r="N2997">
        <f t="shared" si="109"/>
        <v>3</v>
      </c>
      <c r="O2997">
        <v>22</v>
      </c>
    </row>
    <row r="2998" spans="13:15" x14ac:dyDescent="0.25">
      <c r="M2998" s="5">
        <v>40752</v>
      </c>
      <c r="N2998">
        <f t="shared" si="109"/>
        <v>3</v>
      </c>
      <c r="O2998">
        <v>22</v>
      </c>
    </row>
    <row r="2999" spans="13:15" x14ac:dyDescent="0.25">
      <c r="M2999" s="5">
        <v>40751</v>
      </c>
      <c r="N2999">
        <f t="shared" si="109"/>
        <v>3</v>
      </c>
      <c r="O2999">
        <v>22</v>
      </c>
    </row>
    <row r="3000" spans="13:15" x14ac:dyDescent="0.25">
      <c r="M3000" s="5">
        <v>40750</v>
      </c>
      <c r="N3000">
        <f t="shared" si="109"/>
        <v>3</v>
      </c>
      <c r="O3000">
        <v>22</v>
      </c>
    </row>
    <row r="3001" spans="13:15" x14ac:dyDescent="0.25">
      <c r="M3001" s="5">
        <v>40749</v>
      </c>
      <c r="N3001">
        <f t="shared" si="109"/>
        <v>3</v>
      </c>
      <c r="O3001">
        <v>22</v>
      </c>
    </row>
    <row r="3002" spans="13:15" x14ac:dyDescent="0.25">
      <c r="M3002" s="5">
        <v>40748</v>
      </c>
      <c r="N3002">
        <f t="shared" si="109"/>
        <v>2</v>
      </c>
      <c r="O3002">
        <v>22</v>
      </c>
    </row>
    <row r="3003" spans="13:15" x14ac:dyDescent="0.25">
      <c r="M3003" s="5">
        <v>40747</v>
      </c>
      <c r="N3003">
        <f t="shared" si="109"/>
        <v>2</v>
      </c>
      <c r="O3003">
        <v>22</v>
      </c>
    </row>
    <row r="3004" spans="13:15" x14ac:dyDescent="0.25">
      <c r="M3004" s="5">
        <v>40746</v>
      </c>
      <c r="N3004">
        <f t="shared" si="109"/>
        <v>2</v>
      </c>
      <c r="O3004">
        <v>22</v>
      </c>
    </row>
    <row r="3005" spans="13:15" x14ac:dyDescent="0.25">
      <c r="M3005" s="5">
        <v>40745</v>
      </c>
      <c r="N3005">
        <f t="shared" si="109"/>
        <v>2</v>
      </c>
      <c r="O3005">
        <v>22</v>
      </c>
    </row>
    <row r="3006" spans="13:15" x14ac:dyDescent="0.25">
      <c r="M3006" s="5">
        <v>40744</v>
      </c>
      <c r="N3006">
        <f t="shared" si="109"/>
        <v>2</v>
      </c>
      <c r="O3006">
        <v>22</v>
      </c>
    </row>
    <row r="3007" spans="13:15" x14ac:dyDescent="0.25">
      <c r="M3007" s="5">
        <v>40743</v>
      </c>
      <c r="N3007">
        <f t="shared" ref="N3007:N3015" si="110">N3000-1</f>
        <v>2</v>
      </c>
      <c r="O3007">
        <v>22</v>
      </c>
    </row>
    <row r="3008" spans="13:15" x14ac:dyDescent="0.25">
      <c r="M3008" s="5">
        <v>40742</v>
      </c>
      <c r="N3008">
        <f t="shared" si="110"/>
        <v>2</v>
      </c>
      <c r="O3008">
        <v>22</v>
      </c>
    </row>
    <row r="3009" spans="13:15" x14ac:dyDescent="0.25">
      <c r="M3009" s="5">
        <v>40741</v>
      </c>
      <c r="N3009">
        <f t="shared" si="110"/>
        <v>1</v>
      </c>
      <c r="O3009">
        <v>22</v>
      </c>
    </row>
    <row r="3010" spans="13:15" x14ac:dyDescent="0.25">
      <c r="M3010" s="5">
        <v>40740</v>
      </c>
      <c r="N3010">
        <f t="shared" si="110"/>
        <v>1</v>
      </c>
      <c r="O3010">
        <v>22</v>
      </c>
    </row>
    <row r="3011" spans="13:15" x14ac:dyDescent="0.25">
      <c r="M3011" s="5">
        <v>40739</v>
      </c>
      <c r="N3011">
        <f t="shared" si="110"/>
        <v>1</v>
      </c>
      <c r="O3011">
        <v>22</v>
      </c>
    </row>
    <row r="3012" spans="13:15" x14ac:dyDescent="0.25">
      <c r="M3012" s="5">
        <v>40738</v>
      </c>
      <c r="N3012">
        <f t="shared" si="110"/>
        <v>1</v>
      </c>
      <c r="O3012">
        <v>22</v>
      </c>
    </row>
    <row r="3013" spans="13:15" x14ac:dyDescent="0.25">
      <c r="M3013" s="5">
        <v>40737</v>
      </c>
      <c r="N3013">
        <f t="shared" si="110"/>
        <v>1</v>
      </c>
      <c r="O3013">
        <v>22</v>
      </c>
    </row>
    <row r="3014" spans="13:15" x14ac:dyDescent="0.25">
      <c r="M3014" s="5">
        <v>40736</v>
      </c>
      <c r="N3014">
        <f t="shared" si="110"/>
        <v>1</v>
      </c>
      <c r="O3014">
        <v>22</v>
      </c>
    </row>
    <row r="3015" spans="13:15" x14ac:dyDescent="0.25">
      <c r="M3015" s="5">
        <v>40735</v>
      </c>
      <c r="N3015">
        <f t="shared" si="110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1">N3016-1</f>
        <v>15</v>
      </c>
      <c r="O3023">
        <v>21</v>
      </c>
    </row>
    <row r="3024" spans="13:15" x14ac:dyDescent="0.25">
      <c r="M3024" s="5">
        <v>40726</v>
      </c>
      <c r="N3024">
        <f t="shared" si="111"/>
        <v>15</v>
      </c>
      <c r="O3024">
        <v>21</v>
      </c>
    </row>
    <row r="3025" spans="13:15" x14ac:dyDescent="0.25">
      <c r="M3025" s="5">
        <v>40725</v>
      </c>
      <c r="N3025">
        <f t="shared" si="111"/>
        <v>15</v>
      </c>
      <c r="O3025">
        <v>21</v>
      </c>
    </row>
    <row r="3026" spans="13:15" x14ac:dyDescent="0.25">
      <c r="M3026" s="5">
        <v>40724</v>
      </c>
      <c r="N3026">
        <f t="shared" si="111"/>
        <v>15</v>
      </c>
      <c r="O3026">
        <v>21</v>
      </c>
    </row>
    <row r="3027" spans="13:15" x14ac:dyDescent="0.25">
      <c r="M3027" s="5">
        <v>40723</v>
      </c>
      <c r="N3027">
        <f t="shared" si="111"/>
        <v>15</v>
      </c>
      <c r="O3027">
        <v>21</v>
      </c>
    </row>
    <row r="3028" spans="13:15" x14ac:dyDescent="0.25">
      <c r="M3028" s="5">
        <v>40722</v>
      </c>
      <c r="N3028">
        <f t="shared" si="111"/>
        <v>15</v>
      </c>
      <c r="O3028">
        <v>21</v>
      </c>
    </row>
    <row r="3029" spans="13:15" x14ac:dyDescent="0.25">
      <c r="M3029" s="5">
        <v>40721</v>
      </c>
      <c r="N3029">
        <f t="shared" si="111"/>
        <v>15</v>
      </c>
      <c r="O3029">
        <v>21</v>
      </c>
    </row>
    <row r="3030" spans="13:15" x14ac:dyDescent="0.25">
      <c r="M3030" s="5">
        <v>40720</v>
      </c>
      <c r="N3030">
        <f t="shared" si="111"/>
        <v>14</v>
      </c>
      <c r="O3030">
        <v>21</v>
      </c>
    </row>
    <row r="3031" spans="13:15" x14ac:dyDescent="0.25">
      <c r="M3031" s="5">
        <v>40719</v>
      </c>
      <c r="N3031">
        <f t="shared" si="111"/>
        <v>14</v>
      </c>
      <c r="O3031">
        <v>21</v>
      </c>
    </row>
    <row r="3032" spans="13:15" x14ac:dyDescent="0.25">
      <c r="M3032" s="5">
        <v>40718</v>
      </c>
      <c r="N3032">
        <f t="shared" si="111"/>
        <v>14</v>
      </c>
      <c r="O3032">
        <v>21</v>
      </c>
    </row>
    <row r="3033" spans="13:15" x14ac:dyDescent="0.25">
      <c r="M3033" s="5">
        <v>40717</v>
      </c>
      <c r="N3033">
        <f t="shared" si="111"/>
        <v>14</v>
      </c>
      <c r="O3033">
        <v>21</v>
      </c>
    </row>
    <row r="3034" spans="13:15" x14ac:dyDescent="0.25">
      <c r="M3034" s="5">
        <v>40716</v>
      </c>
      <c r="N3034">
        <f t="shared" si="111"/>
        <v>14</v>
      </c>
      <c r="O3034">
        <v>21</v>
      </c>
    </row>
    <row r="3035" spans="13:15" x14ac:dyDescent="0.25">
      <c r="M3035" s="5">
        <v>40715</v>
      </c>
      <c r="N3035">
        <f t="shared" si="111"/>
        <v>14</v>
      </c>
      <c r="O3035">
        <v>21</v>
      </c>
    </row>
    <row r="3036" spans="13:15" x14ac:dyDescent="0.25">
      <c r="M3036" s="5">
        <v>40714</v>
      </c>
      <c r="N3036">
        <f t="shared" si="111"/>
        <v>14</v>
      </c>
      <c r="O3036">
        <v>21</v>
      </c>
    </row>
    <row r="3037" spans="13:15" x14ac:dyDescent="0.25">
      <c r="M3037" s="5">
        <v>40713</v>
      </c>
      <c r="N3037">
        <f t="shared" si="111"/>
        <v>13</v>
      </c>
      <c r="O3037">
        <v>21</v>
      </c>
    </row>
    <row r="3038" spans="13:15" x14ac:dyDescent="0.25">
      <c r="M3038" s="5">
        <v>40712</v>
      </c>
      <c r="N3038">
        <f t="shared" si="111"/>
        <v>13</v>
      </c>
      <c r="O3038">
        <v>21</v>
      </c>
    </row>
    <row r="3039" spans="13:15" x14ac:dyDescent="0.25">
      <c r="M3039" s="5">
        <v>40711</v>
      </c>
      <c r="N3039">
        <f t="shared" si="111"/>
        <v>13</v>
      </c>
      <c r="O3039">
        <v>21</v>
      </c>
    </row>
    <row r="3040" spans="13:15" x14ac:dyDescent="0.25">
      <c r="M3040" s="5">
        <v>40710</v>
      </c>
      <c r="N3040">
        <f t="shared" si="111"/>
        <v>13</v>
      </c>
      <c r="O3040">
        <v>21</v>
      </c>
    </row>
    <row r="3041" spans="13:15" x14ac:dyDescent="0.25">
      <c r="M3041" s="5">
        <v>40709</v>
      </c>
      <c r="N3041">
        <f t="shared" si="111"/>
        <v>13</v>
      </c>
      <c r="O3041">
        <v>21</v>
      </c>
    </row>
    <row r="3042" spans="13:15" x14ac:dyDescent="0.25">
      <c r="M3042" s="5">
        <v>40708</v>
      </c>
      <c r="N3042">
        <f t="shared" si="111"/>
        <v>13</v>
      </c>
      <c r="O3042">
        <v>21</v>
      </c>
    </row>
    <row r="3043" spans="13:15" x14ac:dyDescent="0.25">
      <c r="M3043" s="5">
        <v>40707</v>
      </c>
      <c r="N3043">
        <f t="shared" si="111"/>
        <v>13</v>
      </c>
      <c r="O3043">
        <v>21</v>
      </c>
    </row>
    <row r="3044" spans="13:15" x14ac:dyDescent="0.25">
      <c r="M3044" s="5">
        <v>40706</v>
      </c>
      <c r="N3044">
        <f t="shared" si="111"/>
        <v>12</v>
      </c>
      <c r="O3044">
        <v>21</v>
      </c>
    </row>
    <row r="3045" spans="13:15" x14ac:dyDescent="0.25">
      <c r="M3045" s="5">
        <v>40705</v>
      </c>
      <c r="N3045">
        <f t="shared" si="111"/>
        <v>12</v>
      </c>
      <c r="O3045">
        <v>21</v>
      </c>
    </row>
    <row r="3046" spans="13:15" x14ac:dyDescent="0.25">
      <c r="M3046" s="5">
        <v>40704</v>
      </c>
      <c r="N3046">
        <f t="shared" si="111"/>
        <v>12</v>
      </c>
      <c r="O3046">
        <v>21</v>
      </c>
    </row>
    <row r="3047" spans="13:15" x14ac:dyDescent="0.25">
      <c r="M3047" s="5">
        <v>40703</v>
      </c>
      <c r="N3047">
        <f t="shared" si="111"/>
        <v>12</v>
      </c>
      <c r="O3047">
        <v>21</v>
      </c>
    </row>
    <row r="3048" spans="13:15" x14ac:dyDescent="0.25">
      <c r="M3048" s="5">
        <v>40702</v>
      </c>
      <c r="N3048">
        <f t="shared" si="111"/>
        <v>12</v>
      </c>
      <c r="O3048">
        <v>21</v>
      </c>
    </row>
    <row r="3049" spans="13:15" x14ac:dyDescent="0.25">
      <c r="M3049" s="5">
        <v>40701</v>
      </c>
      <c r="N3049">
        <f t="shared" si="111"/>
        <v>12</v>
      </c>
      <c r="O3049">
        <v>21</v>
      </c>
    </row>
    <row r="3050" spans="13:15" x14ac:dyDescent="0.25">
      <c r="M3050" s="5">
        <v>40700</v>
      </c>
      <c r="N3050">
        <f t="shared" si="111"/>
        <v>12</v>
      </c>
      <c r="O3050">
        <v>21</v>
      </c>
    </row>
    <row r="3051" spans="13:15" x14ac:dyDescent="0.25">
      <c r="M3051" s="5">
        <v>40699</v>
      </c>
      <c r="N3051">
        <f t="shared" si="111"/>
        <v>11</v>
      </c>
      <c r="O3051">
        <v>21</v>
      </c>
    </row>
    <row r="3052" spans="13:15" x14ac:dyDescent="0.25">
      <c r="M3052" s="5">
        <v>40698</v>
      </c>
      <c r="N3052">
        <f t="shared" si="111"/>
        <v>11</v>
      </c>
      <c r="O3052">
        <v>21</v>
      </c>
    </row>
    <row r="3053" spans="13:15" x14ac:dyDescent="0.25">
      <c r="M3053" s="5">
        <v>40697</v>
      </c>
      <c r="N3053">
        <f t="shared" si="111"/>
        <v>11</v>
      </c>
      <c r="O3053">
        <v>21</v>
      </c>
    </row>
    <row r="3054" spans="13:15" x14ac:dyDescent="0.25">
      <c r="M3054" s="5">
        <v>40696</v>
      </c>
      <c r="N3054">
        <f t="shared" si="111"/>
        <v>11</v>
      </c>
      <c r="O3054">
        <v>21</v>
      </c>
    </row>
    <row r="3055" spans="13:15" x14ac:dyDescent="0.25">
      <c r="M3055" s="5">
        <v>40695</v>
      </c>
      <c r="N3055">
        <f t="shared" ref="N3055:N3086" si="112">N3048-1</f>
        <v>11</v>
      </c>
      <c r="O3055">
        <v>21</v>
      </c>
    </row>
    <row r="3056" spans="13:15" x14ac:dyDescent="0.25">
      <c r="M3056" s="5">
        <v>40694</v>
      </c>
      <c r="N3056">
        <f t="shared" si="112"/>
        <v>11</v>
      </c>
      <c r="O3056">
        <v>21</v>
      </c>
    </row>
    <row r="3057" spans="13:15" x14ac:dyDescent="0.25">
      <c r="M3057" s="5">
        <v>40693</v>
      </c>
      <c r="N3057">
        <f t="shared" si="112"/>
        <v>11</v>
      </c>
      <c r="O3057">
        <v>21</v>
      </c>
    </row>
    <row r="3058" spans="13:15" x14ac:dyDescent="0.25">
      <c r="M3058" s="5">
        <v>40692</v>
      </c>
      <c r="N3058">
        <f t="shared" si="112"/>
        <v>10</v>
      </c>
      <c r="O3058">
        <v>21</v>
      </c>
    </row>
    <row r="3059" spans="13:15" x14ac:dyDescent="0.25">
      <c r="M3059" s="5">
        <v>40691</v>
      </c>
      <c r="N3059">
        <f t="shared" si="112"/>
        <v>10</v>
      </c>
      <c r="O3059">
        <v>21</v>
      </c>
    </row>
    <row r="3060" spans="13:15" x14ac:dyDescent="0.25">
      <c r="M3060" s="5">
        <v>40690</v>
      </c>
      <c r="N3060">
        <f t="shared" si="112"/>
        <v>10</v>
      </c>
      <c r="O3060">
        <v>21</v>
      </c>
    </row>
    <row r="3061" spans="13:15" x14ac:dyDescent="0.25">
      <c r="M3061" s="5">
        <v>40689</v>
      </c>
      <c r="N3061">
        <f t="shared" si="112"/>
        <v>10</v>
      </c>
      <c r="O3061">
        <v>21</v>
      </c>
    </row>
    <row r="3062" spans="13:15" x14ac:dyDescent="0.25">
      <c r="M3062" s="5">
        <v>40688</v>
      </c>
      <c r="N3062">
        <f t="shared" si="112"/>
        <v>10</v>
      </c>
      <c r="O3062">
        <v>21</v>
      </c>
    </row>
    <row r="3063" spans="13:15" x14ac:dyDescent="0.25">
      <c r="M3063" s="5">
        <v>40687</v>
      </c>
      <c r="N3063">
        <f t="shared" si="112"/>
        <v>10</v>
      </c>
      <c r="O3063">
        <v>21</v>
      </c>
    </row>
    <row r="3064" spans="13:15" x14ac:dyDescent="0.25">
      <c r="M3064" s="5">
        <v>40686</v>
      </c>
      <c r="N3064">
        <f t="shared" si="112"/>
        <v>10</v>
      </c>
      <c r="O3064">
        <v>21</v>
      </c>
    </row>
    <row r="3065" spans="13:15" x14ac:dyDescent="0.25">
      <c r="M3065" s="5">
        <v>40685</v>
      </c>
      <c r="N3065">
        <f t="shared" si="112"/>
        <v>9</v>
      </c>
      <c r="O3065">
        <v>21</v>
      </c>
    </row>
    <row r="3066" spans="13:15" x14ac:dyDescent="0.25">
      <c r="M3066" s="5">
        <v>40684</v>
      </c>
      <c r="N3066">
        <f t="shared" si="112"/>
        <v>9</v>
      </c>
      <c r="O3066">
        <v>21</v>
      </c>
    </row>
    <row r="3067" spans="13:15" x14ac:dyDescent="0.25">
      <c r="M3067" s="5">
        <v>40683</v>
      </c>
      <c r="N3067">
        <f t="shared" si="112"/>
        <v>9</v>
      </c>
      <c r="O3067">
        <v>21</v>
      </c>
    </row>
    <row r="3068" spans="13:15" x14ac:dyDescent="0.25">
      <c r="M3068" s="5">
        <v>40682</v>
      </c>
      <c r="N3068">
        <f t="shared" si="112"/>
        <v>9</v>
      </c>
      <c r="O3068">
        <v>21</v>
      </c>
    </row>
    <row r="3069" spans="13:15" x14ac:dyDescent="0.25">
      <c r="M3069" s="5">
        <v>40681</v>
      </c>
      <c r="N3069">
        <f t="shared" si="112"/>
        <v>9</v>
      </c>
      <c r="O3069">
        <v>21</v>
      </c>
    </row>
    <row r="3070" spans="13:15" x14ac:dyDescent="0.25">
      <c r="M3070" s="5">
        <v>40680</v>
      </c>
      <c r="N3070">
        <f t="shared" si="112"/>
        <v>9</v>
      </c>
      <c r="O3070">
        <v>21</v>
      </c>
    </row>
    <row r="3071" spans="13:15" x14ac:dyDescent="0.25">
      <c r="M3071" s="5">
        <v>40679</v>
      </c>
      <c r="N3071">
        <f t="shared" si="112"/>
        <v>9</v>
      </c>
      <c r="O3071">
        <v>21</v>
      </c>
    </row>
    <row r="3072" spans="13:15" x14ac:dyDescent="0.25">
      <c r="M3072" s="5">
        <v>40678</v>
      </c>
      <c r="N3072">
        <f t="shared" si="112"/>
        <v>8</v>
      </c>
      <c r="O3072">
        <v>21</v>
      </c>
    </row>
    <row r="3073" spans="13:15" x14ac:dyDescent="0.25">
      <c r="M3073" s="5">
        <v>40677</v>
      </c>
      <c r="N3073">
        <f t="shared" si="112"/>
        <v>8</v>
      </c>
      <c r="O3073">
        <v>21</v>
      </c>
    </row>
    <row r="3074" spans="13:15" x14ac:dyDescent="0.25">
      <c r="M3074" s="5">
        <v>40676</v>
      </c>
      <c r="N3074">
        <f t="shared" si="112"/>
        <v>8</v>
      </c>
      <c r="O3074">
        <v>21</v>
      </c>
    </row>
    <row r="3075" spans="13:15" x14ac:dyDescent="0.25">
      <c r="M3075" s="5">
        <v>40675</v>
      </c>
      <c r="N3075">
        <f t="shared" si="112"/>
        <v>8</v>
      </c>
      <c r="O3075">
        <v>21</v>
      </c>
    </row>
    <row r="3076" spans="13:15" x14ac:dyDescent="0.25">
      <c r="M3076" s="5">
        <v>40674</v>
      </c>
      <c r="N3076">
        <f t="shared" si="112"/>
        <v>8</v>
      </c>
      <c r="O3076">
        <v>21</v>
      </c>
    </row>
    <row r="3077" spans="13:15" x14ac:dyDescent="0.25">
      <c r="M3077" s="5">
        <v>40673</v>
      </c>
      <c r="N3077">
        <f t="shared" si="112"/>
        <v>8</v>
      </c>
      <c r="O3077">
        <v>21</v>
      </c>
    </row>
    <row r="3078" spans="13:15" x14ac:dyDescent="0.25">
      <c r="M3078" s="5">
        <v>40672</v>
      </c>
      <c r="N3078">
        <f t="shared" si="112"/>
        <v>8</v>
      </c>
      <c r="O3078">
        <v>21</v>
      </c>
    </row>
    <row r="3079" spans="13:15" x14ac:dyDescent="0.25">
      <c r="M3079" s="5">
        <v>40671</v>
      </c>
      <c r="N3079">
        <f t="shared" si="112"/>
        <v>7</v>
      </c>
      <c r="O3079">
        <v>21</v>
      </c>
    </row>
    <row r="3080" spans="13:15" x14ac:dyDescent="0.25">
      <c r="M3080" s="5">
        <v>40670</v>
      </c>
      <c r="N3080">
        <f t="shared" si="112"/>
        <v>7</v>
      </c>
      <c r="O3080">
        <v>21</v>
      </c>
    </row>
    <row r="3081" spans="13:15" x14ac:dyDescent="0.25">
      <c r="M3081" s="5">
        <v>40669</v>
      </c>
      <c r="N3081">
        <f t="shared" si="112"/>
        <v>7</v>
      </c>
      <c r="O3081">
        <v>21</v>
      </c>
    </row>
    <row r="3082" spans="13:15" x14ac:dyDescent="0.25">
      <c r="M3082" s="5">
        <v>40668</v>
      </c>
      <c r="N3082">
        <f t="shared" si="112"/>
        <v>7</v>
      </c>
      <c r="O3082">
        <v>21</v>
      </c>
    </row>
    <row r="3083" spans="13:15" x14ac:dyDescent="0.25">
      <c r="M3083" s="5">
        <v>40667</v>
      </c>
      <c r="N3083">
        <f t="shared" si="112"/>
        <v>7</v>
      </c>
      <c r="O3083">
        <v>21</v>
      </c>
    </row>
    <row r="3084" spans="13:15" x14ac:dyDescent="0.25">
      <c r="M3084" s="5">
        <v>40666</v>
      </c>
      <c r="N3084">
        <f t="shared" si="112"/>
        <v>7</v>
      </c>
      <c r="O3084">
        <v>21</v>
      </c>
    </row>
    <row r="3085" spans="13:15" x14ac:dyDescent="0.25">
      <c r="M3085" s="5">
        <v>40665</v>
      </c>
      <c r="N3085">
        <f t="shared" si="112"/>
        <v>7</v>
      </c>
      <c r="O3085">
        <v>21</v>
      </c>
    </row>
    <row r="3086" spans="13:15" x14ac:dyDescent="0.25">
      <c r="M3086" s="5">
        <v>40664</v>
      </c>
      <c r="N3086">
        <f t="shared" si="112"/>
        <v>6</v>
      </c>
      <c r="O3086">
        <v>21</v>
      </c>
    </row>
    <row r="3087" spans="13:15" x14ac:dyDescent="0.25">
      <c r="M3087" s="5">
        <v>40663</v>
      </c>
      <c r="N3087">
        <f t="shared" ref="N3087:N3118" si="113">N3080-1</f>
        <v>6</v>
      </c>
      <c r="O3087">
        <v>21</v>
      </c>
    </row>
    <row r="3088" spans="13:15" x14ac:dyDescent="0.25">
      <c r="M3088" s="5">
        <v>40662</v>
      </c>
      <c r="N3088">
        <f t="shared" si="113"/>
        <v>6</v>
      </c>
      <c r="O3088">
        <v>21</v>
      </c>
    </row>
    <row r="3089" spans="13:15" x14ac:dyDescent="0.25">
      <c r="M3089" s="5">
        <v>40661</v>
      </c>
      <c r="N3089">
        <f t="shared" si="113"/>
        <v>6</v>
      </c>
      <c r="O3089">
        <v>21</v>
      </c>
    </row>
    <row r="3090" spans="13:15" x14ac:dyDescent="0.25">
      <c r="M3090" s="5">
        <v>40660</v>
      </c>
      <c r="N3090">
        <f t="shared" si="113"/>
        <v>6</v>
      </c>
      <c r="O3090">
        <v>21</v>
      </c>
    </row>
    <row r="3091" spans="13:15" x14ac:dyDescent="0.25">
      <c r="M3091" s="5">
        <v>40659</v>
      </c>
      <c r="N3091">
        <f t="shared" si="113"/>
        <v>6</v>
      </c>
      <c r="O3091">
        <v>21</v>
      </c>
    </row>
    <row r="3092" spans="13:15" x14ac:dyDescent="0.25">
      <c r="M3092" s="5">
        <v>40658</v>
      </c>
      <c r="N3092">
        <f t="shared" si="113"/>
        <v>6</v>
      </c>
      <c r="O3092">
        <v>21</v>
      </c>
    </row>
    <row r="3093" spans="13:15" x14ac:dyDescent="0.25">
      <c r="M3093" s="5">
        <v>40657</v>
      </c>
      <c r="N3093">
        <f t="shared" si="113"/>
        <v>5</v>
      </c>
      <c r="O3093">
        <v>21</v>
      </c>
    </row>
    <row r="3094" spans="13:15" x14ac:dyDescent="0.25">
      <c r="M3094" s="5">
        <v>40656</v>
      </c>
      <c r="N3094">
        <f t="shared" si="113"/>
        <v>5</v>
      </c>
      <c r="O3094">
        <v>21</v>
      </c>
    </row>
    <row r="3095" spans="13:15" x14ac:dyDescent="0.25">
      <c r="M3095" s="5">
        <v>40655</v>
      </c>
      <c r="N3095">
        <f t="shared" si="113"/>
        <v>5</v>
      </c>
      <c r="O3095">
        <v>21</v>
      </c>
    </row>
    <row r="3096" spans="13:15" x14ac:dyDescent="0.25">
      <c r="M3096" s="5">
        <v>40654</v>
      </c>
      <c r="N3096">
        <f t="shared" si="113"/>
        <v>5</v>
      </c>
      <c r="O3096">
        <v>21</v>
      </c>
    </row>
    <row r="3097" spans="13:15" x14ac:dyDescent="0.25">
      <c r="M3097" s="5">
        <v>40653</v>
      </c>
      <c r="N3097">
        <f t="shared" si="113"/>
        <v>5</v>
      </c>
      <c r="O3097">
        <v>21</v>
      </c>
    </row>
    <row r="3098" spans="13:15" x14ac:dyDescent="0.25">
      <c r="M3098" s="5">
        <v>40652</v>
      </c>
      <c r="N3098">
        <f t="shared" si="113"/>
        <v>5</v>
      </c>
      <c r="O3098">
        <v>21</v>
      </c>
    </row>
    <row r="3099" spans="13:15" x14ac:dyDescent="0.25">
      <c r="M3099" s="5">
        <v>40651</v>
      </c>
      <c r="N3099">
        <f t="shared" si="113"/>
        <v>5</v>
      </c>
      <c r="O3099">
        <v>21</v>
      </c>
    </row>
    <row r="3100" spans="13:15" x14ac:dyDescent="0.25">
      <c r="M3100" s="5">
        <v>40650</v>
      </c>
      <c r="N3100">
        <f t="shared" si="113"/>
        <v>4</v>
      </c>
      <c r="O3100">
        <v>21</v>
      </c>
    </row>
    <row r="3101" spans="13:15" x14ac:dyDescent="0.25">
      <c r="M3101" s="5">
        <v>40649</v>
      </c>
      <c r="N3101">
        <f t="shared" si="113"/>
        <v>4</v>
      </c>
      <c r="O3101">
        <v>21</v>
      </c>
    </row>
    <row r="3102" spans="13:15" x14ac:dyDescent="0.25">
      <c r="M3102" s="5">
        <v>40648</v>
      </c>
      <c r="N3102">
        <f t="shared" si="113"/>
        <v>4</v>
      </c>
      <c r="O3102">
        <v>21</v>
      </c>
    </row>
    <row r="3103" spans="13:15" x14ac:dyDescent="0.25">
      <c r="M3103" s="5">
        <v>40647</v>
      </c>
      <c r="N3103">
        <f t="shared" si="113"/>
        <v>4</v>
      </c>
      <c r="O3103">
        <v>21</v>
      </c>
    </row>
    <row r="3104" spans="13:15" x14ac:dyDescent="0.25">
      <c r="M3104" s="5">
        <v>40646</v>
      </c>
      <c r="N3104">
        <f t="shared" si="113"/>
        <v>4</v>
      </c>
      <c r="O3104">
        <v>21</v>
      </c>
    </row>
    <row r="3105" spans="13:15" x14ac:dyDescent="0.25">
      <c r="M3105" s="5">
        <v>40645</v>
      </c>
      <c r="N3105">
        <f t="shared" si="113"/>
        <v>4</v>
      </c>
      <c r="O3105">
        <v>21</v>
      </c>
    </row>
    <row r="3106" spans="13:15" x14ac:dyDescent="0.25">
      <c r="M3106" s="5">
        <v>40644</v>
      </c>
      <c r="N3106">
        <f t="shared" si="113"/>
        <v>4</v>
      </c>
      <c r="O3106">
        <v>21</v>
      </c>
    </row>
    <row r="3107" spans="13:15" x14ac:dyDescent="0.25">
      <c r="M3107" s="5">
        <v>40643</v>
      </c>
      <c r="N3107">
        <f t="shared" si="113"/>
        <v>3</v>
      </c>
      <c r="O3107">
        <v>21</v>
      </c>
    </row>
    <row r="3108" spans="13:15" x14ac:dyDescent="0.25">
      <c r="M3108" s="5">
        <v>40642</v>
      </c>
      <c r="N3108">
        <f t="shared" si="113"/>
        <v>3</v>
      </c>
      <c r="O3108">
        <v>21</v>
      </c>
    </row>
    <row r="3109" spans="13:15" x14ac:dyDescent="0.25">
      <c r="M3109" s="5">
        <v>40641</v>
      </c>
      <c r="N3109">
        <f t="shared" si="113"/>
        <v>3</v>
      </c>
      <c r="O3109">
        <v>21</v>
      </c>
    </row>
    <row r="3110" spans="13:15" x14ac:dyDescent="0.25">
      <c r="M3110" s="5">
        <v>40640</v>
      </c>
      <c r="N3110">
        <f t="shared" si="113"/>
        <v>3</v>
      </c>
      <c r="O3110">
        <v>21</v>
      </c>
    </row>
    <row r="3111" spans="13:15" x14ac:dyDescent="0.25">
      <c r="M3111" s="5">
        <v>40639</v>
      </c>
      <c r="N3111">
        <f t="shared" si="113"/>
        <v>3</v>
      </c>
      <c r="O3111">
        <v>21</v>
      </c>
    </row>
    <row r="3112" spans="13:15" x14ac:dyDescent="0.25">
      <c r="M3112" s="5">
        <v>40638</v>
      </c>
      <c r="N3112">
        <f t="shared" si="113"/>
        <v>3</v>
      </c>
      <c r="O3112">
        <v>21</v>
      </c>
    </row>
    <row r="3113" spans="13:15" x14ac:dyDescent="0.25">
      <c r="M3113" s="5">
        <v>40637</v>
      </c>
      <c r="N3113">
        <f t="shared" si="113"/>
        <v>3</v>
      </c>
      <c r="O3113">
        <v>21</v>
      </c>
    </row>
    <row r="3114" spans="13:15" x14ac:dyDescent="0.25">
      <c r="M3114" s="5">
        <v>40636</v>
      </c>
      <c r="N3114">
        <f t="shared" si="113"/>
        <v>2</v>
      </c>
      <c r="O3114">
        <v>21</v>
      </c>
    </row>
    <row r="3115" spans="13:15" x14ac:dyDescent="0.25">
      <c r="M3115" s="5">
        <v>40635</v>
      </c>
      <c r="N3115">
        <f t="shared" si="113"/>
        <v>2</v>
      </c>
      <c r="O3115">
        <v>21</v>
      </c>
    </row>
    <row r="3116" spans="13:15" x14ac:dyDescent="0.25">
      <c r="M3116" s="5">
        <v>40634</v>
      </c>
      <c r="N3116">
        <f t="shared" si="113"/>
        <v>2</v>
      </c>
      <c r="O3116">
        <v>21</v>
      </c>
    </row>
    <row r="3117" spans="13:15" x14ac:dyDescent="0.25">
      <c r="M3117" s="5">
        <v>40633</v>
      </c>
      <c r="N3117">
        <f t="shared" si="113"/>
        <v>2</v>
      </c>
      <c r="O3117">
        <v>21</v>
      </c>
    </row>
    <row r="3118" spans="13:15" x14ac:dyDescent="0.25">
      <c r="M3118" s="5">
        <v>40632</v>
      </c>
      <c r="N3118">
        <f t="shared" si="113"/>
        <v>2</v>
      </c>
      <c r="O3118">
        <v>21</v>
      </c>
    </row>
    <row r="3119" spans="13:15" x14ac:dyDescent="0.25">
      <c r="M3119" s="5">
        <v>40631</v>
      </c>
      <c r="N3119">
        <f t="shared" ref="N3119:N3127" si="114">N3112-1</f>
        <v>2</v>
      </c>
      <c r="O3119">
        <v>21</v>
      </c>
    </row>
    <row r="3120" spans="13:15" x14ac:dyDescent="0.25">
      <c r="M3120" s="5">
        <v>40630</v>
      </c>
      <c r="N3120">
        <f t="shared" si="114"/>
        <v>2</v>
      </c>
      <c r="O3120">
        <v>21</v>
      </c>
    </row>
    <row r="3121" spans="13:15" x14ac:dyDescent="0.25">
      <c r="M3121" s="5">
        <v>40629</v>
      </c>
      <c r="N3121">
        <f t="shared" si="114"/>
        <v>1</v>
      </c>
      <c r="O3121">
        <v>21</v>
      </c>
    </row>
    <row r="3122" spans="13:15" x14ac:dyDescent="0.25">
      <c r="M3122" s="5">
        <v>40628</v>
      </c>
      <c r="N3122">
        <f t="shared" si="114"/>
        <v>1</v>
      </c>
      <c r="O3122">
        <v>21</v>
      </c>
    </row>
    <row r="3123" spans="13:15" x14ac:dyDescent="0.25">
      <c r="M3123" s="5">
        <v>40627</v>
      </c>
      <c r="N3123">
        <f t="shared" si="114"/>
        <v>1</v>
      </c>
      <c r="O3123">
        <v>21</v>
      </c>
    </row>
    <row r="3124" spans="13:15" x14ac:dyDescent="0.25">
      <c r="M3124" s="5">
        <v>40626</v>
      </c>
      <c r="N3124">
        <f t="shared" si="114"/>
        <v>1</v>
      </c>
      <c r="O3124">
        <v>21</v>
      </c>
    </row>
    <row r="3125" spans="13:15" x14ac:dyDescent="0.25">
      <c r="M3125" s="5">
        <v>40625</v>
      </c>
      <c r="N3125">
        <f t="shared" si="114"/>
        <v>1</v>
      </c>
      <c r="O3125">
        <v>21</v>
      </c>
    </row>
    <row r="3126" spans="13:15" x14ac:dyDescent="0.25">
      <c r="M3126" s="5">
        <v>40624</v>
      </c>
      <c r="N3126">
        <f t="shared" si="114"/>
        <v>1</v>
      </c>
      <c r="O3126">
        <v>21</v>
      </c>
    </row>
    <row r="3127" spans="13:15" x14ac:dyDescent="0.25">
      <c r="M3127" s="5">
        <v>40623</v>
      </c>
      <c r="N3127">
        <f t="shared" si="114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5">N3128-1</f>
        <v>15</v>
      </c>
      <c r="O3135">
        <v>20</v>
      </c>
    </row>
    <row r="3136" spans="13:15" x14ac:dyDescent="0.25">
      <c r="M3136" s="5">
        <v>40614</v>
      </c>
      <c r="N3136">
        <f t="shared" si="115"/>
        <v>15</v>
      </c>
      <c r="O3136">
        <v>20</v>
      </c>
    </row>
    <row r="3137" spans="13:15" x14ac:dyDescent="0.25">
      <c r="M3137" s="5">
        <v>40613</v>
      </c>
      <c r="N3137">
        <f t="shared" si="115"/>
        <v>15</v>
      </c>
      <c r="O3137">
        <v>20</v>
      </c>
    </row>
    <row r="3138" spans="13:15" x14ac:dyDescent="0.25">
      <c r="M3138" s="5">
        <v>40612</v>
      </c>
      <c r="N3138">
        <f t="shared" si="115"/>
        <v>15</v>
      </c>
      <c r="O3138">
        <v>20</v>
      </c>
    </row>
    <row r="3139" spans="13:15" x14ac:dyDescent="0.25">
      <c r="M3139" s="5">
        <v>40611</v>
      </c>
      <c r="N3139">
        <f t="shared" si="115"/>
        <v>15</v>
      </c>
      <c r="O3139">
        <v>20</v>
      </c>
    </row>
    <row r="3140" spans="13:15" x14ac:dyDescent="0.25">
      <c r="M3140" s="5">
        <v>40610</v>
      </c>
      <c r="N3140">
        <f t="shared" si="115"/>
        <v>15</v>
      </c>
      <c r="O3140">
        <v>20</v>
      </c>
    </row>
    <row r="3141" spans="13:15" x14ac:dyDescent="0.25">
      <c r="M3141" s="5">
        <v>40609</v>
      </c>
      <c r="N3141">
        <f t="shared" si="115"/>
        <v>15</v>
      </c>
      <c r="O3141">
        <v>20</v>
      </c>
    </row>
    <row r="3142" spans="13:15" x14ac:dyDescent="0.25">
      <c r="M3142" s="5">
        <v>40608</v>
      </c>
      <c r="N3142">
        <f t="shared" si="115"/>
        <v>14</v>
      </c>
      <c r="O3142">
        <v>20</v>
      </c>
    </row>
    <row r="3143" spans="13:15" x14ac:dyDescent="0.25">
      <c r="M3143" s="5">
        <v>40607</v>
      </c>
      <c r="N3143">
        <f t="shared" si="115"/>
        <v>14</v>
      </c>
      <c r="O3143">
        <v>20</v>
      </c>
    </row>
    <row r="3144" spans="13:15" x14ac:dyDescent="0.25">
      <c r="M3144" s="5">
        <v>40606</v>
      </c>
      <c r="N3144">
        <f t="shared" si="115"/>
        <v>14</v>
      </c>
      <c r="O3144">
        <v>20</v>
      </c>
    </row>
    <row r="3145" spans="13:15" x14ac:dyDescent="0.25">
      <c r="M3145" s="5">
        <v>40605</v>
      </c>
      <c r="N3145">
        <f t="shared" si="115"/>
        <v>14</v>
      </c>
      <c r="O3145">
        <v>20</v>
      </c>
    </row>
    <row r="3146" spans="13:15" x14ac:dyDescent="0.25">
      <c r="M3146" s="5">
        <v>40604</v>
      </c>
      <c r="N3146">
        <f t="shared" si="115"/>
        <v>14</v>
      </c>
      <c r="O3146">
        <v>20</v>
      </c>
    </row>
    <row r="3147" spans="13:15" x14ac:dyDescent="0.25">
      <c r="M3147" s="5">
        <v>40603</v>
      </c>
      <c r="N3147">
        <f t="shared" si="115"/>
        <v>14</v>
      </c>
      <c r="O3147">
        <v>20</v>
      </c>
    </row>
    <row r="3148" spans="13:15" x14ac:dyDescent="0.25">
      <c r="M3148" s="5">
        <v>40602</v>
      </c>
      <c r="N3148">
        <f t="shared" si="115"/>
        <v>14</v>
      </c>
      <c r="O3148">
        <v>20</v>
      </c>
    </row>
    <row r="3149" spans="13:15" x14ac:dyDescent="0.25">
      <c r="M3149" s="5">
        <v>40601</v>
      </c>
      <c r="N3149">
        <f t="shared" si="115"/>
        <v>13</v>
      </c>
      <c r="O3149">
        <v>20</v>
      </c>
    </row>
    <row r="3150" spans="13:15" x14ac:dyDescent="0.25">
      <c r="M3150" s="5">
        <v>40600</v>
      </c>
      <c r="N3150">
        <f t="shared" si="115"/>
        <v>13</v>
      </c>
      <c r="O3150">
        <v>20</v>
      </c>
    </row>
    <row r="3151" spans="13:15" x14ac:dyDescent="0.25">
      <c r="M3151" s="5">
        <v>40599</v>
      </c>
      <c r="N3151">
        <f t="shared" si="115"/>
        <v>13</v>
      </c>
      <c r="O3151">
        <v>20</v>
      </c>
    </row>
    <row r="3152" spans="13:15" x14ac:dyDescent="0.25">
      <c r="M3152" s="5">
        <v>40598</v>
      </c>
      <c r="N3152">
        <f t="shared" si="115"/>
        <v>13</v>
      </c>
      <c r="O3152">
        <v>20</v>
      </c>
    </row>
    <row r="3153" spans="13:15" x14ac:dyDescent="0.25">
      <c r="M3153" s="5">
        <v>40597</v>
      </c>
      <c r="N3153">
        <f t="shared" si="115"/>
        <v>13</v>
      </c>
      <c r="O3153">
        <v>20</v>
      </c>
    </row>
    <row r="3154" spans="13:15" x14ac:dyDescent="0.25">
      <c r="M3154" s="5">
        <v>40596</v>
      </c>
      <c r="N3154">
        <f t="shared" si="115"/>
        <v>13</v>
      </c>
      <c r="O3154">
        <v>20</v>
      </c>
    </row>
    <row r="3155" spans="13:15" x14ac:dyDescent="0.25">
      <c r="M3155" s="5">
        <v>40595</v>
      </c>
      <c r="N3155">
        <f t="shared" si="115"/>
        <v>13</v>
      </c>
      <c r="O3155">
        <v>20</v>
      </c>
    </row>
    <row r="3156" spans="13:15" x14ac:dyDescent="0.25">
      <c r="M3156" s="5">
        <v>40594</v>
      </c>
      <c r="N3156">
        <f t="shared" si="115"/>
        <v>12</v>
      </c>
      <c r="O3156">
        <v>20</v>
      </c>
    </row>
    <row r="3157" spans="13:15" x14ac:dyDescent="0.25">
      <c r="M3157" s="5">
        <v>40593</v>
      </c>
      <c r="N3157">
        <f t="shared" si="115"/>
        <v>12</v>
      </c>
      <c r="O3157">
        <v>20</v>
      </c>
    </row>
    <row r="3158" spans="13:15" x14ac:dyDescent="0.25">
      <c r="M3158" s="5">
        <v>40592</v>
      </c>
      <c r="N3158">
        <f t="shared" si="115"/>
        <v>12</v>
      </c>
      <c r="O3158">
        <v>20</v>
      </c>
    </row>
    <row r="3159" spans="13:15" x14ac:dyDescent="0.25">
      <c r="M3159" s="5">
        <v>40591</v>
      </c>
      <c r="N3159">
        <f t="shared" si="115"/>
        <v>12</v>
      </c>
      <c r="O3159">
        <v>20</v>
      </c>
    </row>
    <row r="3160" spans="13:15" x14ac:dyDescent="0.25">
      <c r="M3160" s="5">
        <v>40590</v>
      </c>
      <c r="N3160">
        <f t="shared" si="115"/>
        <v>12</v>
      </c>
      <c r="O3160">
        <v>20</v>
      </c>
    </row>
    <row r="3161" spans="13:15" x14ac:dyDescent="0.25">
      <c r="M3161" s="5">
        <v>40589</v>
      </c>
      <c r="N3161">
        <f t="shared" si="115"/>
        <v>12</v>
      </c>
      <c r="O3161">
        <v>20</v>
      </c>
    </row>
    <row r="3162" spans="13:15" x14ac:dyDescent="0.25">
      <c r="M3162" s="5">
        <v>40588</v>
      </c>
      <c r="N3162">
        <f t="shared" si="115"/>
        <v>12</v>
      </c>
      <c r="O3162">
        <v>20</v>
      </c>
    </row>
    <row r="3163" spans="13:15" x14ac:dyDescent="0.25">
      <c r="M3163" s="5">
        <v>40587</v>
      </c>
      <c r="N3163">
        <f t="shared" si="115"/>
        <v>11</v>
      </c>
      <c r="O3163">
        <v>20</v>
      </c>
    </row>
    <row r="3164" spans="13:15" x14ac:dyDescent="0.25">
      <c r="M3164" s="5">
        <v>40586</v>
      </c>
      <c r="N3164">
        <f t="shared" si="115"/>
        <v>11</v>
      </c>
      <c r="O3164">
        <v>20</v>
      </c>
    </row>
    <row r="3165" spans="13:15" x14ac:dyDescent="0.25">
      <c r="M3165" s="5">
        <v>40585</v>
      </c>
      <c r="N3165">
        <f t="shared" si="115"/>
        <v>11</v>
      </c>
      <c r="O3165">
        <v>20</v>
      </c>
    </row>
    <row r="3166" spans="13:15" x14ac:dyDescent="0.25">
      <c r="M3166" s="5">
        <v>40584</v>
      </c>
      <c r="N3166">
        <f t="shared" si="115"/>
        <v>11</v>
      </c>
      <c r="O3166">
        <v>20</v>
      </c>
    </row>
    <row r="3167" spans="13:15" x14ac:dyDescent="0.25">
      <c r="M3167" s="5">
        <v>40583</v>
      </c>
      <c r="N3167">
        <f t="shared" ref="N3167:N3198" si="116">N3160-1</f>
        <v>11</v>
      </c>
      <c r="O3167">
        <v>20</v>
      </c>
    </row>
    <row r="3168" spans="13:15" x14ac:dyDescent="0.25">
      <c r="M3168" s="5">
        <v>40582</v>
      </c>
      <c r="N3168">
        <f t="shared" si="116"/>
        <v>11</v>
      </c>
      <c r="O3168">
        <v>20</v>
      </c>
    </row>
    <row r="3169" spans="13:15" x14ac:dyDescent="0.25">
      <c r="M3169" s="5">
        <v>40581</v>
      </c>
      <c r="N3169">
        <f t="shared" si="116"/>
        <v>11</v>
      </c>
      <c r="O3169">
        <v>20</v>
      </c>
    </row>
    <row r="3170" spans="13:15" x14ac:dyDescent="0.25">
      <c r="M3170" s="5">
        <v>40580</v>
      </c>
      <c r="N3170">
        <f t="shared" si="116"/>
        <v>10</v>
      </c>
      <c r="O3170">
        <v>20</v>
      </c>
    </row>
    <row r="3171" spans="13:15" x14ac:dyDescent="0.25">
      <c r="M3171" s="5">
        <v>40579</v>
      </c>
      <c r="N3171">
        <f t="shared" si="116"/>
        <v>10</v>
      </c>
      <c r="O3171">
        <v>20</v>
      </c>
    </row>
    <row r="3172" spans="13:15" x14ac:dyDescent="0.25">
      <c r="M3172" s="5">
        <v>40578</v>
      </c>
      <c r="N3172">
        <f t="shared" si="116"/>
        <v>10</v>
      </c>
      <c r="O3172">
        <v>20</v>
      </c>
    </row>
    <row r="3173" spans="13:15" x14ac:dyDescent="0.25">
      <c r="M3173" s="5">
        <v>40577</v>
      </c>
      <c r="N3173">
        <f t="shared" si="116"/>
        <v>10</v>
      </c>
      <c r="O3173">
        <v>20</v>
      </c>
    </row>
    <row r="3174" spans="13:15" x14ac:dyDescent="0.25">
      <c r="M3174" s="5">
        <v>40576</v>
      </c>
      <c r="N3174">
        <f t="shared" si="116"/>
        <v>10</v>
      </c>
      <c r="O3174">
        <v>20</v>
      </c>
    </row>
    <row r="3175" spans="13:15" x14ac:dyDescent="0.25">
      <c r="M3175" s="5">
        <v>40575</v>
      </c>
      <c r="N3175">
        <f t="shared" si="116"/>
        <v>10</v>
      </c>
      <c r="O3175">
        <v>20</v>
      </c>
    </row>
    <row r="3176" spans="13:15" x14ac:dyDescent="0.25">
      <c r="M3176" s="5">
        <v>40574</v>
      </c>
      <c r="N3176">
        <f t="shared" si="116"/>
        <v>10</v>
      </c>
      <c r="O3176">
        <v>20</v>
      </c>
    </row>
    <row r="3177" spans="13:15" x14ac:dyDescent="0.25">
      <c r="M3177" s="5">
        <v>40573</v>
      </c>
      <c r="N3177">
        <f t="shared" si="116"/>
        <v>9</v>
      </c>
      <c r="O3177">
        <v>20</v>
      </c>
    </row>
    <row r="3178" spans="13:15" x14ac:dyDescent="0.25">
      <c r="M3178" s="5">
        <v>40572</v>
      </c>
      <c r="N3178">
        <f t="shared" si="116"/>
        <v>9</v>
      </c>
      <c r="O3178">
        <v>20</v>
      </c>
    </row>
    <row r="3179" spans="13:15" x14ac:dyDescent="0.25">
      <c r="M3179" s="5">
        <v>40571</v>
      </c>
      <c r="N3179">
        <f t="shared" si="116"/>
        <v>9</v>
      </c>
      <c r="O3179">
        <v>20</v>
      </c>
    </row>
    <row r="3180" spans="13:15" x14ac:dyDescent="0.25">
      <c r="M3180" s="5">
        <v>40570</v>
      </c>
      <c r="N3180">
        <f t="shared" si="116"/>
        <v>9</v>
      </c>
      <c r="O3180">
        <v>20</v>
      </c>
    </row>
    <row r="3181" spans="13:15" x14ac:dyDescent="0.25">
      <c r="M3181" s="5">
        <v>40569</v>
      </c>
      <c r="N3181">
        <f t="shared" si="116"/>
        <v>9</v>
      </c>
      <c r="O3181">
        <v>20</v>
      </c>
    </row>
    <row r="3182" spans="13:15" x14ac:dyDescent="0.25">
      <c r="M3182" s="5">
        <v>40568</v>
      </c>
      <c r="N3182">
        <f t="shared" si="116"/>
        <v>9</v>
      </c>
      <c r="O3182">
        <v>20</v>
      </c>
    </row>
    <row r="3183" spans="13:15" x14ac:dyDescent="0.25">
      <c r="M3183" s="5">
        <v>40567</v>
      </c>
      <c r="N3183">
        <f t="shared" si="116"/>
        <v>9</v>
      </c>
      <c r="O3183">
        <v>20</v>
      </c>
    </row>
    <row r="3184" spans="13:15" x14ac:dyDescent="0.25">
      <c r="M3184" s="5">
        <v>40566</v>
      </c>
      <c r="N3184">
        <f t="shared" si="116"/>
        <v>8</v>
      </c>
      <c r="O3184">
        <v>20</v>
      </c>
    </row>
    <row r="3185" spans="13:15" x14ac:dyDescent="0.25">
      <c r="M3185" s="5">
        <v>40565</v>
      </c>
      <c r="N3185">
        <f t="shared" si="116"/>
        <v>8</v>
      </c>
      <c r="O3185">
        <v>20</v>
      </c>
    </row>
    <row r="3186" spans="13:15" x14ac:dyDescent="0.25">
      <c r="M3186" s="5">
        <v>40564</v>
      </c>
      <c r="N3186">
        <f t="shared" si="116"/>
        <v>8</v>
      </c>
      <c r="O3186">
        <v>20</v>
      </c>
    </row>
    <row r="3187" spans="13:15" x14ac:dyDescent="0.25">
      <c r="M3187" s="5">
        <v>40563</v>
      </c>
      <c r="N3187">
        <f t="shared" si="116"/>
        <v>8</v>
      </c>
      <c r="O3187">
        <v>20</v>
      </c>
    </row>
    <row r="3188" spans="13:15" x14ac:dyDescent="0.25">
      <c r="M3188" s="5">
        <v>40562</v>
      </c>
      <c r="N3188">
        <f t="shared" si="116"/>
        <v>8</v>
      </c>
      <c r="O3188">
        <v>20</v>
      </c>
    </row>
    <row r="3189" spans="13:15" x14ac:dyDescent="0.25">
      <c r="M3189" s="5">
        <v>40561</v>
      </c>
      <c r="N3189">
        <f t="shared" si="116"/>
        <v>8</v>
      </c>
      <c r="O3189">
        <v>20</v>
      </c>
    </row>
    <row r="3190" spans="13:15" x14ac:dyDescent="0.25">
      <c r="M3190" s="5">
        <v>40560</v>
      </c>
      <c r="N3190">
        <f t="shared" si="116"/>
        <v>8</v>
      </c>
      <c r="O3190">
        <v>20</v>
      </c>
    </row>
    <row r="3191" spans="13:15" x14ac:dyDescent="0.25">
      <c r="M3191" s="5">
        <v>40559</v>
      </c>
      <c r="N3191">
        <f t="shared" si="116"/>
        <v>7</v>
      </c>
      <c r="O3191">
        <v>20</v>
      </c>
    </row>
    <row r="3192" spans="13:15" x14ac:dyDescent="0.25">
      <c r="M3192" s="5">
        <v>40558</v>
      </c>
      <c r="N3192">
        <f t="shared" si="116"/>
        <v>7</v>
      </c>
      <c r="O3192">
        <v>20</v>
      </c>
    </row>
    <row r="3193" spans="13:15" x14ac:dyDescent="0.25">
      <c r="M3193" s="5">
        <v>40557</v>
      </c>
      <c r="N3193">
        <f t="shared" si="116"/>
        <v>7</v>
      </c>
      <c r="O3193">
        <v>20</v>
      </c>
    </row>
    <row r="3194" spans="13:15" x14ac:dyDescent="0.25">
      <c r="M3194" s="5">
        <v>40556</v>
      </c>
      <c r="N3194">
        <f t="shared" si="116"/>
        <v>7</v>
      </c>
      <c r="O3194">
        <v>20</v>
      </c>
    </row>
    <row r="3195" spans="13:15" x14ac:dyDescent="0.25">
      <c r="M3195" s="5">
        <v>40555</v>
      </c>
      <c r="N3195">
        <f t="shared" si="116"/>
        <v>7</v>
      </c>
      <c r="O3195">
        <v>20</v>
      </c>
    </row>
    <row r="3196" spans="13:15" x14ac:dyDescent="0.25">
      <c r="M3196" s="5">
        <v>40554</v>
      </c>
      <c r="N3196">
        <f t="shared" si="116"/>
        <v>7</v>
      </c>
      <c r="O3196">
        <v>20</v>
      </c>
    </row>
    <row r="3197" spans="13:15" x14ac:dyDescent="0.25">
      <c r="M3197" s="5">
        <v>40553</v>
      </c>
      <c r="N3197">
        <f t="shared" si="116"/>
        <v>7</v>
      </c>
      <c r="O3197">
        <v>20</v>
      </c>
    </row>
    <row r="3198" spans="13:15" x14ac:dyDescent="0.25">
      <c r="M3198" s="5">
        <v>40552</v>
      </c>
      <c r="N3198">
        <f t="shared" si="116"/>
        <v>6</v>
      </c>
      <c r="O3198">
        <v>20</v>
      </c>
    </row>
    <row r="3199" spans="13:15" x14ac:dyDescent="0.25">
      <c r="M3199" s="5">
        <v>40551</v>
      </c>
      <c r="N3199">
        <f t="shared" ref="N3199:N3230" si="117">N3192-1</f>
        <v>6</v>
      </c>
      <c r="O3199">
        <v>20</v>
      </c>
    </row>
    <row r="3200" spans="13:15" x14ac:dyDescent="0.25">
      <c r="M3200" s="5">
        <v>40550</v>
      </c>
      <c r="N3200">
        <f t="shared" si="117"/>
        <v>6</v>
      </c>
      <c r="O3200">
        <v>20</v>
      </c>
    </row>
    <row r="3201" spans="13:15" x14ac:dyDescent="0.25">
      <c r="M3201" s="5">
        <v>40549</v>
      </c>
      <c r="N3201">
        <f t="shared" si="117"/>
        <v>6</v>
      </c>
      <c r="O3201">
        <v>20</v>
      </c>
    </row>
    <row r="3202" spans="13:15" x14ac:dyDescent="0.25">
      <c r="M3202" s="5">
        <v>40548</v>
      </c>
      <c r="N3202">
        <f t="shared" si="117"/>
        <v>6</v>
      </c>
      <c r="O3202">
        <v>20</v>
      </c>
    </row>
    <row r="3203" spans="13:15" x14ac:dyDescent="0.25">
      <c r="M3203" s="5">
        <v>40547</v>
      </c>
      <c r="N3203">
        <f t="shared" si="117"/>
        <v>6</v>
      </c>
      <c r="O3203">
        <v>20</v>
      </c>
    </row>
    <row r="3204" spans="13:15" x14ac:dyDescent="0.25">
      <c r="M3204" s="5">
        <v>40546</v>
      </c>
      <c r="N3204">
        <f t="shared" si="117"/>
        <v>6</v>
      </c>
      <c r="O3204">
        <v>20</v>
      </c>
    </row>
    <row r="3205" spans="13:15" x14ac:dyDescent="0.25">
      <c r="M3205" s="5">
        <v>40545</v>
      </c>
      <c r="N3205">
        <f t="shared" si="117"/>
        <v>5</v>
      </c>
      <c r="O3205">
        <v>20</v>
      </c>
    </row>
    <row r="3206" spans="13:15" x14ac:dyDescent="0.25">
      <c r="M3206" s="5">
        <v>40544</v>
      </c>
      <c r="N3206">
        <f t="shared" si="117"/>
        <v>5</v>
      </c>
      <c r="O3206">
        <v>20</v>
      </c>
    </row>
    <row r="3207" spans="13:15" x14ac:dyDescent="0.25">
      <c r="M3207" s="5">
        <v>40543</v>
      </c>
      <c r="N3207">
        <f t="shared" si="117"/>
        <v>5</v>
      </c>
      <c r="O3207">
        <v>20</v>
      </c>
    </row>
    <row r="3208" spans="13:15" x14ac:dyDescent="0.25">
      <c r="M3208" s="5">
        <v>40542</v>
      </c>
      <c r="N3208">
        <f t="shared" si="117"/>
        <v>5</v>
      </c>
      <c r="O3208">
        <v>20</v>
      </c>
    </row>
    <row r="3209" spans="13:15" x14ac:dyDescent="0.25">
      <c r="M3209" s="5">
        <v>40541</v>
      </c>
      <c r="N3209">
        <f t="shared" si="117"/>
        <v>5</v>
      </c>
      <c r="O3209">
        <v>20</v>
      </c>
    </row>
    <row r="3210" spans="13:15" x14ac:dyDescent="0.25">
      <c r="M3210" s="5">
        <v>40540</v>
      </c>
      <c r="N3210">
        <f t="shared" si="117"/>
        <v>5</v>
      </c>
      <c r="O3210">
        <v>20</v>
      </c>
    </row>
    <row r="3211" spans="13:15" x14ac:dyDescent="0.25">
      <c r="M3211" s="5">
        <v>40539</v>
      </c>
      <c r="N3211">
        <f t="shared" si="117"/>
        <v>5</v>
      </c>
      <c r="O3211">
        <v>20</v>
      </c>
    </row>
    <row r="3212" spans="13:15" x14ac:dyDescent="0.25">
      <c r="M3212" s="5">
        <v>40538</v>
      </c>
      <c r="N3212">
        <f t="shared" si="117"/>
        <v>4</v>
      </c>
      <c r="O3212">
        <v>20</v>
      </c>
    </row>
    <row r="3213" spans="13:15" x14ac:dyDescent="0.25">
      <c r="M3213" s="5">
        <v>40537</v>
      </c>
      <c r="N3213">
        <f t="shared" si="117"/>
        <v>4</v>
      </c>
      <c r="O3213">
        <v>20</v>
      </c>
    </row>
    <row r="3214" spans="13:15" x14ac:dyDescent="0.25">
      <c r="M3214" s="5">
        <v>40536</v>
      </c>
      <c r="N3214">
        <f t="shared" si="117"/>
        <v>4</v>
      </c>
      <c r="O3214">
        <v>20</v>
      </c>
    </row>
    <row r="3215" spans="13:15" x14ac:dyDescent="0.25">
      <c r="M3215" s="5">
        <v>40535</v>
      </c>
      <c r="N3215">
        <f t="shared" si="117"/>
        <v>4</v>
      </c>
      <c r="O3215">
        <v>20</v>
      </c>
    </row>
    <row r="3216" spans="13:15" x14ac:dyDescent="0.25">
      <c r="M3216" s="5">
        <v>40534</v>
      </c>
      <c r="N3216">
        <f t="shared" si="117"/>
        <v>4</v>
      </c>
      <c r="O3216">
        <v>20</v>
      </c>
    </row>
    <row r="3217" spans="13:15" x14ac:dyDescent="0.25">
      <c r="M3217" s="5">
        <v>40533</v>
      </c>
      <c r="N3217">
        <f t="shared" si="117"/>
        <v>4</v>
      </c>
      <c r="O3217">
        <v>20</v>
      </c>
    </row>
    <row r="3218" spans="13:15" x14ac:dyDescent="0.25">
      <c r="M3218" s="5">
        <v>40532</v>
      </c>
      <c r="N3218">
        <f t="shared" si="117"/>
        <v>4</v>
      </c>
      <c r="O3218">
        <v>20</v>
      </c>
    </row>
    <row r="3219" spans="13:15" x14ac:dyDescent="0.25">
      <c r="M3219" s="5">
        <v>40531</v>
      </c>
      <c r="N3219">
        <f t="shared" si="117"/>
        <v>3</v>
      </c>
      <c r="O3219">
        <v>20</v>
      </c>
    </row>
    <row r="3220" spans="13:15" x14ac:dyDescent="0.25">
      <c r="M3220" s="5">
        <v>40530</v>
      </c>
      <c r="N3220">
        <f t="shared" si="117"/>
        <v>3</v>
      </c>
      <c r="O3220">
        <v>20</v>
      </c>
    </row>
    <row r="3221" spans="13:15" x14ac:dyDescent="0.25">
      <c r="M3221" s="5">
        <v>40529</v>
      </c>
      <c r="N3221">
        <f t="shared" si="117"/>
        <v>3</v>
      </c>
      <c r="O3221">
        <v>20</v>
      </c>
    </row>
    <row r="3222" spans="13:15" x14ac:dyDescent="0.25">
      <c r="M3222" s="5">
        <v>40528</v>
      </c>
      <c r="N3222">
        <f t="shared" si="117"/>
        <v>3</v>
      </c>
      <c r="O3222">
        <v>20</v>
      </c>
    </row>
    <row r="3223" spans="13:15" x14ac:dyDescent="0.25">
      <c r="M3223" s="5">
        <v>40527</v>
      </c>
      <c r="N3223">
        <f t="shared" si="117"/>
        <v>3</v>
      </c>
      <c r="O3223">
        <v>20</v>
      </c>
    </row>
    <row r="3224" spans="13:15" x14ac:dyDescent="0.25">
      <c r="M3224" s="5">
        <v>40526</v>
      </c>
      <c r="N3224">
        <f t="shared" si="117"/>
        <v>3</v>
      </c>
      <c r="O3224">
        <v>20</v>
      </c>
    </row>
    <row r="3225" spans="13:15" x14ac:dyDescent="0.25">
      <c r="M3225" s="5">
        <v>40525</v>
      </c>
      <c r="N3225">
        <f t="shared" si="117"/>
        <v>3</v>
      </c>
      <c r="O3225">
        <v>20</v>
      </c>
    </row>
    <row r="3226" spans="13:15" x14ac:dyDescent="0.25">
      <c r="M3226" s="5">
        <v>40524</v>
      </c>
      <c r="N3226">
        <f t="shared" si="117"/>
        <v>2</v>
      </c>
      <c r="O3226">
        <v>20</v>
      </c>
    </row>
    <row r="3227" spans="13:15" x14ac:dyDescent="0.25">
      <c r="M3227" s="5">
        <v>40523</v>
      </c>
      <c r="N3227">
        <f t="shared" si="117"/>
        <v>2</v>
      </c>
      <c r="O3227">
        <v>20</v>
      </c>
    </row>
    <row r="3228" spans="13:15" x14ac:dyDescent="0.25">
      <c r="M3228" s="5">
        <v>40522</v>
      </c>
      <c r="N3228">
        <f t="shared" si="117"/>
        <v>2</v>
      </c>
      <c r="O3228">
        <v>20</v>
      </c>
    </row>
    <row r="3229" spans="13:15" x14ac:dyDescent="0.25">
      <c r="M3229" s="5">
        <v>40521</v>
      </c>
      <c r="N3229">
        <f t="shared" si="117"/>
        <v>2</v>
      </c>
      <c r="O3229">
        <v>20</v>
      </c>
    </row>
    <row r="3230" spans="13:15" x14ac:dyDescent="0.25">
      <c r="M3230" s="5">
        <v>40520</v>
      </c>
      <c r="N3230">
        <f t="shared" si="117"/>
        <v>2</v>
      </c>
      <c r="O3230">
        <v>20</v>
      </c>
    </row>
    <row r="3231" spans="13:15" x14ac:dyDescent="0.25">
      <c r="M3231" s="5">
        <v>40519</v>
      </c>
      <c r="N3231">
        <f t="shared" ref="N3231:N3239" si="118">N3224-1</f>
        <v>2</v>
      </c>
      <c r="O3231">
        <v>20</v>
      </c>
    </row>
    <row r="3232" spans="13:15" x14ac:dyDescent="0.25">
      <c r="M3232" s="5">
        <v>40518</v>
      </c>
      <c r="N3232">
        <f t="shared" si="118"/>
        <v>2</v>
      </c>
      <c r="O3232">
        <v>20</v>
      </c>
    </row>
    <row r="3233" spans="13:15" x14ac:dyDescent="0.25">
      <c r="M3233" s="5">
        <v>40517</v>
      </c>
      <c r="N3233">
        <f t="shared" si="118"/>
        <v>1</v>
      </c>
      <c r="O3233">
        <v>20</v>
      </c>
    </row>
    <row r="3234" spans="13:15" x14ac:dyDescent="0.25">
      <c r="M3234" s="5">
        <v>40516</v>
      </c>
      <c r="N3234">
        <f t="shared" si="118"/>
        <v>1</v>
      </c>
      <c r="O3234">
        <v>20</v>
      </c>
    </row>
    <row r="3235" spans="13:15" x14ac:dyDescent="0.25">
      <c r="M3235" s="5">
        <v>40515</v>
      </c>
      <c r="N3235">
        <f t="shared" si="118"/>
        <v>1</v>
      </c>
      <c r="O3235">
        <v>20</v>
      </c>
    </row>
    <row r="3236" spans="13:15" x14ac:dyDescent="0.25">
      <c r="M3236" s="5">
        <v>40514</v>
      </c>
      <c r="N3236">
        <f t="shared" si="118"/>
        <v>1</v>
      </c>
      <c r="O3236">
        <v>20</v>
      </c>
    </row>
    <row r="3237" spans="13:15" x14ac:dyDescent="0.25">
      <c r="M3237" s="5">
        <v>40513</v>
      </c>
      <c r="N3237">
        <f t="shared" si="118"/>
        <v>1</v>
      </c>
      <c r="O3237">
        <v>20</v>
      </c>
    </row>
    <row r="3238" spans="13:15" x14ac:dyDescent="0.25">
      <c r="M3238" s="5">
        <v>40512</v>
      </c>
      <c r="N3238">
        <f t="shared" si="118"/>
        <v>1</v>
      </c>
      <c r="O3238">
        <v>20</v>
      </c>
    </row>
    <row r="3239" spans="13:15" x14ac:dyDescent="0.25">
      <c r="M3239" s="5">
        <v>40511</v>
      </c>
      <c r="N3239">
        <f t="shared" si="118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9">N3240-1</f>
        <v>15</v>
      </c>
      <c r="O3247">
        <v>19</v>
      </c>
    </row>
    <row r="3248" spans="13:15" x14ac:dyDescent="0.25">
      <c r="M3248" s="5">
        <v>40502</v>
      </c>
      <c r="N3248">
        <f t="shared" si="119"/>
        <v>15</v>
      </c>
      <c r="O3248">
        <v>19</v>
      </c>
    </row>
    <row r="3249" spans="13:15" x14ac:dyDescent="0.25">
      <c r="M3249" s="5">
        <v>40501</v>
      </c>
      <c r="N3249">
        <f t="shared" si="119"/>
        <v>15</v>
      </c>
      <c r="O3249">
        <v>19</v>
      </c>
    </row>
    <row r="3250" spans="13:15" x14ac:dyDescent="0.25">
      <c r="M3250" s="5">
        <v>40500</v>
      </c>
      <c r="N3250">
        <f t="shared" si="119"/>
        <v>15</v>
      </c>
      <c r="O3250">
        <v>19</v>
      </c>
    </row>
    <row r="3251" spans="13:15" x14ac:dyDescent="0.25">
      <c r="M3251" s="5">
        <v>40499</v>
      </c>
      <c r="N3251">
        <f t="shared" si="119"/>
        <v>15</v>
      </c>
      <c r="O3251">
        <v>19</v>
      </c>
    </row>
    <row r="3252" spans="13:15" x14ac:dyDescent="0.25">
      <c r="M3252" s="5">
        <v>40498</v>
      </c>
      <c r="N3252">
        <f t="shared" si="119"/>
        <v>15</v>
      </c>
      <c r="O3252">
        <v>19</v>
      </c>
    </row>
    <row r="3253" spans="13:15" x14ac:dyDescent="0.25">
      <c r="M3253" s="5">
        <v>40497</v>
      </c>
      <c r="N3253">
        <f t="shared" si="119"/>
        <v>15</v>
      </c>
      <c r="O3253">
        <v>19</v>
      </c>
    </row>
    <row r="3254" spans="13:15" x14ac:dyDescent="0.25">
      <c r="M3254" s="5">
        <v>40496</v>
      </c>
      <c r="N3254">
        <f t="shared" si="119"/>
        <v>14</v>
      </c>
      <c r="O3254">
        <v>19</v>
      </c>
    </row>
    <row r="3255" spans="13:15" x14ac:dyDescent="0.25">
      <c r="M3255" s="5">
        <v>40495</v>
      </c>
      <c r="N3255">
        <f t="shared" si="119"/>
        <v>14</v>
      </c>
      <c r="O3255">
        <v>19</v>
      </c>
    </row>
    <row r="3256" spans="13:15" x14ac:dyDescent="0.25">
      <c r="M3256" s="5">
        <v>40494</v>
      </c>
      <c r="N3256">
        <f t="shared" si="119"/>
        <v>14</v>
      </c>
      <c r="O3256">
        <v>19</v>
      </c>
    </row>
    <row r="3257" spans="13:15" x14ac:dyDescent="0.25">
      <c r="M3257" s="5">
        <v>40493</v>
      </c>
      <c r="N3257">
        <f t="shared" si="119"/>
        <v>14</v>
      </c>
      <c r="O3257">
        <v>19</v>
      </c>
    </row>
    <row r="3258" spans="13:15" x14ac:dyDescent="0.25">
      <c r="M3258" s="5">
        <v>40492</v>
      </c>
      <c r="N3258">
        <f t="shared" si="119"/>
        <v>14</v>
      </c>
      <c r="O3258">
        <v>19</v>
      </c>
    </row>
    <row r="3259" spans="13:15" x14ac:dyDescent="0.25">
      <c r="M3259" s="5">
        <v>40491</v>
      </c>
      <c r="N3259">
        <f t="shared" si="119"/>
        <v>14</v>
      </c>
      <c r="O3259">
        <v>19</v>
      </c>
    </row>
    <row r="3260" spans="13:15" x14ac:dyDescent="0.25">
      <c r="M3260" s="5">
        <v>40490</v>
      </c>
      <c r="N3260">
        <f t="shared" si="119"/>
        <v>14</v>
      </c>
      <c r="O3260">
        <v>19</v>
      </c>
    </row>
    <row r="3261" spans="13:15" x14ac:dyDescent="0.25">
      <c r="M3261" s="5">
        <v>40489</v>
      </c>
      <c r="N3261">
        <f t="shared" si="119"/>
        <v>13</v>
      </c>
      <c r="O3261">
        <v>19</v>
      </c>
    </row>
    <row r="3262" spans="13:15" x14ac:dyDescent="0.25">
      <c r="M3262" s="5">
        <v>40488</v>
      </c>
      <c r="N3262">
        <f t="shared" si="119"/>
        <v>13</v>
      </c>
      <c r="O3262">
        <v>19</v>
      </c>
    </row>
    <row r="3263" spans="13:15" x14ac:dyDescent="0.25">
      <c r="M3263" s="5">
        <v>40487</v>
      </c>
      <c r="N3263">
        <f t="shared" si="119"/>
        <v>13</v>
      </c>
      <c r="O3263">
        <v>19</v>
      </c>
    </row>
    <row r="3264" spans="13:15" x14ac:dyDescent="0.25">
      <c r="M3264" s="5">
        <v>40486</v>
      </c>
      <c r="N3264">
        <f t="shared" si="119"/>
        <v>13</v>
      </c>
      <c r="O3264">
        <v>19</v>
      </c>
    </row>
    <row r="3265" spans="13:15" x14ac:dyDescent="0.25">
      <c r="M3265" s="5">
        <v>40485</v>
      </c>
      <c r="N3265">
        <f t="shared" si="119"/>
        <v>13</v>
      </c>
      <c r="O3265">
        <v>19</v>
      </c>
    </row>
    <row r="3266" spans="13:15" x14ac:dyDescent="0.25">
      <c r="M3266" s="5">
        <v>40484</v>
      </c>
      <c r="N3266">
        <f t="shared" si="119"/>
        <v>13</v>
      </c>
      <c r="O3266">
        <v>19</v>
      </c>
    </row>
    <row r="3267" spans="13:15" x14ac:dyDescent="0.25">
      <c r="M3267" s="5">
        <v>40483</v>
      </c>
      <c r="N3267">
        <f t="shared" si="119"/>
        <v>13</v>
      </c>
      <c r="O3267">
        <v>19</v>
      </c>
    </row>
    <row r="3268" spans="13:15" x14ac:dyDescent="0.25">
      <c r="M3268" s="5">
        <v>40482</v>
      </c>
      <c r="N3268">
        <f t="shared" si="119"/>
        <v>12</v>
      </c>
      <c r="O3268">
        <v>19</v>
      </c>
    </row>
    <row r="3269" spans="13:15" x14ac:dyDescent="0.25">
      <c r="M3269" s="5">
        <v>40481</v>
      </c>
      <c r="N3269">
        <f t="shared" si="119"/>
        <v>12</v>
      </c>
      <c r="O3269">
        <v>19</v>
      </c>
    </row>
    <row r="3270" spans="13:15" x14ac:dyDescent="0.25">
      <c r="M3270" s="5">
        <v>40480</v>
      </c>
      <c r="N3270">
        <f t="shared" si="119"/>
        <v>12</v>
      </c>
      <c r="O3270">
        <v>19</v>
      </c>
    </row>
    <row r="3271" spans="13:15" x14ac:dyDescent="0.25">
      <c r="M3271" s="5">
        <v>40479</v>
      </c>
      <c r="N3271">
        <f t="shared" si="119"/>
        <v>12</v>
      </c>
      <c r="O3271">
        <v>19</v>
      </c>
    </row>
    <row r="3272" spans="13:15" x14ac:dyDescent="0.25">
      <c r="M3272" s="5">
        <v>40478</v>
      </c>
      <c r="N3272">
        <f t="shared" si="119"/>
        <v>12</v>
      </c>
      <c r="O3272">
        <v>19</v>
      </c>
    </row>
    <row r="3273" spans="13:15" x14ac:dyDescent="0.25">
      <c r="M3273" s="5">
        <v>40477</v>
      </c>
      <c r="N3273">
        <f t="shared" si="119"/>
        <v>12</v>
      </c>
      <c r="O3273">
        <v>19</v>
      </c>
    </row>
    <row r="3274" spans="13:15" x14ac:dyDescent="0.25">
      <c r="M3274" s="5">
        <v>40476</v>
      </c>
      <c r="N3274">
        <f t="shared" si="119"/>
        <v>12</v>
      </c>
      <c r="O3274">
        <v>19</v>
      </c>
    </row>
    <row r="3275" spans="13:15" x14ac:dyDescent="0.25">
      <c r="M3275" s="5">
        <v>40475</v>
      </c>
      <c r="N3275">
        <f t="shared" si="119"/>
        <v>11</v>
      </c>
      <c r="O3275">
        <v>19</v>
      </c>
    </row>
    <row r="3276" spans="13:15" x14ac:dyDescent="0.25">
      <c r="M3276" s="5">
        <v>40474</v>
      </c>
      <c r="N3276">
        <f t="shared" si="119"/>
        <v>11</v>
      </c>
      <c r="O3276">
        <v>19</v>
      </c>
    </row>
    <row r="3277" spans="13:15" x14ac:dyDescent="0.25">
      <c r="M3277" s="5">
        <v>40473</v>
      </c>
      <c r="N3277">
        <f t="shared" si="119"/>
        <v>11</v>
      </c>
      <c r="O3277">
        <v>19</v>
      </c>
    </row>
    <row r="3278" spans="13:15" x14ac:dyDescent="0.25">
      <c r="M3278" s="5">
        <v>40472</v>
      </c>
      <c r="N3278">
        <f t="shared" si="119"/>
        <v>11</v>
      </c>
      <c r="O3278">
        <v>19</v>
      </c>
    </row>
    <row r="3279" spans="13:15" x14ac:dyDescent="0.25">
      <c r="M3279" s="5">
        <v>40471</v>
      </c>
      <c r="N3279">
        <f t="shared" ref="N3279:N3310" si="120">N3272-1</f>
        <v>11</v>
      </c>
      <c r="O3279">
        <v>19</v>
      </c>
    </row>
    <row r="3280" spans="13:15" x14ac:dyDescent="0.25">
      <c r="M3280" s="5">
        <v>40470</v>
      </c>
      <c r="N3280">
        <f t="shared" si="120"/>
        <v>11</v>
      </c>
      <c r="O3280">
        <v>19</v>
      </c>
    </row>
    <row r="3281" spans="13:15" x14ac:dyDescent="0.25">
      <c r="M3281" s="5">
        <v>40469</v>
      </c>
      <c r="N3281">
        <f t="shared" si="120"/>
        <v>11</v>
      </c>
      <c r="O3281">
        <v>19</v>
      </c>
    </row>
    <row r="3282" spans="13:15" x14ac:dyDescent="0.25">
      <c r="M3282" s="5">
        <v>40468</v>
      </c>
      <c r="N3282">
        <f t="shared" si="120"/>
        <v>10</v>
      </c>
      <c r="O3282">
        <v>19</v>
      </c>
    </row>
    <row r="3283" spans="13:15" x14ac:dyDescent="0.25">
      <c r="M3283" s="5">
        <v>40467</v>
      </c>
      <c r="N3283">
        <f t="shared" si="120"/>
        <v>10</v>
      </c>
      <c r="O3283">
        <v>19</v>
      </c>
    </row>
    <row r="3284" spans="13:15" x14ac:dyDescent="0.25">
      <c r="M3284" s="5">
        <v>40466</v>
      </c>
      <c r="N3284">
        <f t="shared" si="120"/>
        <v>10</v>
      </c>
      <c r="O3284">
        <v>19</v>
      </c>
    </row>
    <row r="3285" spans="13:15" x14ac:dyDescent="0.25">
      <c r="M3285" s="5">
        <v>40465</v>
      </c>
      <c r="N3285">
        <f t="shared" si="120"/>
        <v>10</v>
      </c>
      <c r="O3285">
        <v>19</v>
      </c>
    </row>
    <row r="3286" spans="13:15" x14ac:dyDescent="0.25">
      <c r="M3286" s="5">
        <v>40464</v>
      </c>
      <c r="N3286">
        <f t="shared" si="120"/>
        <v>10</v>
      </c>
      <c r="O3286">
        <v>19</v>
      </c>
    </row>
    <row r="3287" spans="13:15" x14ac:dyDescent="0.25">
      <c r="M3287" s="5">
        <v>40463</v>
      </c>
      <c r="N3287">
        <f t="shared" si="120"/>
        <v>10</v>
      </c>
      <c r="O3287">
        <v>19</v>
      </c>
    </row>
    <row r="3288" spans="13:15" x14ac:dyDescent="0.25">
      <c r="M3288" s="5">
        <v>40462</v>
      </c>
      <c r="N3288">
        <f t="shared" si="120"/>
        <v>10</v>
      </c>
      <c r="O3288">
        <v>19</v>
      </c>
    </row>
    <row r="3289" spans="13:15" x14ac:dyDescent="0.25">
      <c r="M3289" s="5">
        <v>40461</v>
      </c>
      <c r="N3289">
        <f t="shared" si="120"/>
        <v>9</v>
      </c>
      <c r="O3289">
        <v>19</v>
      </c>
    </row>
    <row r="3290" spans="13:15" x14ac:dyDescent="0.25">
      <c r="M3290" s="5">
        <v>40460</v>
      </c>
      <c r="N3290">
        <f t="shared" si="120"/>
        <v>9</v>
      </c>
      <c r="O3290">
        <v>19</v>
      </c>
    </row>
    <row r="3291" spans="13:15" x14ac:dyDescent="0.25">
      <c r="M3291" s="5">
        <v>40459</v>
      </c>
      <c r="N3291">
        <f t="shared" si="120"/>
        <v>9</v>
      </c>
      <c r="O3291">
        <v>19</v>
      </c>
    </row>
    <row r="3292" spans="13:15" x14ac:dyDescent="0.25">
      <c r="M3292" s="5">
        <v>40458</v>
      </c>
      <c r="N3292">
        <f t="shared" si="120"/>
        <v>9</v>
      </c>
      <c r="O3292">
        <v>19</v>
      </c>
    </row>
    <row r="3293" spans="13:15" x14ac:dyDescent="0.25">
      <c r="M3293" s="5">
        <v>40457</v>
      </c>
      <c r="N3293">
        <f t="shared" si="120"/>
        <v>9</v>
      </c>
      <c r="O3293">
        <v>19</v>
      </c>
    </row>
    <row r="3294" spans="13:15" x14ac:dyDescent="0.25">
      <c r="M3294" s="5">
        <v>40456</v>
      </c>
      <c r="N3294">
        <f t="shared" si="120"/>
        <v>9</v>
      </c>
      <c r="O3294">
        <v>19</v>
      </c>
    </row>
    <row r="3295" spans="13:15" x14ac:dyDescent="0.25">
      <c r="M3295" s="5">
        <v>40455</v>
      </c>
      <c r="N3295">
        <f t="shared" si="120"/>
        <v>9</v>
      </c>
      <c r="O3295">
        <v>19</v>
      </c>
    </row>
    <row r="3296" spans="13:15" x14ac:dyDescent="0.25">
      <c r="M3296" s="5">
        <v>40454</v>
      </c>
      <c r="N3296">
        <f t="shared" si="120"/>
        <v>8</v>
      </c>
      <c r="O3296">
        <v>19</v>
      </c>
    </row>
    <row r="3297" spans="13:15" x14ac:dyDescent="0.25">
      <c r="M3297" s="5">
        <v>40453</v>
      </c>
      <c r="N3297">
        <f t="shared" si="120"/>
        <v>8</v>
      </c>
      <c r="O3297">
        <v>19</v>
      </c>
    </row>
    <row r="3298" spans="13:15" x14ac:dyDescent="0.25">
      <c r="M3298" s="5">
        <v>40452</v>
      </c>
      <c r="N3298">
        <f t="shared" si="120"/>
        <v>8</v>
      </c>
      <c r="O3298">
        <v>19</v>
      </c>
    </row>
    <row r="3299" spans="13:15" x14ac:dyDescent="0.25">
      <c r="M3299" s="5">
        <v>40451</v>
      </c>
      <c r="N3299">
        <f t="shared" si="120"/>
        <v>8</v>
      </c>
      <c r="O3299">
        <v>19</v>
      </c>
    </row>
    <row r="3300" spans="13:15" x14ac:dyDescent="0.25">
      <c r="M3300" s="5">
        <v>40450</v>
      </c>
      <c r="N3300">
        <f t="shared" si="120"/>
        <v>8</v>
      </c>
      <c r="O3300">
        <v>19</v>
      </c>
    </row>
    <row r="3301" spans="13:15" x14ac:dyDescent="0.25">
      <c r="M3301" s="5">
        <v>40449</v>
      </c>
      <c r="N3301">
        <f t="shared" si="120"/>
        <v>8</v>
      </c>
      <c r="O3301">
        <v>19</v>
      </c>
    </row>
    <row r="3302" spans="13:15" x14ac:dyDescent="0.25">
      <c r="M3302" s="5">
        <v>40448</v>
      </c>
      <c r="N3302">
        <f t="shared" si="120"/>
        <v>8</v>
      </c>
      <c r="O3302">
        <v>19</v>
      </c>
    </row>
    <row r="3303" spans="13:15" x14ac:dyDescent="0.25">
      <c r="M3303" s="5">
        <v>40447</v>
      </c>
      <c r="N3303">
        <f t="shared" si="120"/>
        <v>7</v>
      </c>
      <c r="O3303">
        <v>19</v>
      </c>
    </row>
    <row r="3304" spans="13:15" x14ac:dyDescent="0.25">
      <c r="M3304" s="5">
        <v>40446</v>
      </c>
      <c r="N3304">
        <f t="shared" si="120"/>
        <v>7</v>
      </c>
      <c r="O3304">
        <v>19</v>
      </c>
    </row>
    <row r="3305" spans="13:15" x14ac:dyDescent="0.25">
      <c r="M3305" s="5">
        <v>40445</v>
      </c>
      <c r="N3305">
        <f t="shared" si="120"/>
        <v>7</v>
      </c>
      <c r="O3305">
        <v>19</v>
      </c>
    </row>
    <row r="3306" spans="13:15" x14ac:dyDescent="0.25">
      <c r="M3306" s="5">
        <v>40444</v>
      </c>
      <c r="N3306">
        <f t="shared" si="120"/>
        <v>7</v>
      </c>
      <c r="O3306">
        <v>19</v>
      </c>
    </row>
    <row r="3307" spans="13:15" x14ac:dyDescent="0.25">
      <c r="M3307" s="5">
        <v>40443</v>
      </c>
      <c r="N3307">
        <f t="shared" si="120"/>
        <v>7</v>
      </c>
      <c r="O3307">
        <v>19</v>
      </c>
    </row>
    <row r="3308" spans="13:15" x14ac:dyDescent="0.25">
      <c r="M3308" s="5">
        <v>40442</v>
      </c>
      <c r="N3308">
        <f t="shared" si="120"/>
        <v>7</v>
      </c>
      <c r="O3308">
        <v>19</v>
      </c>
    </row>
    <row r="3309" spans="13:15" x14ac:dyDescent="0.25">
      <c r="M3309" s="5">
        <v>40441</v>
      </c>
      <c r="N3309">
        <f t="shared" si="120"/>
        <v>7</v>
      </c>
      <c r="O3309">
        <v>19</v>
      </c>
    </row>
    <row r="3310" spans="13:15" x14ac:dyDescent="0.25">
      <c r="M3310" s="5">
        <v>40440</v>
      </c>
      <c r="N3310">
        <f t="shared" si="120"/>
        <v>6</v>
      </c>
      <c r="O3310">
        <v>19</v>
      </c>
    </row>
    <row r="3311" spans="13:15" x14ac:dyDescent="0.25">
      <c r="M3311" s="5">
        <v>40439</v>
      </c>
      <c r="N3311">
        <f t="shared" ref="N3311:N3342" si="121">N3304-1</f>
        <v>6</v>
      </c>
      <c r="O3311">
        <v>19</v>
      </c>
    </row>
    <row r="3312" spans="13:15" x14ac:dyDescent="0.25">
      <c r="M3312" s="5">
        <v>40438</v>
      </c>
      <c r="N3312">
        <f t="shared" si="121"/>
        <v>6</v>
      </c>
      <c r="O3312">
        <v>19</v>
      </c>
    </row>
    <row r="3313" spans="13:15" x14ac:dyDescent="0.25">
      <c r="M3313" s="5">
        <v>40437</v>
      </c>
      <c r="N3313">
        <f t="shared" si="121"/>
        <v>6</v>
      </c>
      <c r="O3313">
        <v>19</v>
      </c>
    </row>
    <row r="3314" spans="13:15" x14ac:dyDescent="0.25">
      <c r="M3314" s="5">
        <v>40436</v>
      </c>
      <c r="N3314">
        <f t="shared" si="121"/>
        <v>6</v>
      </c>
      <c r="O3314">
        <v>19</v>
      </c>
    </row>
    <row r="3315" spans="13:15" x14ac:dyDescent="0.25">
      <c r="M3315" s="5">
        <v>40435</v>
      </c>
      <c r="N3315">
        <f t="shared" si="121"/>
        <v>6</v>
      </c>
      <c r="O3315">
        <v>19</v>
      </c>
    </row>
    <row r="3316" spans="13:15" x14ac:dyDescent="0.25">
      <c r="M3316" s="5">
        <v>40434</v>
      </c>
      <c r="N3316">
        <f t="shared" si="121"/>
        <v>6</v>
      </c>
      <c r="O3316">
        <v>19</v>
      </c>
    </row>
    <row r="3317" spans="13:15" x14ac:dyDescent="0.25">
      <c r="M3317" s="5">
        <v>40433</v>
      </c>
      <c r="N3317">
        <f t="shared" si="121"/>
        <v>5</v>
      </c>
      <c r="O3317">
        <v>19</v>
      </c>
    </row>
    <row r="3318" spans="13:15" x14ac:dyDescent="0.25">
      <c r="M3318" s="5">
        <v>40432</v>
      </c>
      <c r="N3318">
        <f t="shared" si="121"/>
        <v>5</v>
      </c>
      <c r="O3318">
        <v>19</v>
      </c>
    </row>
    <row r="3319" spans="13:15" x14ac:dyDescent="0.25">
      <c r="M3319" s="5">
        <v>40431</v>
      </c>
      <c r="N3319">
        <f t="shared" si="121"/>
        <v>5</v>
      </c>
      <c r="O3319">
        <v>19</v>
      </c>
    </row>
    <row r="3320" spans="13:15" x14ac:dyDescent="0.25">
      <c r="M3320" s="5">
        <v>40430</v>
      </c>
      <c r="N3320">
        <f t="shared" si="121"/>
        <v>5</v>
      </c>
      <c r="O3320">
        <v>19</v>
      </c>
    </row>
    <row r="3321" spans="13:15" x14ac:dyDescent="0.25">
      <c r="M3321" s="5">
        <v>40429</v>
      </c>
      <c r="N3321">
        <f t="shared" si="121"/>
        <v>5</v>
      </c>
      <c r="O3321">
        <v>19</v>
      </c>
    </row>
    <row r="3322" spans="13:15" x14ac:dyDescent="0.25">
      <c r="M3322" s="5">
        <v>40428</v>
      </c>
      <c r="N3322">
        <f t="shared" si="121"/>
        <v>5</v>
      </c>
      <c r="O3322">
        <v>19</v>
      </c>
    </row>
    <row r="3323" spans="13:15" x14ac:dyDescent="0.25">
      <c r="M3323" s="5">
        <v>40427</v>
      </c>
      <c r="N3323">
        <f t="shared" si="121"/>
        <v>5</v>
      </c>
      <c r="O3323">
        <v>19</v>
      </c>
    </row>
    <row r="3324" spans="13:15" x14ac:dyDescent="0.25">
      <c r="M3324" s="5">
        <v>40426</v>
      </c>
      <c r="N3324">
        <f t="shared" si="121"/>
        <v>4</v>
      </c>
      <c r="O3324">
        <v>19</v>
      </c>
    </row>
    <row r="3325" spans="13:15" x14ac:dyDescent="0.25">
      <c r="M3325" s="5">
        <v>40425</v>
      </c>
      <c r="N3325">
        <f t="shared" si="121"/>
        <v>4</v>
      </c>
      <c r="O3325">
        <v>19</v>
      </c>
    </row>
    <row r="3326" spans="13:15" x14ac:dyDescent="0.25">
      <c r="M3326" s="5">
        <v>40424</v>
      </c>
      <c r="N3326">
        <f t="shared" si="121"/>
        <v>4</v>
      </c>
      <c r="O3326">
        <v>19</v>
      </c>
    </row>
    <row r="3327" spans="13:15" x14ac:dyDescent="0.25">
      <c r="M3327" s="5">
        <v>40423</v>
      </c>
      <c r="N3327">
        <f t="shared" si="121"/>
        <v>4</v>
      </c>
      <c r="O3327">
        <v>19</v>
      </c>
    </row>
    <row r="3328" spans="13:15" x14ac:dyDescent="0.25">
      <c r="M3328" s="5">
        <v>40422</v>
      </c>
      <c r="N3328">
        <f t="shared" si="121"/>
        <v>4</v>
      </c>
      <c r="O3328">
        <v>19</v>
      </c>
    </row>
    <row r="3329" spans="13:15" x14ac:dyDescent="0.25">
      <c r="M3329" s="5">
        <v>40421</v>
      </c>
      <c r="N3329">
        <f t="shared" si="121"/>
        <v>4</v>
      </c>
      <c r="O3329">
        <v>19</v>
      </c>
    </row>
    <row r="3330" spans="13:15" x14ac:dyDescent="0.25">
      <c r="M3330" s="5">
        <v>40420</v>
      </c>
      <c r="N3330">
        <f t="shared" si="121"/>
        <v>4</v>
      </c>
      <c r="O3330">
        <v>19</v>
      </c>
    </row>
    <row r="3331" spans="13:15" x14ac:dyDescent="0.25">
      <c r="M3331" s="5">
        <v>40419</v>
      </c>
      <c r="N3331">
        <f t="shared" si="121"/>
        <v>3</v>
      </c>
      <c r="O3331">
        <v>19</v>
      </c>
    </row>
    <row r="3332" spans="13:15" x14ac:dyDescent="0.25">
      <c r="M3332" s="5">
        <v>40418</v>
      </c>
      <c r="N3332">
        <f t="shared" si="121"/>
        <v>3</v>
      </c>
      <c r="O3332">
        <v>19</v>
      </c>
    </row>
    <row r="3333" spans="13:15" x14ac:dyDescent="0.25">
      <c r="M3333" s="5">
        <v>40417</v>
      </c>
      <c r="N3333">
        <f t="shared" si="121"/>
        <v>3</v>
      </c>
      <c r="O3333">
        <v>19</v>
      </c>
    </row>
    <row r="3334" spans="13:15" x14ac:dyDescent="0.25">
      <c r="M3334" s="5">
        <v>40416</v>
      </c>
      <c r="N3334">
        <f t="shared" si="121"/>
        <v>3</v>
      </c>
      <c r="O3334">
        <v>19</v>
      </c>
    </row>
    <row r="3335" spans="13:15" x14ac:dyDescent="0.25">
      <c r="M3335" s="5">
        <v>40415</v>
      </c>
      <c r="N3335">
        <f t="shared" si="121"/>
        <v>3</v>
      </c>
      <c r="O3335">
        <v>19</v>
      </c>
    </row>
    <row r="3336" spans="13:15" x14ac:dyDescent="0.25">
      <c r="M3336" s="5">
        <v>40414</v>
      </c>
      <c r="N3336">
        <f t="shared" si="121"/>
        <v>3</v>
      </c>
      <c r="O3336">
        <v>19</v>
      </c>
    </row>
    <row r="3337" spans="13:15" x14ac:dyDescent="0.25">
      <c r="M3337" s="5">
        <v>40413</v>
      </c>
      <c r="N3337">
        <f t="shared" si="121"/>
        <v>3</v>
      </c>
      <c r="O3337">
        <v>19</v>
      </c>
    </row>
    <row r="3338" spans="13:15" x14ac:dyDescent="0.25">
      <c r="M3338" s="5">
        <v>40412</v>
      </c>
      <c r="N3338">
        <f t="shared" si="121"/>
        <v>2</v>
      </c>
      <c r="O3338">
        <v>19</v>
      </c>
    </row>
    <row r="3339" spans="13:15" x14ac:dyDescent="0.25">
      <c r="M3339" s="5">
        <v>40411</v>
      </c>
      <c r="N3339">
        <f t="shared" si="121"/>
        <v>2</v>
      </c>
      <c r="O3339">
        <v>19</v>
      </c>
    </row>
    <row r="3340" spans="13:15" x14ac:dyDescent="0.25">
      <c r="M3340" s="5">
        <v>40410</v>
      </c>
      <c r="N3340">
        <f t="shared" si="121"/>
        <v>2</v>
      </c>
      <c r="O3340">
        <v>19</v>
      </c>
    </row>
    <row r="3341" spans="13:15" x14ac:dyDescent="0.25">
      <c r="M3341" s="5">
        <v>40409</v>
      </c>
      <c r="N3341">
        <f t="shared" si="121"/>
        <v>2</v>
      </c>
      <c r="O3341">
        <v>19</v>
      </c>
    </row>
    <row r="3342" spans="13:15" x14ac:dyDescent="0.25">
      <c r="M3342" s="5">
        <v>40408</v>
      </c>
      <c r="N3342">
        <f t="shared" si="121"/>
        <v>2</v>
      </c>
      <c r="O3342">
        <v>19</v>
      </c>
    </row>
    <row r="3343" spans="13:15" x14ac:dyDescent="0.25">
      <c r="M3343" s="5">
        <v>40407</v>
      </c>
      <c r="N3343">
        <f t="shared" ref="N3343:N3351" si="122">N3336-1</f>
        <v>2</v>
      </c>
      <c r="O3343">
        <v>19</v>
      </c>
    </row>
    <row r="3344" spans="13:15" x14ac:dyDescent="0.25">
      <c r="M3344" s="5">
        <v>40406</v>
      </c>
      <c r="N3344">
        <f t="shared" si="122"/>
        <v>2</v>
      </c>
      <c r="O3344">
        <v>19</v>
      </c>
    </row>
    <row r="3345" spans="13:15" x14ac:dyDescent="0.25">
      <c r="M3345" s="5">
        <v>40405</v>
      </c>
      <c r="N3345">
        <f t="shared" si="122"/>
        <v>1</v>
      </c>
      <c r="O3345">
        <v>19</v>
      </c>
    </row>
    <row r="3346" spans="13:15" x14ac:dyDescent="0.25">
      <c r="M3346" s="5">
        <v>40404</v>
      </c>
      <c r="N3346">
        <f t="shared" si="122"/>
        <v>1</v>
      </c>
      <c r="O3346">
        <v>19</v>
      </c>
    </row>
    <row r="3347" spans="13:15" x14ac:dyDescent="0.25">
      <c r="M3347" s="5">
        <v>40403</v>
      </c>
      <c r="N3347">
        <f t="shared" si="122"/>
        <v>1</v>
      </c>
      <c r="O3347">
        <v>19</v>
      </c>
    </row>
    <row r="3348" spans="13:15" x14ac:dyDescent="0.25">
      <c r="M3348" s="5">
        <v>40402</v>
      </c>
      <c r="N3348">
        <f t="shared" si="122"/>
        <v>1</v>
      </c>
      <c r="O3348">
        <v>19</v>
      </c>
    </row>
    <row r="3349" spans="13:15" x14ac:dyDescent="0.25">
      <c r="M3349" s="5">
        <v>40401</v>
      </c>
      <c r="N3349">
        <f t="shared" si="122"/>
        <v>1</v>
      </c>
      <c r="O3349">
        <v>19</v>
      </c>
    </row>
    <row r="3350" spans="13:15" x14ac:dyDescent="0.25">
      <c r="M3350" s="5">
        <v>40400</v>
      </c>
      <c r="N3350">
        <f t="shared" si="122"/>
        <v>1</v>
      </c>
      <c r="O3350">
        <v>19</v>
      </c>
    </row>
    <row r="3351" spans="13:15" x14ac:dyDescent="0.25">
      <c r="M3351" s="5">
        <v>40399</v>
      </c>
      <c r="N3351">
        <f t="shared" si="122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3">N3352-1</f>
        <v>15</v>
      </c>
      <c r="O3359">
        <v>18</v>
      </c>
    </row>
    <row r="3360" spans="13:15" x14ac:dyDescent="0.25">
      <c r="M3360" s="5">
        <v>40390</v>
      </c>
      <c r="N3360">
        <f t="shared" si="123"/>
        <v>15</v>
      </c>
      <c r="O3360">
        <v>18</v>
      </c>
    </row>
    <row r="3361" spans="13:15" x14ac:dyDescent="0.25">
      <c r="M3361" s="5">
        <v>40389</v>
      </c>
      <c r="N3361">
        <f t="shared" si="123"/>
        <v>15</v>
      </c>
      <c r="O3361">
        <v>18</v>
      </c>
    </row>
    <row r="3362" spans="13:15" x14ac:dyDescent="0.25">
      <c r="M3362" s="5">
        <v>40388</v>
      </c>
      <c r="N3362">
        <f t="shared" si="123"/>
        <v>15</v>
      </c>
      <c r="O3362">
        <v>18</v>
      </c>
    </row>
    <row r="3363" spans="13:15" x14ac:dyDescent="0.25">
      <c r="M3363" s="5">
        <v>40387</v>
      </c>
      <c r="N3363">
        <f t="shared" si="123"/>
        <v>15</v>
      </c>
      <c r="O3363">
        <v>18</v>
      </c>
    </row>
    <row r="3364" spans="13:15" x14ac:dyDescent="0.25">
      <c r="M3364" s="5">
        <v>40386</v>
      </c>
      <c r="N3364">
        <f t="shared" si="123"/>
        <v>15</v>
      </c>
      <c r="O3364">
        <v>18</v>
      </c>
    </row>
    <row r="3365" spans="13:15" x14ac:dyDescent="0.25">
      <c r="M3365" s="5">
        <v>40385</v>
      </c>
      <c r="N3365">
        <f t="shared" si="123"/>
        <v>15</v>
      </c>
      <c r="O3365">
        <v>18</v>
      </c>
    </row>
    <row r="3366" spans="13:15" x14ac:dyDescent="0.25">
      <c r="M3366" s="5">
        <v>40384</v>
      </c>
      <c r="N3366">
        <f t="shared" si="123"/>
        <v>14</v>
      </c>
      <c r="O3366">
        <v>18</v>
      </c>
    </row>
    <row r="3367" spans="13:15" x14ac:dyDescent="0.25">
      <c r="M3367" s="5">
        <v>40383</v>
      </c>
      <c r="N3367">
        <f t="shared" si="123"/>
        <v>14</v>
      </c>
      <c r="O3367">
        <v>18</v>
      </c>
    </row>
    <row r="3368" spans="13:15" x14ac:dyDescent="0.25">
      <c r="M3368" s="5">
        <v>40382</v>
      </c>
      <c r="N3368">
        <f t="shared" si="123"/>
        <v>14</v>
      </c>
      <c r="O3368">
        <v>18</v>
      </c>
    </row>
    <row r="3369" spans="13:15" x14ac:dyDescent="0.25">
      <c r="M3369" s="5">
        <v>40381</v>
      </c>
      <c r="N3369">
        <f t="shared" si="123"/>
        <v>14</v>
      </c>
      <c r="O3369">
        <v>18</v>
      </c>
    </row>
    <row r="3370" spans="13:15" x14ac:dyDescent="0.25">
      <c r="M3370" s="5">
        <v>40380</v>
      </c>
      <c r="N3370">
        <f t="shared" si="123"/>
        <v>14</v>
      </c>
      <c r="O3370">
        <v>18</v>
      </c>
    </row>
    <row r="3371" spans="13:15" x14ac:dyDescent="0.25">
      <c r="M3371" s="5">
        <v>40379</v>
      </c>
      <c r="N3371">
        <f t="shared" si="123"/>
        <v>14</v>
      </c>
      <c r="O3371">
        <v>18</v>
      </c>
    </row>
    <row r="3372" spans="13:15" x14ac:dyDescent="0.25">
      <c r="M3372" s="5">
        <v>40378</v>
      </c>
      <c r="N3372">
        <f t="shared" si="123"/>
        <v>14</v>
      </c>
      <c r="O3372">
        <v>18</v>
      </c>
    </row>
    <row r="3373" spans="13:15" x14ac:dyDescent="0.25">
      <c r="M3373" s="5">
        <v>40377</v>
      </c>
      <c r="N3373">
        <f t="shared" si="123"/>
        <v>13</v>
      </c>
      <c r="O3373">
        <v>18</v>
      </c>
    </row>
    <row r="3374" spans="13:15" x14ac:dyDescent="0.25">
      <c r="M3374" s="5">
        <v>40376</v>
      </c>
      <c r="N3374">
        <f t="shared" si="123"/>
        <v>13</v>
      </c>
      <c r="O3374">
        <v>18</v>
      </c>
    </row>
    <row r="3375" spans="13:15" x14ac:dyDescent="0.25">
      <c r="M3375" s="5">
        <v>40375</v>
      </c>
      <c r="N3375">
        <f t="shared" si="123"/>
        <v>13</v>
      </c>
      <c r="O3375">
        <v>18</v>
      </c>
    </row>
    <row r="3376" spans="13:15" x14ac:dyDescent="0.25">
      <c r="M3376" s="5">
        <v>40374</v>
      </c>
      <c r="N3376">
        <f t="shared" si="123"/>
        <v>13</v>
      </c>
      <c r="O3376">
        <v>18</v>
      </c>
    </row>
    <row r="3377" spans="13:15" x14ac:dyDescent="0.25">
      <c r="M3377" s="5">
        <v>40373</v>
      </c>
      <c r="N3377">
        <f t="shared" si="123"/>
        <v>13</v>
      </c>
      <c r="O3377">
        <v>18</v>
      </c>
    </row>
    <row r="3378" spans="13:15" x14ac:dyDescent="0.25">
      <c r="M3378" s="5">
        <v>40372</v>
      </c>
      <c r="N3378">
        <f t="shared" si="123"/>
        <v>13</v>
      </c>
      <c r="O3378">
        <v>18</v>
      </c>
    </row>
    <row r="3379" spans="13:15" x14ac:dyDescent="0.25">
      <c r="M3379" s="5">
        <v>40371</v>
      </c>
      <c r="N3379">
        <f t="shared" si="123"/>
        <v>13</v>
      </c>
      <c r="O3379">
        <v>18</v>
      </c>
    </row>
    <row r="3380" spans="13:15" x14ac:dyDescent="0.25">
      <c r="M3380" s="5">
        <v>40370</v>
      </c>
      <c r="N3380">
        <f t="shared" si="123"/>
        <v>12</v>
      </c>
      <c r="O3380">
        <v>18</v>
      </c>
    </row>
    <row r="3381" spans="13:15" x14ac:dyDescent="0.25">
      <c r="M3381" s="5">
        <v>40369</v>
      </c>
      <c r="N3381">
        <f t="shared" si="123"/>
        <v>12</v>
      </c>
      <c r="O3381">
        <v>18</v>
      </c>
    </row>
    <row r="3382" spans="13:15" x14ac:dyDescent="0.25">
      <c r="M3382" s="5">
        <v>40368</v>
      </c>
      <c r="N3382">
        <f t="shared" si="123"/>
        <v>12</v>
      </c>
      <c r="O3382">
        <v>18</v>
      </c>
    </row>
    <row r="3383" spans="13:15" x14ac:dyDescent="0.25">
      <c r="M3383" s="5">
        <v>40367</v>
      </c>
      <c r="N3383">
        <f t="shared" si="123"/>
        <v>12</v>
      </c>
      <c r="O3383">
        <v>18</v>
      </c>
    </row>
    <row r="3384" spans="13:15" x14ac:dyDescent="0.25">
      <c r="M3384" s="5">
        <v>40366</v>
      </c>
      <c r="N3384">
        <f t="shared" si="123"/>
        <v>12</v>
      </c>
      <c r="O3384">
        <v>18</v>
      </c>
    </row>
    <row r="3385" spans="13:15" x14ac:dyDescent="0.25">
      <c r="M3385" s="5">
        <v>40365</v>
      </c>
      <c r="N3385">
        <f t="shared" si="123"/>
        <v>12</v>
      </c>
      <c r="O3385">
        <v>18</v>
      </c>
    </row>
    <row r="3386" spans="13:15" x14ac:dyDescent="0.25">
      <c r="M3386" s="5">
        <v>40364</v>
      </c>
      <c r="N3386">
        <f t="shared" si="123"/>
        <v>12</v>
      </c>
      <c r="O3386">
        <v>18</v>
      </c>
    </row>
    <row r="3387" spans="13:15" x14ac:dyDescent="0.25">
      <c r="M3387" s="5">
        <v>40363</v>
      </c>
      <c r="N3387">
        <f t="shared" si="123"/>
        <v>11</v>
      </c>
      <c r="O3387">
        <v>18</v>
      </c>
    </row>
    <row r="3388" spans="13:15" x14ac:dyDescent="0.25">
      <c r="M3388" s="5">
        <v>40362</v>
      </c>
      <c r="N3388">
        <f t="shared" si="123"/>
        <v>11</v>
      </c>
      <c r="O3388">
        <v>18</v>
      </c>
    </row>
    <row r="3389" spans="13:15" x14ac:dyDescent="0.25">
      <c r="M3389" s="5">
        <v>40361</v>
      </c>
      <c r="N3389">
        <f t="shared" si="123"/>
        <v>11</v>
      </c>
      <c r="O3389">
        <v>18</v>
      </c>
    </row>
    <row r="3390" spans="13:15" x14ac:dyDescent="0.25">
      <c r="M3390" s="5">
        <v>40360</v>
      </c>
      <c r="N3390">
        <f t="shared" si="123"/>
        <v>11</v>
      </c>
      <c r="O3390">
        <v>18</v>
      </c>
    </row>
    <row r="3391" spans="13:15" x14ac:dyDescent="0.25">
      <c r="M3391" s="5">
        <v>40359</v>
      </c>
      <c r="N3391">
        <f t="shared" ref="N3391:N3422" si="124">N3384-1</f>
        <v>11</v>
      </c>
      <c r="O3391">
        <v>18</v>
      </c>
    </row>
    <row r="3392" spans="13:15" x14ac:dyDescent="0.25">
      <c r="M3392" s="5">
        <v>40358</v>
      </c>
      <c r="N3392">
        <f t="shared" si="124"/>
        <v>11</v>
      </c>
      <c r="O3392">
        <v>18</v>
      </c>
    </row>
    <row r="3393" spans="13:15" x14ac:dyDescent="0.25">
      <c r="M3393" s="5">
        <v>40357</v>
      </c>
      <c r="N3393">
        <f t="shared" si="124"/>
        <v>11</v>
      </c>
      <c r="O3393">
        <v>18</v>
      </c>
    </row>
    <row r="3394" spans="13:15" x14ac:dyDescent="0.25">
      <c r="M3394" s="5">
        <v>40356</v>
      </c>
      <c r="N3394">
        <f t="shared" si="124"/>
        <v>10</v>
      </c>
      <c r="O3394">
        <v>18</v>
      </c>
    </row>
    <row r="3395" spans="13:15" x14ac:dyDescent="0.25">
      <c r="M3395" s="5">
        <v>40355</v>
      </c>
      <c r="N3395">
        <f t="shared" si="124"/>
        <v>10</v>
      </c>
      <c r="O3395">
        <v>18</v>
      </c>
    </row>
    <row r="3396" spans="13:15" x14ac:dyDescent="0.25">
      <c r="M3396" s="5">
        <v>40354</v>
      </c>
      <c r="N3396">
        <f t="shared" si="124"/>
        <v>10</v>
      </c>
      <c r="O3396">
        <v>18</v>
      </c>
    </row>
    <row r="3397" spans="13:15" x14ac:dyDescent="0.25">
      <c r="M3397" s="5">
        <v>40353</v>
      </c>
      <c r="N3397">
        <f t="shared" si="124"/>
        <v>10</v>
      </c>
      <c r="O3397">
        <v>18</v>
      </c>
    </row>
    <row r="3398" spans="13:15" x14ac:dyDescent="0.25">
      <c r="M3398" s="5">
        <v>40352</v>
      </c>
      <c r="N3398">
        <f t="shared" si="124"/>
        <v>10</v>
      </c>
      <c r="O3398">
        <v>18</v>
      </c>
    </row>
    <row r="3399" spans="13:15" x14ac:dyDescent="0.25">
      <c r="M3399" s="5">
        <v>40351</v>
      </c>
      <c r="N3399">
        <f t="shared" si="124"/>
        <v>10</v>
      </c>
      <c r="O3399">
        <v>18</v>
      </c>
    </row>
    <row r="3400" spans="13:15" x14ac:dyDescent="0.25">
      <c r="M3400" s="5">
        <v>40350</v>
      </c>
      <c r="N3400">
        <f t="shared" si="124"/>
        <v>10</v>
      </c>
      <c r="O3400">
        <v>18</v>
      </c>
    </row>
    <row r="3401" spans="13:15" x14ac:dyDescent="0.25">
      <c r="M3401" s="5">
        <v>40349</v>
      </c>
      <c r="N3401">
        <f t="shared" si="124"/>
        <v>9</v>
      </c>
      <c r="O3401">
        <v>18</v>
      </c>
    </row>
    <row r="3402" spans="13:15" x14ac:dyDescent="0.25">
      <c r="M3402" s="5">
        <v>40348</v>
      </c>
      <c r="N3402">
        <f t="shared" si="124"/>
        <v>9</v>
      </c>
      <c r="O3402">
        <v>18</v>
      </c>
    </row>
    <row r="3403" spans="13:15" x14ac:dyDescent="0.25">
      <c r="M3403" s="5">
        <v>40347</v>
      </c>
      <c r="N3403">
        <f t="shared" si="124"/>
        <v>9</v>
      </c>
      <c r="O3403">
        <v>18</v>
      </c>
    </row>
    <row r="3404" spans="13:15" x14ac:dyDescent="0.25">
      <c r="M3404" s="5">
        <v>40346</v>
      </c>
      <c r="N3404">
        <f t="shared" si="124"/>
        <v>9</v>
      </c>
      <c r="O3404">
        <v>18</v>
      </c>
    </row>
    <row r="3405" spans="13:15" x14ac:dyDescent="0.25">
      <c r="M3405" s="5">
        <v>40345</v>
      </c>
      <c r="N3405">
        <f t="shared" si="124"/>
        <v>9</v>
      </c>
      <c r="O3405">
        <v>18</v>
      </c>
    </row>
    <row r="3406" spans="13:15" x14ac:dyDescent="0.25">
      <c r="M3406" s="5">
        <v>40344</v>
      </c>
      <c r="N3406">
        <f t="shared" si="124"/>
        <v>9</v>
      </c>
      <c r="O3406">
        <v>18</v>
      </c>
    </row>
    <row r="3407" spans="13:15" x14ac:dyDescent="0.25">
      <c r="M3407" s="5">
        <v>40343</v>
      </c>
      <c r="N3407">
        <f t="shared" si="124"/>
        <v>9</v>
      </c>
      <c r="O3407">
        <v>18</v>
      </c>
    </row>
    <row r="3408" spans="13:15" x14ac:dyDescent="0.25">
      <c r="M3408" s="5">
        <v>40342</v>
      </c>
      <c r="N3408">
        <f t="shared" si="124"/>
        <v>8</v>
      </c>
      <c r="O3408">
        <v>18</v>
      </c>
    </row>
    <row r="3409" spans="13:15" x14ac:dyDescent="0.25">
      <c r="M3409" s="5">
        <v>40341</v>
      </c>
      <c r="N3409">
        <f t="shared" si="124"/>
        <v>8</v>
      </c>
      <c r="O3409">
        <v>18</v>
      </c>
    </row>
    <row r="3410" spans="13:15" x14ac:dyDescent="0.25">
      <c r="M3410" s="5">
        <v>40340</v>
      </c>
      <c r="N3410">
        <f t="shared" si="124"/>
        <v>8</v>
      </c>
      <c r="O3410">
        <v>18</v>
      </c>
    </row>
    <row r="3411" spans="13:15" x14ac:dyDescent="0.25">
      <c r="M3411" s="5">
        <v>40339</v>
      </c>
      <c r="N3411">
        <f t="shared" si="124"/>
        <v>8</v>
      </c>
      <c r="O3411">
        <v>18</v>
      </c>
    </row>
    <row r="3412" spans="13:15" x14ac:dyDescent="0.25">
      <c r="M3412" s="5">
        <v>40338</v>
      </c>
      <c r="N3412">
        <f t="shared" si="124"/>
        <v>8</v>
      </c>
      <c r="O3412">
        <v>18</v>
      </c>
    </row>
    <row r="3413" spans="13:15" x14ac:dyDescent="0.25">
      <c r="M3413" s="5">
        <v>40337</v>
      </c>
      <c r="N3413">
        <f t="shared" si="124"/>
        <v>8</v>
      </c>
      <c r="O3413">
        <v>18</v>
      </c>
    </row>
    <row r="3414" spans="13:15" x14ac:dyDescent="0.25">
      <c r="M3414" s="5">
        <v>40336</v>
      </c>
      <c r="N3414">
        <f t="shared" si="124"/>
        <v>8</v>
      </c>
      <c r="O3414">
        <v>18</v>
      </c>
    </row>
    <row r="3415" spans="13:15" x14ac:dyDescent="0.25">
      <c r="M3415" s="5">
        <v>40335</v>
      </c>
      <c r="N3415">
        <f t="shared" si="124"/>
        <v>7</v>
      </c>
      <c r="O3415">
        <v>18</v>
      </c>
    </row>
    <row r="3416" spans="13:15" x14ac:dyDescent="0.25">
      <c r="M3416" s="5">
        <v>40334</v>
      </c>
      <c r="N3416">
        <f t="shared" si="124"/>
        <v>7</v>
      </c>
      <c r="O3416">
        <v>18</v>
      </c>
    </row>
    <row r="3417" spans="13:15" x14ac:dyDescent="0.25">
      <c r="M3417" s="5">
        <v>40333</v>
      </c>
      <c r="N3417">
        <f t="shared" si="124"/>
        <v>7</v>
      </c>
      <c r="O3417">
        <v>18</v>
      </c>
    </row>
    <row r="3418" spans="13:15" x14ac:dyDescent="0.25">
      <c r="M3418" s="5">
        <v>40332</v>
      </c>
      <c r="N3418">
        <f t="shared" si="124"/>
        <v>7</v>
      </c>
      <c r="O3418">
        <v>18</v>
      </c>
    </row>
    <row r="3419" spans="13:15" x14ac:dyDescent="0.25">
      <c r="M3419" s="5">
        <v>40331</v>
      </c>
      <c r="N3419">
        <f t="shared" si="124"/>
        <v>7</v>
      </c>
      <c r="O3419">
        <v>18</v>
      </c>
    </row>
    <row r="3420" spans="13:15" x14ac:dyDescent="0.25">
      <c r="M3420" s="5">
        <v>40330</v>
      </c>
      <c r="N3420">
        <f t="shared" si="124"/>
        <v>7</v>
      </c>
      <c r="O3420">
        <v>18</v>
      </c>
    </row>
    <row r="3421" spans="13:15" x14ac:dyDescent="0.25">
      <c r="M3421" s="5">
        <v>40329</v>
      </c>
      <c r="N3421">
        <f t="shared" si="124"/>
        <v>7</v>
      </c>
      <c r="O3421">
        <v>18</v>
      </c>
    </row>
    <row r="3422" spans="13:15" x14ac:dyDescent="0.25">
      <c r="M3422" s="5">
        <v>40328</v>
      </c>
      <c r="N3422">
        <f t="shared" si="124"/>
        <v>6</v>
      </c>
      <c r="O3422">
        <v>18</v>
      </c>
    </row>
    <row r="3423" spans="13:15" x14ac:dyDescent="0.25">
      <c r="M3423" s="5">
        <v>40327</v>
      </c>
      <c r="N3423">
        <f t="shared" ref="N3423:N3454" si="125">N3416-1</f>
        <v>6</v>
      </c>
      <c r="O3423">
        <v>18</v>
      </c>
    </row>
    <row r="3424" spans="13:15" x14ac:dyDescent="0.25">
      <c r="M3424" s="5">
        <v>40326</v>
      </c>
      <c r="N3424">
        <f t="shared" si="125"/>
        <v>6</v>
      </c>
      <c r="O3424">
        <v>18</v>
      </c>
    </row>
    <row r="3425" spans="13:15" x14ac:dyDescent="0.25">
      <c r="M3425" s="5">
        <v>40325</v>
      </c>
      <c r="N3425">
        <f t="shared" si="125"/>
        <v>6</v>
      </c>
      <c r="O3425">
        <v>18</v>
      </c>
    </row>
    <row r="3426" spans="13:15" x14ac:dyDescent="0.25">
      <c r="M3426" s="5">
        <v>40324</v>
      </c>
      <c r="N3426">
        <f t="shared" si="125"/>
        <v>6</v>
      </c>
      <c r="O3426">
        <v>18</v>
      </c>
    </row>
    <row r="3427" spans="13:15" x14ac:dyDescent="0.25">
      <c r="M3427" s="5">
        <v>40323</v>
      </c>
      <c r="N3427">
        <f t="shared" si="125"/>
        <v>6</v>
      </c>
      <c r="O3427">
        <v>18</v>
      </c>
    </row>
    <row r="3428" spans="13:15" x14ac:dyDescent="0.25">
      <c r="M3428" s="5">
        <v>40322</v>
      </c>
      <c r="N3428">
        <f t="shared" si="125"/>
        <v>6</v>
      </c>
      <c r="O3428">
        <v>18</v>
      </c>
    </row>
    <row r="3429" spans="13:15" x14ac:dyDescent="0.25">
      <c r="M3429" s="5">
        <v>40321</v>
      </c>
      <c r="N3429">
        <f t="shared" si="125"/>
        <v>5</v>
      </c>
      <c r="O3429">
        <v>18</v>
      </c>
    </row>
    <row r="3430" spans="13:15" x14ac:dyDescent="0.25">
      <c r="M3430" s="5">
        <v>40320</v>
      </c>
      <c r="N3430">
        <f t="shared" si="125"/>
        <v>5</v>
      </c>
      <c r="O3430">
        <v>18</v>
      </c>
    </row>
    <row r="3431" spans="13:15" x14ac:dyDescent="0.25">
      <c r="M3431" s="5">
        <v>40319</v>
      </c>
      <c r="N3431">
        <f t="shared" si="125"/>
        <v>5</v>
      </c>
      <c r="O3431">
        <v>18</v>
      </c>
    </row>
    <row r="3432" spans="13:15" x14ac:dyDescent="0.25">
      <c r="M3432" s="5">
        <v>40318</v>
      </c>
      <c r="N3432">
        <f t="shared" si="125"/>
        <v>5</v>
      </c>
      <c r="O3432">
        <v>18</v>
      </c>
    </row>
    <row r="3433" spans="13:15" x14ac:dyDescent="0.25">
      <c r="M3433" s="5">
        <v>40317</v>
      </c>
      <c r="N3433">
        <f t="shared" si="125"/>
        <v>5</v>
      </c>
      <c r="O3433">
        <v>18</v>
      </c>
    </row>
    <row r="3434" spans="13:15" x14ac:dyDescent="0.25">
      <c r="M3434" s="5">
        <v>40316</v>
      </c>
      <c r="N3434">
        <f t="shared" si="125"/>
        <v>5</v>
      </c>
      <c r="O3434">
        <v>18</v>
      </c>
    </row>
    <row r="3435" spans="13:15" x14ac:dyDescent="0.25">
      <c r="M3435" s="5">
        <v>40315</v>
      </c>
      <c r="N3435">
        <f t="shared" si="125"/>
        <v>5</v>
      </c>
      <c r="O3435">
        <v>18</v>
      </c>
    </row>
    <row r="3436" spans="13:15" x14ac:dyDescent="0.25">
      <c r="M3436" s="5">
        <v>40314</v>
      </c>
      <c r="N3436">
        <f t="shared" si="125"/>
        <v>4</v>
      </c>
      <c r="O3436">
        <v>18</v>
      </c>
    </row>
    <row r="3437" spans="13:15" x14ac:dyDescent="0.25">
      <c r="M3437" s="5">
        <v>40313</v>
      </c>
      <c r="N3437">
        <f t="shared" si="125"/>
        <v>4</v>
      </c>
      <c r="O3437">
        <v>18</v>
      </c>
    </row>
    <row r="3438" spans="13:15" x14ac:dyDescent="0.25">
      <c r="M3438" s="5">
        <v>40312</v>
      </c>
      <c r="N3438">
        <f t="shared" si="125"/>
        <v>4</v>
      </c>
      <c r="O3438">
        <v>18</v>
      </c>
    </row>
    <row r="3439" spans="13:15" x14ac:dyDescent="0.25">
      <c r="M3439" s="5">
        <v>40311</v>
      </c>
      <c r="N3439">
        <f t="shared" si="125"/>
        <v>4</v>
      </c>
      <c r="O3439">
        <v>18</v>
      </c>
    </row>
    <row r="3440" spans="13:15" x14ac:dyDescent="0.25">
      <c r="M3440" s="5">
        <v>40310</v>
      </c>
      <c r="N3440">
        <f t="shared" si="125"/>
        <v>4</v>
      </c>
      <c r="O3440">
        <v>18</v>
      </c>
    </row>
    <row r="3441" spans="13:15" x14ac:dyDescent="0.25">
      <c r="M3441" s="5">
        <v>40309</v>
      </c>
      <c r="N3441">
        <f t="shared" si="125"/>
        <v>4</v>
      </c>
      <c r="O3441">
        <v>18</v>
      </c>
    </row>
    <row r="3442" spans="13:15" x14ac:dyDescent="0.25">
      <c r="M3442" s="5">
        <v>40308</v>
      </c>
      <c r="N3442">
        <f t="shared" si="125"/>
        <v>4</v>
      </c>
      <c r="O3442">
        <v>18</v>
      </c>
    </row>
    <row r="3443" spans="13:15" x14ac:dyDescent="0.25">
      <c r="M3443" s="5">
        <v>40307</v>
      </c>
      <c r="N3443">
        <f t="shared" si="125"/>
        <v>3</v>
      </c>
      <c r="O3443">
        <v>18</v>
      </c>
    </row>
    <row r="3444" spans="13:15" x14ac:dyDescent="0.25">
      <c r="M3444" s="5">
        <v>40306</v>
      </c>
      <c r="N3444">
        <f t="shared" si="125"/>
        <v>3</v>
      </c>
      <c r="O3444">
        <v>18</v>
      </c>
    </row>
    <row r="3445" spans="13:15" x14ac:dyDescent="0.25">
      <c r="M3445" s="5">
        <v>40305</v>
      </c>
      <c r="N3445">
        <f t="shared" si="125"/>
        <v>3</v>
      </c>
      <c r="O3445">
        <v>18</v>
      </c>
    </row>
    <row r="3446" spans="13:15" x14ac:dyDescent="0.25">
      <c r="M3446" s="5">
        <v>40304</v>
      </c>
      <c r="N3446">
        <f t="shared" si="125"/>
        <v>3</v>
      </c>
      <c r="O3446">
        <v>18</v>
      </c>
    </row>
    <row r="3447" spans="13:15" x14ac:dyDescent="0.25">
      <c r="M3447" s="5">
        <v>40303</v>
      </c>
      <c r="N3447">
        <f t="shared" si="125"/>
        <v>3</v>
      </c>
      <c r="O3447">
        <v>18</v>
      </c>
    </row>
    <row r="3448" spans="13:15" x14ac:dyDescent="0.25">
      <c r="M3448" s="5">
        <v>40302</v>
      </c>
      <c r="N3448">
        <f t="shared" si="125"/>
        <v>3</v>
      </c>
      <c r="O3448">
        <v>18</v>
      </c>
    </row>
    <row r="3449" spans="13:15" x14ac:dyDescent="0.25">
      <c r="M3449" s="5">
        <v>40301</v>
      </c>
      <c r="N3449">
        <f t="shared" si="125"/>
        <v>3</v>
      </c>
      <c r="O3449">
        <v>18</v>
      </c>
    </row>
    <row r="3450" spans="13:15" x14ac:dyDescent="0.25">
      <c r="M3450" s="5">
        <v>40300</v>
      </c>
      <c r="N3450">
        <f t="shared" si="125"/>
        <v>2</v>
      </c>
      <c r="O3450">
        <v>18</v>
      </c>
    </row>
    <row r="3451" spans="13:15" x14ac:dyDescent="0.25">
      <c r="M3451" s="5">
        <v>40299</v>
      </c>
      <c r="N3451">
        <f t="shared" si="125"/>
        <v>2</v>
      </c>
      <c r="O3451">
        <v>18</v>
      </c>
    </row>
    <row r="3452" spans="13:15" x14ac:dyDescent="0.25">
      <c r="M3452" s="5">
        <v>40298</v>
      </c>
      <c r="N3452">
        <f t="shared" si="125"/>
        <v>2</v>
      </c>
      <c r="O3452">
        <v>18</v>
      </c>
    </row>
    <row r="3453" spans="13:15" x14ac:dyDescent="0.25">
      <c r="M3453" s="5">
        <v>40297</v>
      </c>
      <c r="N3453">
        <f t="shared" si="125"/>
        <v>2</v>
      </c>
      <c r="O3453">
        <v>18</v>
      </c>
    </row>
    <row r="3454" spans="13:15" x14ac:dyDescent="0.25">
      <c r="M3454" s="5">
        <v>40296</v>
      </c>
      <c r="N3454">
        <f t="shared" si="125"/>
        <v>2</v>
      </c>
      <c r="O3454">
        <v>18</v>
      </c>
    </row>
    <row r="3455" spans="13:15" x14ac:dyDescent="0.25">
      <c r="M3455" s="5">
        <v>40295</v>
      </c>
      <c r="N3455">
        <f t="shared" ref="N3455:N3463" si="126">N3448-1</f>
        <v>2</v>
      </c>
      <c r="O3455">
        <v>18</v>
      </c>
    </row>
    <row r="3456" spans="13:15" x14ac:dyDescent="0.25">
      <c r="M3456" s="5">
        <v>40294</v>
      </c>
      <c r="N3456">
        <f t="shared" si="126"/>
        <v>2</v>
      </c>
      <c r="O3456">
        <v>18</v>
      </c>
    </row>
    <row r="3457" spans="13:15" x14ac:dyDescent="0.25">
      <c r="M3457" s="5">
        <v>40293</v>
      </c>
      <c r="N3457">
        <f t="shared" si="126"/>
        <v>1</v>
      </c>
      <c r="O3457">
        <v>18</v>
      </c>
    </row>
    <row r="3458" spans="13:15" x14ac:dyDescent="0.25">
      <c r="M3458" s="5">
        <v>40292</v>
      </c>
      <c r="N3458">
        <f t="shared" si="126"/>
        <v>1</v>
      </c>
      <c r="O3458">
        <v>18</v>
      </c>
    </row>
    <row r="3459" spans="13:15" x14ac:dyDescent="0.25">
      <c r="M3459" s="5">
        <v>40291</v>
      </c>
      <c r="N3459">
        <f t="shared" si="126"/>
        <v>1</v>
      </c>
      <c r="O3459">
        <v>18</v>
      </c>
    </row>
    <row r="3460" spans="13:15" x14ac:dyDescent="0.25">
      <c r="M3460" s="5">
        <v>40290</v>
      </c>
      <c r="N3460">
        <f t="shared" si="126"/>
        <v>1</v>
      </c>
      <c r="O3460">
        <v>18</v>
      </c>
    </row>
    <row r="3461" spans="13:15" x14ac:dyDescent="0.25">
      <c r="M3461" s="5">
        <v>40289</v>
      </c>
      <c r="N3461">
        <f t="shared" si="126"/>
        <v>1</v>
      </c>
      <c r="O3461">
        <v>18</v>
      </c>
    </row>
    <row r="3462" spans="13:15" x14ac:dyDescent="0.25">
      <c r="M3462" s="5">
        <v>40288</v>
      </c>
      <c r="N3462">
        <f t="shared" si="126"/>
        <v>1</v>
      </c>
      <c r="O3462">
        <v>18</v>
      </c>
    </row>
    <row r="3463" spans="13:15" x14ac:dyDescent="0.25">
      <c r="M3463" s="5">
        <v>40287</v>
      </c>
      <c r="N3463">
        <f t="shared" si="126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7">N3464-1</f>
        <v>15</v>
      </c>
      <c r="O3471">
        <v>17</v>
      </c>
    </row>
    <row r="3472" spans="13:15" x14ac:dyDescent="0.25">
      <c r="M3472" s="5">
        <v>40278</v>
      </c>
      <c r="N3472">
        <f t="shared" si="127"/>
        <v>15</v>
      </c>
      <c r="O3472">
        <v>17</v>
      </c>
    </row>
    <row r="3473" spans="13:15" x14ac:dyDescent="0.25">
      <c r="M3473" s="5">
        <v>40277</v>
      </c>
      <c r="N3473">
        <f t="shared" si="127"/>
        <v>15</v>
      </c>
      <c r="O3473">
        <v>17</v>
      </c>
    </row>
    <row r="3474" spans="13:15" x14ac:dyDescent="0.25">
      <c r="M3474" s="5">
        <v>40276</v>
      </c>
      <c r="N3474">
        <f t="shared" si="127"/>
        <v>15</v>
      </c>
      <c r="O3474">
        <v>17</v>
      </c>
    </row>
    <row r="3475" spans="13:15" x14ac:dyDescent="0.25">
      <c r="M3475" s="5">
        <v>40275</v>
      </c>
      <c r="N3475">
        <f t="shared" si="127"/>
        <v>15</v>
      </c>
      <c r="O3475">
        <v>17</v>
      </c>
    </row>
    <row r="3476" spans="13:15" x14ac:dyDescent="0.25">
      <c r="M3476" s="5">
        <v>40274</v>
      </c>
      <c r="N3476">
        <f t="shared" si="127"/>
        <v>15</v>
      </c>
      <c r="O3476">
        <v>17</v>
      </c>
    </row>
    <row r="3477" spans="13:15" x14ac:dyDescent="0.25">
      <c r="M3477" s="5">
        <v>40273</v>
      </c>
      <c r="N3477">
        <f t="shared" si="127"/>
        <v>15</v>
      </c>
      <c r="O3477">
        <v>17</v>
      </c>
    </row>
    <row r="3478" spans="13:15" x14ac:dyDescent="0.25">
      <c r="M3478" s="5">
        <v>40272</v>
      </c>
      <c r="N3478">
        <f t="shared" si="127"/>
        <v>14</v>
      </c>
      <c r="O3478">
        <v>17</v>
      </c>
    </row>
    <row r="3479" spans="13:15" x14ac:dyDescent="0.25">
      <c r="M3479" s="5">
        <v>40271</v>
      </c>
      <c r="N3479">
        <f t="shared" si="127"/>
        <v>14</v>
      </c>
      <c r="O3479">
        <v>17</v>
      </c>
    </row>
    <row r="3480" spans="13:15" x14ac:dyDescent="0.25">
      <c r="M3480" s="5">
        <v>40270</v>
      </c>
      <c r="N3480">
        <f t="shared" si="127"/>
        <v>14</v>
      </c>
      <c r="O3480">
        <v>17</v>
      </c>
    </row>
    <row r="3481" spans="13:15" x14ac:dyDescent="0.25">
      <c r="M3481" s="5">
        <v>40269</v>
      </c>
      <c r="N3481">
        <f t="shared" si="127"/>
        <v>14</v>
      </c>
      <c r="O3481">
        <v>17</v>
      </c>
    </row>
    <row r="3482" spans="13:15" x14ac:dyDescent="0.25">
      <c r="M3482" s="5">
        <v>40268</v>
      </c>
      <c r="N3482">
        <f t="shared" si="127"/>
        <v>14</v>
      </c>
      <c r="O3482">
        <v>17</v>
      </c>
    </row>
    <row r="3483" spans="13:15" x14ac:dyDescent="0.25">
      <c r="M3483" s="5">
        <v>40267</v>
      </c>
      <c r="N3483">
        <f t="shared" si="127"/>
        <v>14</v>
      </c>
      <c r="O3483">
        <v>17</v>
      </c>
    </row>
    <row r="3484" spans="13:15" x14ac:dyDescent="0.25">
      <c r="M3484" s="5">
        <v>40266</v>
      </c>
      <c r="N3484">
        <f t="shared" si="127"/>
        <v>14</v>
      </c>
      <c r="O3484">
        <v>17</v>
      </c>
    </row>
    <row r="3485" spans="13:15" x14ac:dyDescent="0.25">
      <c r="M3485" s="5">
        <v>40265</v>
      </c>
      <c r="N3485">
        <f t="shared" si="127"/>
        <v>13</v>
      </c>
      <c r="O3485">
        <v>17</v>
      </c>
    </row>
    <row r="3486" spans="13:15" x14ac:dyDescent="0.25">
      <c r="M3486" s="5">
        <v>40264</v>
      </c>
      <c r="N3486">
        <f t="shared" si="127"/>
        <v>13</v>
      </c>
      <c r="O3486">
        <v>17</v>
      </c>
    </row>
    <row r="3487" spans="13:15" x14ac:dyDescent="0.25">
      <c r="M3487" s="5">
        <v>40263</v>
      </c>
      <c r="N3487">
        <f t="shared" si="127"/>
        <v>13</v>
      </c>
      <c r="O3487">
        <v>17</v>
      </c>
    </row>
    <row r="3488" spans="13:15" x14ac:dyDescent="0.25">
      <c r="M3488" s="5">
        <v>40262</v>
      </c>
      <c r="N3488">
        <f t="shared" si="127"/>
        <v>13</v>
      </c>
      <c r="O3488">
        <v>17</v>
      </c>
    </row>
    <row r="3489" spans="13:15" x14ac:dyDescent="0.25">
      <c r="M3489" s="5">
        <v>40261</v>
      </c>
      <c r="N3489">
        <f t="shared" si="127"/>
        <v>13</v>
      </c>
      <c r="O3489">
        <v>17</v>
      </c>
    </row>
    <row r="3490" spans="13:15" x14ac:dyDescent="0.25">
      <c r="M3490" s="5">
        <v>40260</v>
      </c>
      <c r="N3490">
        <f t="shared" si="127"/>
        <v>13</v>
      </c>
      <c r="O3490">
        <v>17</v>
      </c>
    </row>
    <row r="3491" spans="13:15" x14ac:dyDescent="0.25">
      <c r="M3491" s="5">
        <v>40259</v>
      </c>
      <c r="N3491">
        <f t="shared" si="127"/>
        <v>13</v>
      </c>
      <c r="O3491">
        <v>17</v>
      </c>
    </row>
    <row r="3492" spans="13:15" x14ac:dyDescent="0.25">
      <c r="M3492" s="5">
        <v>40258</v>
      </c>
      <c r="N3492">
        <f t="shared" si="127"/>
        <v>12</v>
      </c>
      <c r="O3492">
        <v>17</v>
      </c>
    </row>
    <row r="3493" spans="13:15" x14ac:dyDescent="0.25">
      <c r="M3493" s="5">
        <v>40257</v>
      </c>
      <c r="N3493">
        <f t="shared" si="127"/>
        <v>12</v>
      </c>
      <c r="O3493">
        <v>17</v>
      </c>
    </row>
    <row r="3494" spans="13:15" x14ac:dyDescent="0.25">
      <c r="M3494" s="5">
        <v>40256</v>
      </c>
      <c r="N3494">
        <f t="shared" si="127"/>
        <v>12</v>
      </c>
      <c r="O3494">
        <v>17</v>
      </c>
    </row>
    <row r="3495" spans="13:15" x14ac:dyDescent="0.25">
      <c r="M3495" s="5">
        <v>40255</v>
      </c>
      <c r="N3495">
        <f t="shared" si="127"/>
        <v>12</v>
      </c>
      <c r="O3495">
        <v>17</v>
      </c>
    </row>
    <row r="3496" spans="13:15" x14ac:dyDescent="0.25">
      <c r="M3496" s="5">
        <v>40254</v>
      </c>
      <c r="N3496">
        <f t="shared" si="127"/>
        <v>12</v>
      </c>
      <c r="O3496">
        <v>17</v>
      </c>
    </row>
    <row r="3497" spans="13:15" x14ac:dyDescent="0.25">
      <c r="M3497" s="5">
        <v>40253</v>
      </c>
      <c r="N3497">
        <f t="shared" si="127"/>
        <v>12</v>
      </c>
      <c r="O3497">
        <v>17</v>
      </c>
    </row>
    <row r="3498" spans="13:15" x14ac:dyDescent="0.25">
      <c r="M3498" s="5">
        <v>40252</v>
      </c>
      <c r="N3498">
        <f t="shared" si="127"/>
        <v>12</v>
      </c>
      <c r="O3498">
        <v>17</v>
      </c>
    </row>
    <row r="3499" spans="13:15" x14ac:dyDescent="0.25">
      <c r="M3499" s="5">
        <v>40251</v>
      </c>
      <c r="N3499">
        <f t="shared" si="127"/>
        <v>11</v>
      </c>
      <c r="O3499">
        <v>17</v>
      </c>
    </row>
    <row r="3500" spans="13:15" x14ac:dyDescent="0.25">
      <c r="M3500" s="5">
        <v>40250</v>
      </c>
      <c r="N3500">
        <f t="shared" si="127"/>
        <v>11</v>
      </c>
      <c r="O3500">
        <v>17</v>
      </c>
    </row>
    <row r="3501" spans="13:15" x14ac:dyDescent="0.25">
      <c r="M3501" s="5">
        <v>40249</v>
      </c>
      <c r="N3501">
        <f t="shared" si="127"/>
        <v>11</v>
      </c>
      <c r="O3501">
        <v>17</v>
      </c>
    </row>
    <row r="3502" spans="13:15" x14ac:dyDescent="0.25">
      <c r="M3502" s="5">
        <v>40248</v>
      </c>
      <c r="N3502">
        <f t="shared" si="127"/>
        <v>11</v>
      </c>
      <c r="O3502">
        <v>17</v>
      </c>
    </row>
    <row r="3503" spans="13:15" x14ac:dyDescent="0.25">
      <c r="M3503" s="5">
        <v>40247</v>
      </c>
      <c r="N3503">
        <f t="shared" ref="N3503:N3534" si="128">N3496-1</f>
        <v>11</v>
      </c>
      <c r="O3503">
        <v>17</v>
      </c>
    </row>
    <row r="3504" spans="13:15" x14ac:dyDescent="0.25">
      <c r="M3504" s="5">
        <v>40246</v>
      </c>
      <c r="N3504">
        <f t="shared" si="128"/>
        <v>11</v>
      </c>
      <c r="O3504">
        <v>17</v>
      </c>
    </row>
    <row r="3505" spans="13:15" x14ac:dyDescent="0.25">
      <c r="M3505" s="5">
        <v>40245</v>
      </c>
      <c r="N3505">
        <f t="shared" si="128"/>
        <v>11</v>
      </c>
      <c r="O3505">
        <v>17</v>
      </c>
    </row>
    <row r="3506" spans="13:15" x14ac:dyDescent="0.25">
      <c r="M3506" s="5">
        <v>40244</v>
      </c>
      <c r="N3506">
        <f t="shared" si="128"/>
        <v>10</v>
      </c>
      <c r="O3506">
        <v>17</v>
      </c>
    </row>
    <row r="3507" spans="13:15" x14ac:dyDescent="0.25">
      <c r="M3507" s="5">
        <v>40243</v>
      </c>
      <c r="N3507">
        <f t="shared" si="128"/>
        <v>10</v>
      </c>
      <c r="O3507">
        <v>17</v>
      </c>
    </row>
    <row r="3508" spans="13:15" x14ac:dyDescent="0.25">
      <c r="M3508" s="5">
        <v>40242</v>
      </c>
      <c r="N3508">
        <f t="shared" si="128"/>
        <v>10</v>
      </c>
      <c r="O3508">
        <v>17</v>
      </c>
    </row>
    <row r="3509" spans="13:15" x14ac:dyDescent="0.25">
      <c r="M3509" s="5">
        <v>40241</v>
      </c>
      <c r="N3509">
        <f t="shared" si="128"/>
        <v>10</v>
      </c>
      <c r="O3509">
        <v>17</v>
      </c>
    </row>
    <row r="3510" spans="13:15" x14ac:dyDescent="0.25">
      <c r="M3510" s="5">
        <v>40240</v>
      </c>
      <c r="N3510">
        <f t="shared" si="128"/>
        <v>10</v>
      </c>
      <c r="O3510">
        <v>17</v>
      </c>
    </row>
    <row r="3511" spans="13:15" x14ac:dyDescent="0.25">
      <c r="M3511" s="5">
        <v>40239</v>
      </c>
      <c r="N3511">
        <f t="shared" si="128"/>
        <v>10</v>
      </c>
      <c r="O3511">
        <v>17</v>
      </c>
    </row>
    <row r="3512" spans="13:15" x14ac:dyDescent="0.25">
      <c r="M3512" s="5">
        <v>40238</v>
      </c>
      <c r="N3512">
        <f t="shared" si="128"/>
        <v>10</v>
      </c>
      <c r="O3512">
        <v>17</v>
      </c>
    </row>
    <row r="3513" spans="13:15" x14ac:dyDescent="0.25">
      <c r="M3513" s="5">
        <v>40237</v>
      </c>
      <c r="N3513">
        <f t="shared" si="128"/>
        <v>9</v>
      </c>
      <c r="O3513">
        <v>17</v>
      </c>
    </row>
    <row r="3514" spans="13:15" x14ac:dyDescent="0.25">
      <c r="M3514" s="5">
        <v>40236</v>
      </c>
      <c r="N3514">
        <f t="shared" si="128"/>
        <v>9</v>
      </c>
      <c r="O3514">
        <v>17</v>
      </c>
    </row>
    <row r="3515" spans="13:15" x14ac:dyDescent="0.25">
      <c r="M3515" s="5">
        <v>40235</v>
      </c>
      <c r="N3515">
        <f t="shared" si="128"/>
        <v>9</v>
      </c>
      <c r="O3515">
        <v>17</v>
      </c>
    </row>
    <row r="3516" spans="13:15" x14ac:dyDescent="0.25">
      <c r="M3516" s="5">
        <v>40234</v>
      </c>
      <c r="N3516">
        <f t="shared" si="128"/>
        <v>9</v>
      </c>
      <c r="O3516">
        <v>17</v>
      </c>
    </row>
    <row r="3517" spans="13:15" x14ac:dyDescent="0.25">
      <c r="M3517" s="5">
        <v>40233</v>
      </c>
      <c r="N3517">
        <f t="shared" si="128"/>
        <v>9</v>
      </c>
      <c r="O3517">
        <v>17</v>
      </c>
    </row>
    <row r="3518" spans="13:15" x14ac:dyDescent="0.25">
      <c r="M3518" s="5">
        <v>40232</v>
      </c>
      <c r="N3518">
        <f t="shared" si="128"/>
        <v>9</v>
      </c>
      <c r="O3518">
        <v>17</v>
      </c>
    </row>
    <row r="3519" spans="13:15" x14ac:dyDescent="0.25">
      <c r="M3519" s="5">
        <v>40231</v>
      </c>
      <c r="N3519">
        <f t="shared" si="128"/>
        <v>9</v>
      </c>
      <c r="O3519">
        <v>17</v>
      </c>
    </row>
    <row r="3520" spans="13:15" x14ac:dyDescent="0.25">
      <c r="M3520" s="5">
        <v>40230</v>
      </c>
      <c r="N3520">
        <f t="shared" si="128"/>
        <v>8</v>
      </c>
      <c r="O3520">
        <v>17</v>
      </c>
    </row>
    <row r="3521" spans="13:15" x14ac:dyDescent="0.25">
      <c r="M3521" s="5">
        <v>40229</v>
      </c>
      <c r="N3521">
        <f t="shared" si="128"/>
        <v>8</v>
      </c>
      <c r="O3521">
        <v>17</v>
      </c>
    </row>
    <row r="3522" spans="13:15" x14ac:dyDescent="0.25">
      <c r="M3522" s="5">
        <v>40228</v>
      </c>
      <c r="N3522">
        <f t="shared" si="128"/>
        <v>8</v>
      </c>
      <c r="O3522">
        <v>17</v>
      </c>
    </row>
    <row r="3523" spans="13:15" x14ac:dyDescent="0.25">
      <c r="M3523" s="5">
        <v>40227</v>
      </c>
      <c r="N3523">
        <f t="shared" si="128"/>
        <v>8</v>
      </c>
      <c r="O3523">
        <v>17</v>
      </c>
    </row>
    <row r="3524" spans="13:15" x14ac:dyDescent="0.25">
      <c r="M3524" s="5">
        <v>40226</v>
      </c>
      <c r="N3524">
        <f t="shared" si="128"/>
        <v>8</v>
      </c>
      <c r="O3524">
        <v>17</v>
      </c>
    </row>
    <row r="3525" spans="13:15" x14ac:dyDescent="0.25">
      <c r="M3525" s="5">
        <v>40225</v>
      </c>
      <c r="N3525">
        <f t="shared" si="128"/>
        <v>8</v>
      </c>
      <c r="O3525">
        <v>17</v>
      </c>
    </row>
    <row r="3526" spans="13:15" x14ac:dyDescent="0.25">
      <c r="M3526" s="5">
        <v>40224</v>
      </c>
      <c r="N3526">
        <f t="shared" si="128"/>
        <v>8</v>
      </c>
      <c r="O3526">
        <v>17</v>
      </c>
    </row>
    <row r="3527" spans="13:15" x14ac:dyDescent="0.25">
      <c r="M3527" s="5">
        <v>40223</v>
      </c>
      <c r="N3527">
        <f t="shared" si="128"/>
        <v>7</v>
      </c>
      <c r="O3527">
        <v>17</v>
      </c>
    </row>
    <row r="3528" spans="13:15" x14ac:dyDescent="0.25">
      <c r="M3528" s="5">
        <v>40222</v>
      </c>
      <c r="N3528">
        <f t="shared" si="128"/>
        <v>7</v>
      </c>
      <c r="O3528">
        <v>17</v>
      </c>
    </row>
    <row r="3529" spans="13:15" x14ac:dyDescent="0.25">
      <c r="M3529" s="5">
        <v>40221</v>
      </c>
      <c r="N3529">
        <f t="shared" si="128"/>
        <v>7</v>
      </c>
      <c r="O3529">
        <v>17</v>
      </c>
    </row>
    <row r="3530" spans="13:15" x14ac:dyDescent="0.25">
      <c r="M3530" s="5">
        <v>40220</v>
      </c>
      <c r="N3530">
        <f t="shared" si="128"/>
        <v>7</v>
      </c>
      <c r="O3530">
        <v>17</v>
      </c>
    </row>
    <row r="3531" spans="13:15" x14ac:dyDescent="0.25">
      <c r="M3531" s="5">
        <v>40219</v>
      </c>
      <c r="N3531">
        <f t="shared" si="128"/>
        <v>7</v>
      </c>
      <c r="O3531">
        <v>17</v>
      </c>
    </row>
    <row r="3532" spans="13:15" x14ac:dyDescent="0.25">
      <c r="M3532" s="5">
        <v>40218</v>
      </c>
      <c r="N3532">
        <f t="shared" si="128"/>
        <v>7</v>
      </c>
      <c r="O3532">
        <v>17</v>
      </c>
    </row>
    <row r="3533" spans="13:15" x14ac:dyDescent="0.25">
      <c r="M3533" s="5">
        <v>40217</v>
      </c>
      <c r="N3533">
        <f t="shared" si="128"/>
        <v>7</v>
      </c>
      <c r="O3533">
        <v>17</v>
      </c>
    </row>
    <row r="3534" spans="13:15" x14ac:dyDescent="0.25">
      <c r="M3534" s="5">
        <v>40216</v>
      </c>
      <c r="N3534">
        <f t="shared" si="128"/>
        <v>6</v>
      </c>
      <c r="O3534">
        <v>17</v>
      </c>
    </row>
    <row r="3535" spans="13:15" x14ac:dyDescent="0.25">
      <c r="M3535" s="5">
        <v>40215</v>
      </c>
      <c r="N3535">
        <f t="shared" ref="N3535:N3566" si="129">N3528-1</f>
        <v>6</v>
      </c>
      <c r="O3535">
        <v>17</v>
      </c>
    </row>
    <row r="3536" spans="13:15" x14ac:dyDescent="0.25">
      <c r="M3536" s="5">
        <v>40214</v>
      </c>
      <c r="N3536">
        <f t="shared" si="129"/>
        <v>6</v>
      </c>
      <c r="O3536">
        <v>17</v>
      </c>
    </row>
    <row r="3537" spans="13:15" x14ac:dyDescent="0.25">
      <c r="M3537" s="5">
        <v>40213</v>
      </c>
      <c r="N3537">
        <f t="shared" si="129"/>
        <v>6</v>
      </c>
      <c r="O3537">
        <v>17</v>
      </c>
    </row>
    <row r="3538" spans="13:15" x14ac:dyDescent="0.25">
      <c r="M3538" s="5">
        <v>40212</v>
      </c>
      <c r="N3538">
        <f t="shared" si="129"/>
        <v>6</v>
      </c>
      <c r="O3538">
        <v>17</v>
      </c>
    </row>
    <row r="3539" spans="13:15" x14ac:dyDescent="0.25">
      <c r="M3539" s="5">
        <v>40211</v>
      </c>
      <c r="N3539">
        <f t="shared" si="129"/>
        <v>6</v>
      </c>
      <c r="O3539">
        <v>17</v>
      </c>
    </row>
    <row r="3540" spans="13:15" x14ac:dyDescent="0.25">
      <c r="M3540" s="5">
        <v>40210</v>
      </c>
      <c r="N3540">
        <f t="shared" si="129"/>
        <v>6</v>
      </c>
      <c r="O3540">
        <v>17</v>
      </c>
    </row>
    <row r="3541" spans="13:15" x14ac:dyDescent="0.25">
      <c r="M3541" s="5">
        <v>40209</v>
      </c>
      <c r="N3541">
        <f t="shared" si="129"/>
        <v>5</v>
      </c>
      <c r="O3541">
        <v>17</v>
      </c>
    </row>
    <row r="3542" spans="13:15" x14ac:dyDescent="0.25">
      <c r="M3542" s="5">
        <v>40208</v>
      </c>
      <c r="N3542">
        <f t="shared" si="129"/>
        <v>5</v>
      </c>
      <c r="O3542">
        <v>17</v>
      </c>
    </row>
    <row r="3543" spans="13:15" x14ac:dyDescent="0.25">
      <c r="M3543" s="5">
        <v>40207</v>
      </c>
      <c r="N3543">
        <f t="shared" si="129"/>
        <v>5</v>
      </c>
      <c r="O3543">
        <v>17</v>
      </c>
    </row>
    <row r="3544" spans="13:15" x14ac:dyDescent="0.25">
      <c r="M3544" s="5">
        <v>40206</v>
      </c>
      <c r="N3544">
        <f t="shared" si="129"/>
        <v>5</v>
      </c>
      <c r="O3544">
        <v>17</v>
      </c>
    </row>
    <row r="3545" spans="13:15" x14ac:dyDescent="0.25">
      <c r="M3545" s="5">
        <v>40205</v>
      </c>
      <c r="N3545">
        <f t="shared" si="129"/>
        <v>5</v>
      </c>
      <c r="O3545">
        <v>17</v>
      </c>
    </row>
    <row r="3546" spans="13:15" x14ac:dyDescent="0.25">
      <c r="M3546" s="5">
        <v>40204</v>
      </c>
      <c r="N3546">
        <f t="shared" si="129"/>
        <v>5</v>
      </c>
      <c r="O3546">
        <v>17</v>
      </c>
    </row>
    <row r="3547" spans="13:15" x14ac:dyDescent="0.25">
      <c r="M3547" s="5">
        <v>40203</v>
      </c>
      <c r="N3547">
        <f t="shared" si="129"/>
        <v>5</v>
      </c>
      <c r="O3547">
        <v>17</v>
      </c>
    </row>
    <row r="3548" spans="13:15" x14ac:dyDescent="0.25">
      <c r="M3548" s="5">
        <v>40202</v>
      </c>
      <c r="N3548">
        <f t="shared" si="129"/>
        <v>4</v>
      </c>
      <c r="O3548">
        <v>17</v>
      </c>
    </row>
    <row r="3549" spans="13:15" x14ac:dyDescent="0.25">
      <c r="M3549" s="5">
        <v>40201</v>
      </c>
      <c r="N3549">
        <f t="shared" si="129"/>
        <v>4</v>
      </c>
      <c r="O3549">
        <v>17</v>
      </c>
    </row>
    <row r="3550" spans="13:15" x14ac:dyDescent="0.25">
      <c r="M3550" s="5">
        <v>40200</v>
      </c>
      <c r="N3550">
        <f t="shared" si="129"/>
        <v>4</v>
      </c>
      <c r="O3550">
        <v>17</v>
      </c>
    </row>
    <row r="3551" spans="13:15" x14ac:dyDescent="0.25">
      <c r="M3551" s="5">
        <v>40199</v>
      </c>
      <c r="N3551">
        <f t="shared" si="129"/>
        <v>4</v>
      </c>
      <c r="O3551">
        <v>17</v>
      </c>
    </row>
    <row r="3552" spans="13:15" x14ac:dyDescent="0.25">
      <c r="M3552" s="5">
        <v>40198</v>
      </c>
      <c r="N3552">
        <f t="shared" si="129"/>
        <v>4</v>
      </c>
      <c r="O3552">
        <v>17</v>
      </c>
    </row>
    <row r="3553" spans="13:15" x14ac:dyDescent="0.25">
      <c r="M3553" s="5">
        <v>40197</v>
      </c>
      <c r="N3553">
        <f t="shared" si="129"/>
        <v>4</v>
      </c>
      <c r="O3553">
        <v>17</v>
      </c>
    </row>
    <row r="3554" spans="13:15" x14ac:dyDescent="0.25">
      <c r="M3554" s="5">
        <v>40196</v>
      </c>
      <c r="N3554">
        <f t="shared" si="129"/>
        <v>4</v>
      </c>
      <c r="O3554">
        <v>17</v>
      </c>
    </row>
    <row r="3555" spans="13:15" x14ac:dyDescent="0.25">
      <c r="M3555" s="5">
        <v>40195</v>
      </c>
      <c r="N3555">
        <f t="shared" si="129"/>
        <v>3</v>
      </c>
      <c r="O3555">
        <v>17</v>
      </c>
    </row>
    <row r="3556" spans="13:15" x14ac:dyDescent="0.25">
      <c r="M3556" s="5">
        <v>40194</v>
      </c>
      <c r="N3556">
        <f t="shared" si="129"/>
        <v>3</v>
      </c>
      <c r="O3556">
        <v>17</v>
      </c>
    </row>
    <row r="3557" spans="13:15" x14ac:dyDescent="0.25">
      <c r="M3557" s="5">
        <v>40193</v>
      </c>
      <c r="N3557">
        <f t="shared" si="129"/>
        <v>3</v>
      </c>
      <c r="O3557">
        <v>17</v>
      </c>
    </row>
    <row r="3558" spans="13:15" x14ac:dyDescent="0.25">
      <c r="M3558" s="5">
        <v>40192</v>
      </c>
      <c r="N3558">
        <f t="shared" si="129"/>
        <v>3</v>
      </c>
      <c r="O3558">
        <v>17</v>
      </c>
    </row>
    <row r="3559" spans="13:15" x14ac:dyDescent="0.25">
      <c r="M3559" s="5">
        <v>40191</v>
      </c>
      <c r="N3559">
        <f t="shared" si="129"/>
        <v>3</v>
      </c>
      <c r="O3559">
        <v>17</v>
      </c>
    </row>
    <row r="3560" spans="13:15" x14ac:dyDescent="0.25">
      <c r="M3560" s="5">
        <v>40190</v>
      </c>
      <c r="N3560">
        <f t="shared" si="129"/>
        <v>3</v>
      </c>
      <c r="O3560">
        <v>17</v>
      </c>
    </row>
    <row r="3561" spans="13:15" x14ac:dyDescent="0.25">
      <c r="M3561" s="5">
        <v>40189</v>
      </c>
      <c r="N3561">
        <f t="shared" si="129"/>
        <v>3</v>
      </c>
      <c r="O3561">
        <v>17</v>
      </c>
    </row>
    <row r="3562" spans="13:15" x14ac:dyDescent="0.25">
      <c r="M3562" s="5">
        <v>40188</v>
      </c>
      <c r="N3562">
        <f t="shared" si="129"/>
        <v>2</v>
      </c>
      <c r="O3562">
        <v>17</v>
      </c>
    </row>
    <row r="3563" spans="13:15" x14ac:dyDescent="0.25">
      <c r="M3563" s="5">
        <v>40187</v>
      </c>
      <c r="N3563">
        <f t="shared" si="129"/>
        <v>2</v>
      </c>
      <c r="O3563">
        <v>17</v>
      </c>
    </row>
    <row r="3564" spans="13:15" x14ac:dyDescent="0.25">
      <c r="M3564" s="5">
        <v>40186</v>
      </c>
      <c r="N3564">
        <f t="shared" si="129"/>
        <v>2</v>
      </c>
      <c r="O3564">
        <v>17</v>
      </c>
    </row>
    <row r="3565" spans="13:15" x14ac:dyDescent="0.25">
      <c r="M3565" s="5">
        <v>40185</v>
      </c>
      <c r="N3565">
        <f t="shared" si="129"/>
        <v>2</v>
      </c>
      <c r="O3565">
        <v>17</v>
      </c>
    </row>
    <row r="3566" spans="13:15" x14ac:dyDescent="0.25">
      <c r="M3566" s="5">
        <v>40184</v>
      </c>
      <c r="N3566">
        <f t="shared" si="129"/>
        <v>2</v>
      </c>
      <c r="O3566">
        <v>17</v>
      </c>
    </row>
    <row r="3567" spans="13:15" x14ac:dyDescent="0.25">
      <c r="M3567" s="5">
        <v>40183</v>
      </c>
      <c r="N3567">
        <f t="shared" ref="N3567:N3575" si="130">N3560-1</f>
        <v>2</v>
      </c>
      <c r="O3567">
        <v>17</v>
      </c>
    </row>
    <row r="3568" spans="13:15" x14ac:dyDescent="0.25">
      <c r="M3568" s="5">
        <v>40182</v>
      </c>
      <c r="N3568">
        <f t="shared" si="130"/>
        <v>2</v>
      </c>
      <c r="O3568">
        <v>17</v>
      </c>
    </row>
    <row r="3569" spans="13:15" x14ac:dyDescent="0.25">
      <c r="M3569" s="5">
        <v>40181</v>
      </c>
      <c r="N3569">
        <f t="shared" si="130"/>
        <v>1</v>
      </c>
      <c r="O3569">
        <v>17</v>
      </c>
    </row>
    <row r="3570" spans="13:15" x14ac:dyDescent="0.25">
      <c r="M3570" s="5">
        <v>40180</v>
      </c>
      <c r="N3570">
        <f t="shared" si="130"/>
        <v>1</v>
      </c>
      <c r="O3570">
        <v>17</v>
      </c>
    </row>
    <row r="3571" spans="13:15" x14ac:dyDescent="0.25">
      <c r="M3571" s="5">
        <v>40179</v>
      </c>
      <c r="N3571">
        <f t="shared" si="130"/>
        <v>1</v>
      </c>
      <c r="O3571">
        <v>17</v>
      </c>
    </row>
    <row r="3572" spans="13:15" x14ac:dyDescent="0.25">
      <c r="M3572" s="5">
        <v>40178</v>
      </c>
      <c r="N3572">
        <f t="shared" si="130"/>
        <v>1</v>
      </c>
      <c r="O3572">
        <v>17</v>
      </c>
    </row>
    <row r="3573" spans="13:15" x14ac:dyDescent="0.25">
      <c r="M3573" s="5">
        <v>40177</v>
      </c>
      <c r="N3573">
        <f t="shared" si="130"/>
        <v>1</v>
      </c>
      <c r="O3573">
        <v>17</v>
      </c>
    </row>
    <row r="3574" spans="13:15" x14ac:dyDescent="0.25">
      <c r="M3574" s="5">
        <v>40176</v>
      </c>
      <c r="N3574">
        <f t="shared" si="130"/>
        <v>1</v>
      </c>
      <c r="O3574">
        <v>17</v>
      </c>
    </row>
    <row r="3575" spans="13:15" x14ac:dyDescent="0.25">
      <c r="M3575" s="5">
        <v>40175</v>
      </c>
      <c r="N3575">
        <f t="shared" si="130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1">N3576-1</f>
        <v>15</v>
      </c>
      <c r="O3583">
        <v>16</v>
      </c>
    </row>
    <row r="3584" spans="13:15" x14ac:dyDescent="0.25">
      <c r="M3584" s="5">
        <v>40166</v>
      </c>
      <c r="N3584">
        <f t="shared" si="131"/>
        <v>15</v>
      </c>
      <c r="O3584">
        <v>16</v>
      </c>
    </row>
    <row r="3585" spans="13:15" x14ac:dyDescent="0.25">
      <c r="M3585" s="5">
        <v>40165</v>
      </c>
      <c r="N3585">
        <f t="shared" si="131"/>
        <v>15</v>
      </c>
      <c r="O3585">
        <v>16</v>
      </c>
    </row>
    <row r="3586" spans="13:15" x14ac:dyDescent="0.25">
      <c r="M3586" s="5">
        <v>40164</v>
      </c>
      <c r="N3586">
        <f t="shared" si="131"/>
        <v>15</v>
      </c>
      <c r="O3586">
        <v>16</v>
      </c>
    </row>
    <row r="3587" spans="13:15" x14ac:dyDescent="0.25">
      <c r="M3587" s="5">
        <v>40163</v>
      </c>
      <c r="N3587">
        <f t="shared" si="131"/>
        <v>15</v>
      </c>
      <c r="O3587">
        <v>16</v>
      </c>
    </row>
    <row r="3588" spans="13:15" x14ac:dyDescent="0.25">
      <c r="M3588" s="5">
        <v>40162</v>
      </c>
      <c r="N3588">
        <f t="shared" si="131"/>
        <v>15</v>
      </c>
      <c r="O3588">
        <v>16</v>
      </c>
    </row>
    <row r="3589" spans="13:15" x14ac:dyDescent="0.25">
      <c r="M3589" s="5">
        <v>40161</v>
      </c>
      <c r="N3589">
        <f t="shared" si="131"/>
        <v>15</v>
      </c>
      <c r="O3589">
        <v>16</v>
      </c>
    </row>
    <row r="3590" spans="13:15" x14ac:dyDescent="0.25">
      <c r="M3590" s="5">
        <v>40160</v>
      </c>
      <c r="N3590">
        <f t="shared" si="131"/>
        <v>14</v>
      </c>
      <c r="O3590">
        <v>16</v>
      </c>
    </row>
    <row r="3591" spans="13:15" x14ac:dyDescent="0.25">
      <c r="M3591" s="5">
        <v>40159</v>
      </c>
      <c r="N3591">
        <f t="shared" si="131"/>
        <v>14</v>
      </c>
      <c r="O3591">
        <v>16</v>
      </c>
    </row>
    <row r="3592" spans="13:15" x14ac:dyDescent="0.25">
      <c r="M3592" s="5">
        <v>40158</v>
      </c>
      <c r="N3592">
        <f t="shared" si="131"/>
        <v>14</v>
      </c>
      <c r="O3592">
        <v>16</v>
      </c>
    </row>
    <row r="3593" spans="13:15" x14ac:dyDescent="0.25">
      <c r="M3593" s="5">
        <v>40157</v>
      </c>
      <c r="N3593">
        <f t="shared" si="131"/>
        <v>14</v>
      </c>
      <c r="O3593">
        <v>16</v>
      </c>
    </row>
    <row r="3594" spans="13:15" x14ac:dyDescent="0.25">
      <c r="M3594" s="5">
        <v>40156</v>
      </c>
      <c r="N3594">
        <f t="shared" si="131"/>
        <v>14</v>
      </c>
      <c r="O3594">
        <v>16</v>
      </c>
    </row>
    <row r="3595" spans="13:15" x14ac:dyDescent="0.25">
      <c r="M3595" s="5">
        <v>40155</v>
      </c>
      <c r="N3595">
        <f t="shared" si="131"/>
        <v>14</v>
      </c>
      <c r="O3595">
        <v>16</v>
      </c>
    </row>
    <row r="3596" spans="13:15" x14ac:dyDescent="0.25">
      <c r="M3596" s="5">
        <v>40154</v>
      </c>
      <c r="N3596">
        <f t="shared" si="131"/>
        <v>14</v>
      </c>
      <c r="O3596">
        <v>16</v>
      </c>
    </row>
    <row r="3597" spans="13:15" x14ac:dyDescent="0.25">
      <c r="M3597" s="5">
        <v>40153</v>
      </c>
      <c r="N3597">
        <f t="shared" si="131"/>
        <v>13</v>
      </c>
      <c r="O3597">
        <v>16</v>
      </c>
    </row>
    <row r="3598" spans="13:15" x14ac:dyDescent="0.25">
      <c r="M3598" s="5">
        <v>40152</v>
      </c>
      <c r="N3598">
        <f t="shared" si="131"/>
        <v>13</v>
      </c>
      <c r="O3598">
        <v>16</v>
      </c>
    </row>
    <row r="3599" spans="13:15" x14ac:dyDescent="0.25">
      <c r="M3599" s="5">
        <v>40151</v>
      </c>
      <c r="N3599">
        <f t="shared" si="131"/>
        <v>13</v>
      </c>
      <c r="O3599">
        <v>16</v>
      </c>
    </row>
    <row r="3600" spans="13:15" x14ac:dyDescent="0.25">
      <c r="M3600" s="5">
        <v>40150</v>
      </c>
      <c r="N3600">
        <f t="shared" si="131"/>
        <v>13</v>
      </c>
      <c r="O3600">
        <v>16</v>
      </c>
    </row>
    <row r="3601" spans="13:15" x14ac:dyDescent="0.25">
      <c r="M3601" s="5">
        <v>40149</v>
      </c>
      <c r="N3601">
        <f t="shared" si="131"/>
        <v>13</v>
      </c>
      <c r="O3601">
        <v>16</v>
      </c>
    </row>
    <row r="3602" spans="13:15" x14ac:dyDescent="0.25">
      <c r="M3602" s="5">
        <v>40148</v>
      </c>
      <c r="N3602">
        <f t="shared" si="131"/>
        <v>13</v>
      </c>
      <c r="O3602">
        <v>16</v>
      </c>
    </row>
    <row r="3603" spans="13:15" x14ac:dyDescent="0.25">
      <c r="M3603" s="5">
        <v>40147</v>
      </c>
      <c r="N3603">
        <f t="shared" si="131"/>
        <v>13</v>
      </c>
      <c r="O3603">
        <v>16</v>
      </c>
    </row>
    <row r="3604" spans="13:15" x14ac:dyDescent="0.25">
      <c r="M3604" s="5">
        <v>40146</v>
      </c>
      <c r="N3604">
        <f t="shared" si="131"/>
        <v>12</v>
      </c>
      <c r="O3604">
        <v>16</v>
      </c>
    </row>
    <row r="3605" spans="13:15" x14ac:dyDescent="0.25">
      <c r="M3605" s="5">
        <v>40145</v>
      </c>
      <c r="N3605">
        <f t="shared" si="131"/>
        <v>12</v>
      </c>
      <c r="O3605">
        <v>16</v>
      </c>
    </row>
    <row r="3606" spans="13:15" x14ac:dyDescent="0.25">
      <c r="M3606" s="5">
        <v>40144</v>
      </c>
      <c r="N3606">
        <f t="shared" si="131"/>
        <v>12</v>
      </c>
      <c r="O3606">
        <v>16</v>
      </c>
    </row>
    <row r="3607" spans="13:15" x14ac:dyDescent="0.25">
      <c r="M3607" s="5">
        <v>40143</v>
      </c>
      <c r="N3607">
        <f t="shared" si="131"/>
        <v>12</v>
      </c>
      <c r="O3607">
        <v>16</v>
      </c>
    </row>
    <row r="3608" spans="13:15" x14ac:dyDescent="0.25">
      <c r="M3608" s="5">
        <v>40142</v>
      </c>
      <c r="N3608">
        <f t="shared" si="131"/>
        <v>12</v>
      </c>
      <c r="O3608">
        <v>16</v>
      </c>
    </row>
    <row r="3609" spans="13:15" x14ac:dyDescent="0.25">
      <c r="M3609" s="5">
        <v>40141</v>
      </c>
      <c r="N3609">
        <f t="shared" si="131"/>
        <v>12</v>
      </c>
      <c r="O3609">
        <v>16</v>
      </c>
    </row>
    <row r="3610" spans="13:15" x14ac:dyDescent="0.25">
      <c r="M3610" s="5">
        <v>40140</v>
      </c>
      <c r="N3610">
        <f t="shared" si="131"/>
        <v>12</v>
      </c>
      <c r="O3610">
        <v>16</v>
      </c>
    </row>
    <row r="3611" spans="13:15" x14ac:dyDescent="0.25">
      <c r="M3611" s="5">
        <v>40139</v>
      </c>
      <c r="N3611">
        <f t="shared" si="131"/>
        <v>11</v>
      </c>
      <c r="O3611">
        <v>16</v>
      </c>
    </row>
    <row r="3612" spans="13:15" x14ac:dyDescent="0.25">
      <c r="M3612" s="5">
        <v>40138</v>
      </c>
      <c r="N3612">
        <f t="shared" si="131"/>
        <v>11</v>
      </c>
      <c r="O3612">
        <v>16</v>
      </c>
    </row>
    <row r="3613" spans="13:15" x14ac:dyDescent="0.25">
      <c r="M3613" s="5">
        <v>40137</v>
      </c>
      <c r="N3613">
        <f t="shared" si="131"/>
        <v>11</v>
      </c>
      <c r="O3613">
        <v>16</v>
      </c>
    </row>
    <row r="3614" spans="13:15" x14ac:dyDescent="0.25">
      <c r="M3614" s="5">
        <v>40136</v>
      </c>
      <c r="N3614">
        <f t="shared" si="131"/>
        <v>11</v>
      </c>
      <c r="O3614">
        <v>16</v>
      </c>
    </row>
    <row r="3615" spans="13:15" x14ac:dyDescent="0.25">
      <c r="M3615" s="5">
        <v>40135</v>
      </c>
      <c r="N3615">
        <f t="shared" ref="N3615:N3646" si="132">N3608-1</f>
        <v>11</v>
      </c>
      <c r="O3615">
        <v>16</v>
      </c>
    </row>
    <row r="3616" spans="13:15" x14ac:dyDescent="0.25">
      <c r="M3616" s="5">
        <v>40134</v>
      </c>
      <c r="N3616">
        <f t="shared" si="132"/>
        <v>11</v>
      </c>
      <c r="O3616">
        <v>16</v>
      </c>
    </row>
    <row r="3617" spans="13:15" x14ac:dyDescent="0.25">
      <c r="M3617" s="5">
        <v>40133</v>
      </c>
      <c r="N3617">
        <f t="shared" si="132"/>
        <v>11</v>
      </c>
      <c r="O3617">
        <v>16</v>
      </c>
    </row>
    <row r="3618" spans="13:15" x14ac:dyDescent="0.25">
      <c r="M3618" s="5">
        <v>40132</v>
      </c>
      <c r="N3618">
        <f t="shared" si="132"/>
        <v>10</v>
      </c>
      <c r="O3618">
        <v>16</v>
      </c>
    </row>
    <row r="3619" spans="13:15" x14ac:dyDescent="0.25">
      <c r="M3619" s="5">
        <v>40131</v>
      </c>
      <c r="N3619">
        <f t="shared" si="132"/>
        <v>10</v>
      </c>
      <c r="O3619">
        <v>16</v>
      </c>
    </row>
    <row r="3620" spans="13:15" x14ac:dyDescent="0.25">
      <c r="M3620" s="5">
        <v>40130</v>
      </c>
      <c r="N3620">
        <f t="shared" si="132"/>
        <v>10</v>
      </c>
      <c r="O3620">
        <v>16</v>
      </c>
    </row>
    <row r="3621" spans="13:15" x14ac:dyDescent="0.25">
      <c r="M3621" s="5">
        <v>40129</v>
      </c>
      <c r="N3621">
        <f t="shared" si="132"/>
        <v>10</v>
      </c>
      <c r="O3621">
        <v>16</v>
      </c>
    </row>
    <row r="3622" spans="13:15" x14ac:dyDescent="0.25">
      <c r="M3622" s="5">
        <v>40128</v>
      </c>
      <c r="N3622">
        <f t="shared" si="132"/>
        <v>10</v>
      </c>
      <c r="O3622">
        <v>16</v>
      </c>
    </row>
    <row r="3623" spans="13:15" x14ac:dyDescent="0.25">
      <c r="M3623" s="5">
        <v>40127</v>
      </c>
      <c r="N3623">
        <f t="shared" si="132"/>
        <v>10</v>
      </c>
      <c r="O3623">
        <v>16</v>
      </c>
    </row>
    <row r="3624" spans="13:15" x14ac:dyDescent="0.25">
      <c r="M3624" s="5">
        <v>40126</v>
      </c>
      <c r="N3624">
        <f t="shared" si="132"/>
        <v>10</v>
      </c>
      <c r="O3624">
        <v>16</v>
      </c>
    </row>
    <row r="3625" spans="13:15" x14ac:dyDescent="0.25">
      <c r="M3625" s="5">
        <v>40125</v>
      </c>
      <c r="N3625">
        <f t="shared" si="132"/>
        <v>9</v>
      </c>
      <c r="O3625">
        <v>16</v>
      </c>
    </row>
    <row r="3626" spans="13:15" x14ac:dyDescent="0.25">
      <c r="M3626" s="5">
        <v>40124</v>
      </c>
      <c r="N3626">
        <f t="shared" si="132"/>
        <v>9</v>
      </c>
      <c r="O3626">
        <v>16</v>
      </c>
    </row>
    <row r="3627" spans="13:15" x14ac:dyDescent="0.25">
      <c r="M3627" s="5">
        <v>40123</v>
      </c>
      <c r="N3627">
        <f t="shared" si="132"/>
        <v>9</v>
      </c>
      <c r="O3627">
        <v>16</v>
      </c>
    </row>
    <row r="3628" spans="13:15" x14ac:dyDescent="0.25">
      <c r="M3628" s="5">
        <v>40122</v>
      </c>
      <c r="N3628">
        <f t="shared" si="132"/>
        <v>9</v>
      </c>
      <c r="O3628">
        <v>16</v>
      </c>
    </row>
    <row r="3629" spans="13:15" x14ac:dyDescent="0.25">
      <c r="M3629" s="5">
        <v>40121</v>
      </c>
      <c r="N3629">
        <f t="shared" si="132"/>
        <v>9</v>
      </c>
      <c r="O3629">
        <v>16</v>
      </c>
    </row>
    <row r="3630" spans="13:15" x14ac:dyDescent="0.25">
      <c r="M3630" s="5">
        <v>40120</v>
      </c>
      <c r="N3630">
        <f t="shared" si="132"/>
        <v>9</v>
      </c>
      <c r="O3630">
        <v>16</v>
      </c>
    </row>
    <row r="3631" spans="13:15" x14ac:dyDescent="0.25">
      <c r="M3631" s="5">
        <v>40119</v>
      </c>
      <c r="N3631">
        <f t="shared" si="132"/>
        <v>9</v>
      </c>
      <c r="O3631">
        <v>16</v>
      </c>
    </row>
    <row r="3632" spans="13:15" x14ac:dyDescent="0.25">
      <c r="M3632" s="5">
        <v>40118</v>
      </c>
      <c r="N3632">
        <f t="shared" si="132"/>
        <v>8</v>
      </c>
      <c r="O3632">
        <v>16</v>
      </c>
    </row>
    <row r="3633" spans="13:15" x14ac:dyDescent="0.25">
      <c r="M3633" s="5">
        <v>40117</v>
      </c>
      <c r="N3633">
        <f t="shared" si="132"/>
        <v>8</v>
      </c>
      <c r="O3633">
        <v>16</v>
      </c>
    </row>
    <row r="3634" spans="13:15" x14ac:dyDescent="0.25">
      <c r="M3634" s="5">
        <v>40116</v>
      </c>
      <c r="N3634">
        <f t="shared" si="132"/>
        <v>8</v>
      </c>
      <c r="O3634">
        <v>16</v>
      </c>
    </row>
    <row r="3635" spans="13:15" x14ac:dyDescent="0.25">
      <c r="M3635" s="5">
        <v>40115</v>
      </c>
      <c r="N3635">
        <f t="shared" si="132"/>
        <v>8</v>
      </c>
      <c r="O3635">
        <v>16</v>
      </c>
    </row>
    <row r="3636" spans="13:15" x14ac:dyDescent="0.25">
      <c r="M3636" s="5">
        <v>40114</v>
      </c>
      <c r="N3636">
        <f t="shared" si="132"/>
        <v>8</v>
      </c>
      <c r="O3636">
        <v>16</v>
      </c>
    </row>
    <row r="3637" spans="13:15" x14ac:dyDescent="0.25">
      <c r="M3637" s="5">
        <v>40113</v>
      </c>
      <c r="N3637">
        <f t="shared" si="132"/>
        <v>8</v>
      </c>
      <c r="O3637">
        <v>16</v>
      </c>
    </row>
    <row r="3638" spans="13:15" x14ac:dyDescent="0.25">
      <c r="M3638" s="5">
        <v>40112</v>
      </c>
      <c r="N3638">
        <f t="shared" si="132"/>
        <v>8</v>
      </c>
      <c r="O3638">
        <v>16</v>
      </c>
    </row>
    <row r="3639" spans="13:15" x14ac:dyDescent="0.25">
      <c r="M3639" s="5">
        <v>40111</v>
      </c>
      <c r="N3639">
        <f t="shared" si="132"/>
        <v>7</v>
      </c>
      <c r="O3639">
        <v>16</v>
      </c>
    </row>
    <row r="3640" spans="13:15" x14ac:dyDescent="0.25">
      <c r="M3640" s="5">
        <v>40110</v>
      </c>
      <c r="N3640">
        <f t="shared" si="132"/>
        <v>7</v>
      </c>
      <c r="O3640">
        <v>16</v>
      </c>
    </row>
    <row r="3641" spans="13:15" x14ac:dyDescent="0.25">
      <c r="M3641" s="5">
        <v>40109</v>
      </c>
      <c r="N3641">
        <f t="shared" si="132"/>
        <v>7</v>
      </c>
      <c r="O3641">
        <v>16</v>
      </c>
    </row>
    <row r="3642" spans="13:15" x14ac:dyDescent="0.25">
      <c r="M3642" s="5">
        <v>40108</v>
      </c>
      <c r="N3642">
        <f t="shared" si="132"/>
        <v>7</v>
      </c>
      <c r="O3642">
        <v>16</v>
      </c>
    </row>
    <row r="3643" spans="13:15" x14ac:dyDescent="0.25">
      <c r="M3643" s="5">
        <v>40107</v>
      </c>
      <c r="N3643">
        <f t="shared" si="132"/>
        <v>7</v>
      </c>
      <c r="O3643">
        <v>16</v>
      </c>
    </row>
    <row r="3644" spans="13:15" x14ac:dyDescent="0.25">
      <c r="M3644" s="5">
        <v>40106</v>
      </c>
      <c r="N3644">
        <f t="shared" si="132"/>
        <v>7</v>
      </c>
      <c r="O3644">
        <v>16</v>
      </c>
    </row>
    <row r="3645" spans="13:15" x14ac:dyDescent="0.25">
      <c r="M3645" s="5">
        <v>40105</v>
      </c>
      <c r="N3645">
        <f t="shared" si="132"/>
        <v>7</v>
      </c>
      <c r="O3645">
        <v>16</v>
      </c>
    </row>
    <row r="3646" spans="13:15" x14ac:dyDescent="0.25">
      <c r="M3646" s="5">
        <v>40104</v>
      </c>
      <c r="N3646">
        <f t="shared" si="132"/>
        <v>6</v>
      </c>
      <c r="O3646">
        <v>16</v>
      </c>
    </row>
    <row r="3647" spans="13:15" x14ac:dyDescent="0.25">
      <c r="M3647" s="5">
        <v>40103</v>
      </c>
      <c r="N3647">
        <f t="shared" ref="N3647:N3678" si="133">N3640-1</f>
        <v>6</v>
      </c>
      <c r="O3647">
        <v>16</v>
      </c>
    </row>
    <row r="3648" spans="13:15" x14ac:dyDescent="0.25">
      <c r="M3648" s="5">
        <v>40102</v>
      </c>
      <c r="N3648">
        <f t="shared" si="133"/>
        <v>6</v>
      </c>
      <c r="O3648">
        <v>16</v>
      </c>
    </row>
    <row r="3649" spans="13:15" x14ac:dyDescent="0.25">
      <c r="M3649" s="5">
        <v>40101</v>
      </c>
      <c r="N3649">
        <f t="shared" si="133"/>
        <v>6</v>
      </c>
      <c r="O3649">
        <v>16</v>
      </c>
    </row>
    <row r="3650" spans="13:15" x14ac:dyDescent="0.25">
      <c r="M3650" s="5">
        <v>40100</v>
      </c>
      <c r="N3650">
        <f t="shared" si="133"/>
        <v>6</v>
      </c>
      <c r="O3650">
        <v>16</v>
      </c>
    </row>
    <row r="3651" spans="13:15" x14ac:dyDescent="0.25">
      <c r="M3651" s="5">
        <v>40099</v>
      </c>
      <c r="N3651">
        <f t="shared" si="133"/>
        <v>6</v>
      </c>
      <c r="O3651">
        <v>16</v>
      </c>
    </row>
    <row r="3652" spans="13:15" x14ac:dyDescent="0.25">
      <c r="M3652" s="5">
        <v>40098</v>
      </c>
      <c r="N3652">
        <f t="shared" si="133"/>
        <v>6</v>
      </c>
      <c r="O3652">
        <v>16</v>
      </c>
    </row>
    <row r="3653" spans="13:15" x14ac:dyDescent="0.25">
      <c r="M3653" s="5">
        <v>40097</v>
      </c>
      <c r="N3653">
        <f t="shared" si="133"/>
        <v>5</v>
      </c>
      <c r="O3653">
        <v>16</v>
      </c>
    </row>
    <row r="3654" spans="13:15" x14ac:dyDescent="0.25">
      <c r="M3654" s="5">
        <v>40096</v>
      </c>
      <c r="N3654">
        <f t="shared" si="133"/>
        <v>5</v>
      </c>
      <c r="O3654">
        <v>16</v>
      </c>
    </row>
    <row r="3655" spans="13:15" x14ac:dyDescent="0.25">
      <c r="M3655" s="5">
        <v>40095</v>
      </c>
      <c r="N3655">
        <f t="shared" si="133"/>
        <v>5</v>
      </c>
      <c r="O3655">
        <v>16</v>
      </c>
    </row>
    <row r="3656" spans="13:15" x14ac:dyDescent="0.25">
      <c r="M3656" s="5">
        <v>40094</v>
      </c>
      <c r="N3656">
        <f t="shared" si="133"/>
        <v>5</v>
      </c>
      <c r="O3656">
        <v>16</v>
      </c>
    </row>
    <row r="3657" spans="13:15" x14ac:dyDescent="0.25">
      <c r="M3657" s="5">
        <v>40093</v>
      </c>
      <c r="N3657">
        <f t="shared" si="133"/>
        <v>5</v>
      </c>
      <c r="O3657">
        <v>16</v>
      </c>
    </row>
    <row r="3658" spans="13:15" x14ac:dyDescent="0.25">
      <c r="M3658" s="5">
        <v>40092</v>
      </c>
      <c r="N3658">
        <f t="shared" si="133"/>
        <v>5</v>
      </c>
      <c r="O3658">
        <v>16</v>
      </c>
    </row>
    <row r="3659" spans="13:15" x14ac:dyDescent="0.25">
      <c r="M3659" s="5">
        <v>40091</v>
      </c>
      <c r="N3659">
        <f t="shared" si="133"/>
        <v>5</v>
      </c>
      <c r="O3659">
        <v>16</v>
      </c>
    </row>
    <row r="3660" spans="13:15" x14ac:dyDescent="0.25">
      <c r="M3660" s="5">
        <v>40090</v>
      </c>
      <c r="N3660">
        <f t="shared" si="133"/>
        <v>4</v>
      </c>
      <c r="O3660">
        <v>16</v>
      </c>
    </row>
    <row r="3661" spans="13:15" x14ac:dyDescent="0.25">
      <c r="M3661" s="5">
        <v>40089</v>
      </c>
      <c r="N3661">
        <f t="shared" si="133"/>
        <v>4</v>
      </c>
      <c r="O3661">
        <v>16</v>
      </c>
    </row>
    <row r="3662" spans="13:15" x14ac:dyDescent="0.25">
      <c r="M3662" s="5">
        <v>40088</v>
      </c>
      <c r="N3662">
        <f t="shared" si="133"/>
        <v>4</v>
      </c>
      <c r="O3662">
        <v>16</v>
      </c>
    </row>
    <row r="3663" spans="13:15" x14ac:dyDescent="0.25">
      <c r="M3663" s="5">
        <v>40087</v>
      </c>
      <c r="N3663">
        <f t="shared" si="133"/>
        <v>4</v>
      </c>
      <c r="O3663">
        <v>16</v>
      </c>
    </row>
    <row r="3664" spans="13:15" x14ac:dyDescent="0.25">
      <c r="M3664" s="5">
        <v>40086</v>
      </c>
      <c r="N3664">
        <f t="shared" si="133"/>
        <v>4</v>
      </c>
      <c r="O3664">
        <v>16</v>
      </c>
    </row>
    <row r="3665" spans="13:15" x14ac:dyDescent="0.25">
      <c r="M3665" s="5">
        <v>40085</v>
      </c>
      <c r="N3665">
        <f t="shared" si="133"/>
        <v>4</v>
      </c>
      <c r="O3665">
        <v>16</v>
      </c>
    </row>
    <row r="3666" spans="13:15" x14ac:dyDescent="0.25">
      <c r="M3666" s="5">
        <v>40084</v>
      </c>
      <c r="N3666">
        <f t="shared" si="133"/>
        <v>4</v>
      </c>
      <c r="O3666">
        <v>16</v>
      </c>
    </row>
    <row r="3667" spans="13:15" x14ac:dyDescent="0.25">
      <c r="M3667" s="5">
        <v>40083</v>
      </c>
      <c r="N3667">
        <f t="shared" si="133"/>
        <v>3</v>
      </c>
      <c r="O3667">
        <v>16</v>
      </c>
    </row>
    <row r="3668" spans="13:15" x14ac:dyDescent="0.25">
      <c r="M3668" s="5">
        <v>40082</v>
      </c>
      <c r="N3668">
        <f t="shared" si="133"/>
        <v>3</v>
      </c>
      <c r="O3668">
        <v>16</v>
      </c>
    </row>
    <row r="3669" spans="13:15" x14ac:dyDescent="0.25">
      <c r="M3669" s="5">
        <v>40081</v>
      </c>
      <c r="N3669">
        <f t="shared" si="133"/>
        <v>3</v>
      </c>
      <c r="O3669">
        <v>16</v>
      </c>
    </row>
    <row r="3670" spans="13:15" x14ac:dyDescent="0.25">
      <c r="M3670" s="5">
        <v>40080</v>
      </c>
      <c r="N3670">
        <f t="shared" si="133"/>
        <v>3</v>
      </c>
      <c r="O3670">
        <v>16</v>
      </c>
    </row>
    <row r="3671" spans="13:15" x14ac:dyDescent="0.25">
      <c r="M3671" s="5">
        <v>40079</v>
      </c>
      <c r="N3671">
        <f t="shared" si="133"/>
        <v>3</v>
      </c>
      <c r="O3671">
        <v>16</v>
      </c>
    </row>
    <row r="3672" spans="13:15" x14ac:dyDescent="0.25">
      <c r="M3672" s="5">
        <v>40078</v>
      </c>
      <c r="N3672">
        <f t="shared" si="133"/>
        <v>3</v>
      </c>
      <c r="O3672">
        <v>16</v>
      </c>
    </row>
    <row r="3673" spans="13:15" x14ac:dyDescent="0.25">
      <c r="M3673" s="5">
        <v>40077</v>
      </c>
      <c r="N3673">
        <f t="shared" si="133"/>
        <v>3</v>
      </c>
      <c r="O3673">
        <v>16</v>
      </c>
    </row>
    <row r="3674" spans="13:15" x14ac:dyDescent="0.25">
      <c r="M3674" s="5">
        <v>40076</v>
      </c>
      <c r="N3674">
        <f t="shared" si="133"/>
        <v>2</v>
      </c>
      <c r="O3674">
        <v>16</v>
      </c>
    </row>
    <row r="3675" spans="13:15" x14ac:dyDescent="0.25">
      <c r="M3675" s="5">
        <v>40075</v>
      </c>
      <c r="N3675">
        <f t="shared" si="133"/>
        <v>2</v>
      </c>
      <c r="O3675">
        <v>16</v>
      </c>
    </row>
    <row r="3676" spans="13:15" x14ac:dyDescent="0.25">
      <c r="M3676" s="5">
        <v>40074</v>
      </c>
      <c r="N3676">
        <f t="shared" si="133"/>
        <v>2</v>
      </c>
      <c r="O3676">
        <v>16</v>
      </c>
    </row>
    <row r="3677" spans="13:15" x14ac:dyDescent="0.25">
      <c r="M3677" s="5">
        <v>40073</v>
      </c>
      <c r="N3677">
        <f t="shared" si="133"/>
        <v>2</v>
      </c>
      <c r="O3677">
        <v>16</v>
      </c>
    </row>
    <row r="3678" spans="13:15" x14ac:dyDescent="0.25">
      <c r="M3678" s="5">
        <v>40072</v>
      </c>
      <c r="N3678">
        <f t="shared" si="133"/>
        <v>2</v>
      </c>
      <c r="O3678">
        <v>16</v>
      </c>
    </row>
    <row r="3679" spans="13:15" x14ac:dyDescent="0.25">
      <c r="M3679" s="5">
        <v>40071</v>
      </c>
      <c r="N3679">
        <f t="shared" ref="N3679:N3687" si="134">N3672-1</f>
        <v>2</v>
      </c>
      <c r="O3679">
        <v>16</v>
      </c>
    </row>
    <row r="3680" spans="13:15" x14ac:dyDescent="0.25">
      <c r="M3680" s="5">
        <v>40070</v>
      </c>
      <c r="N3680">
        <f t="shared" si="134"/>
        <v>2</v>
      </c>
      <c r="O3680">
        <v>16</v>
      </c>
    </row>
    <row r="3681" spans="13:15" x14ac:dyDescent="0.25">
      <c r="M3681" s="5">
        <v>40069</v>
      </c>
      <c r="N3681">
        <f t="shared" si="134"/>
        <v>1</v>
      </c>
      <c r="O3681">
        <v>16</v>
      </c>
    </row>
    <row r="3682" spans="13:15" x14ac:dyDescent="0.25">
      <c r="M3682" s="5">
        <v>40068</v>
      </c>
      <c r="N3682">
        <f t="shared" si="134"/>
        <v>1</v>
      </c>
      <c r="O3682">
        <v>16</v>
      </c>
    </row>
    <row r="3683" spans="13:15" x14ac:dyDescent="0.25">
      <c r="M3683" s="5">
        <v>40067</v>
      </c>
      <c r="N3683">
        <f t="shared" si="134"/>
        <v>1</v>
      </c>
      <c r="O3683">
        <v>16</v>
      </c>
    </row>
    <row r="3684" spans="13:15" x14ac:dyDescent="0.25">
      <c r="M3684" s="5">
        <v>40066</v>
      </c>
      <c r="N3684">
        <f t="shared" si="134"/>
        <v>1</v>
      </c>
      <c r="O3684">
        <v>16</v>
      </c>
    </row>
    <row r="3685" spans="13:15" x14ac:dyDescent="0.25">
      <c r="M3685" s="5">
        <v>40065</v>
      </c>
      <c r="N3685">
        <f t="shared" si="134"/>
        <v>1</v>
      </c>
      <c r="O3685">
        <v>16</v>
      </c>
    </row>
    <row r="3686" spans="13:15" x14ac:dyDescent="0.25">
      <c r="M3686" s="5">
        <v>40064</v>
      </c>
      <c r="N3686">
        <f t="shared" si="134"/>
        <v>1</v>
      </c>
      <c r="O3686">
        <v>16</v>
      </c>
    </row>
    <row r="3687" spans="13:15" x14ac:dyDescent="0.25">
      <c r="M3687" s="5">
        <v>40063</v>
      </c>
      <c r="N3687">
        <f t="shared" si="134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5">N3688-1</f>
        <v>15</v>
      </c>
      <c r="O3695">
        <v>15</v>
      </c>
    </row>
    <row r="3696" spans="13:15" x14ac:dyDescent="0.25">
      <c r="M3696" s="5">
        <v>40054</v>
      </c>
      <c r="N3696">
        <f t="shared" si="135"/>
        <v>15</v>
      </c>
      <c r="O3696">
        <v>15</v>
      </c>
    </row>
    <row r="3697" spans="13:15" x14ac:dyDescent="0.25">
      <c r="M3697" s="5">
        <v>40053</v>
      </c>
      <c r="N3697">
        <f t="shared" si="135"/>
        <v>15</v>
      </c>
      <c r="O3697">
        <v>15</v>
      </c>
    </row>
    <row r="3698" spans="13:15" x14ac:dyDescent="0.25">
      <c r="M3698" s="5">
        <v>40052</v>
      </c>
      <c r="N3698">
        <f t="shared" si="135"/>
        <v>15</v>
      </c>
      <c r="O3698">
        <v>15</v>
      </c>
    </row>
    <row r="3699" spans="13:15" x14ac:dyDescent="0.25">
      <c r="M3699" s="5">
        <v>40051</v>
      </c>
      <c r="N3699">
        <f t="shared" si="135"/>
        <v>15</v>
      </c>
      <c r="O3699">
        <v>15</v>
      </c>
    </row>
    <row r="3700" spans="13:15" x14ac:dyDescent="0.25">
      <c r="M3700" s="5">
        <v>40050</v>
      </c>
      <c r="N3700">
        <f t="shared" si="135"/>
        <v>15</v>
      </c>
      <c r="O3700">
        <v>15</v>
      </c>
    </row>
    <row r="3701" spans="13:15" x14ac:dyDescent="0.25">
      <c r="M3701" s="5">
        <v>40049</v>
      </c>
      <c r="N3701">
        <f t="shared" si="135"/>
        <v>15</v>
      </c>
      <c r="O3701">
        <v>15</v>
      </c>
    </row>
    <row r="3702" spans="13:15" x14ac:dyDescent="0.25">
      <c r="M3702" s="5">
        <v>40048</v>
      </c>
      <c r="N3702">
        <f t="shared" si="135"/>
        <v>14</v>
      </c>
      <c r="O3702">
        <v>15</v>
      </c>
    </row>
    <row r="3703" spans="13:15" x14ac:dyDescent="0.25">
      <c r="M3703" s="5">
        <v>40047</v>
      </c>
      <c r="N3703">
        <f t="shared" si="135"/>
        <v>14</v>
      </c>
      <c r="O3703">
        <v>15</v>
      </c>
    </row>
    <row r="3704" spans="13:15" x14ac:dyDescent="0.25">
      <c r="M3704" s="5">
        <v>40046</v>
      </c>
      <c r="N3704">
        <f t="shared" si="135"/>
        <v>14</v>
      </c>
      <c r="O3704">
        <v>15</v>
      </c>
    </row>
    <row r="3705" spans="13:15" x14ac:dyDescent="0.25">
      <c r="M3705" s="5">
        <v>40045</v>
      </c>
      <c r="N3705">
        <f t="shared" si="135"/>
        <v>14</v>
      </c>
      <c r="O3705">
        <v>15</v>
      </c>
    </row>
    <row r="3706" spans="13:15" x14ac:dyDescent="0.25">
      <c r="M3706" s="5">
        <v>40044</v>
      </c>
      <c r="N3706">
        <f t="shared" si="135"/>
        <v>14</v>
      </c>
      <c r="O3706">
        <v>15</v>
      </c>
    </row>
    <row r="3707" spans="13:15" x14ac:dyDescent="0.25">
      <c r="M3707" s="5">
        <v>40043</v>
      </c>
      <c r="N3707">
        <f t="shared" si="135"/>
        <v>14</v>
      </c>
      <c r="O3707">
        <v>15</v>
      </c>
    </row>
    <row r="3708" spans="13:15" x14ac:dyDescent="0.25">
      <c r="M3708" s="5">
        <v>40042</v>
      </c>
      <c r="N3708">
        <f t="shared" si="135"/>
        <v>14</v>
      </c>
      <c r="O3708">
        <v>15</v>
      </c>
    </row>
    <row r="3709" spans="13:15" x14ac:dyDescent="0.25">
      <c r="M3709" s="5">
        <v>40041</v>
      </c>
      <c r="N3709">
        <f t="shared" si="135"/>
        <v>13</v>
      </c>
      <c r="O3709">
        <v>15</v>
      </c>
    </row>
    <row r="3710" spans="13:15" x14ac:dyDescent="0.25">
      <c r="M3710" s="5">
        <v>40040</v>
      </c>
      <c r="N3710">
        <f t="shared" si="135"/>
        <v>13</v>
      </c>
      <c r="O3710">
        <v>15</v>
      </c>
    </row>
    <row r="3711" spans="13:15" x14ac:dyDescent="0.25">
      <c r="M3711" s="5">
        <v>40039</v>
      </c>
      <c r="N3711">
        <f t="shared" si="135"/>
        <v>13</v>
      </c>
      <c r="O3711">
        <v>15</v>
      </c>
    </row>
    <row r="3712" spans="13:15" x14ac:dyDescent="0.25">
      <c r="M3712" s="5">
        <v>40038</v>
      </c>
      <c r="N3712">
        <f t="shared" si="135"/>
        <v>13</v>
      </c>
      <c r="O3712">
        <v>15</v>
      </c>
    </row>
    <row r="3713" spans="13:15" x14ac:dyDescent="0.25">
      <c r="M3713" s="5">
        <v>40037</v>
      </c>
      <c r="N3713">
        <f t="shared" si="135"/>
        <v>13</v>
      </c>
      <c r="O3713">
        <v>15</v>
      </c>
    </row>
    <row r="3714" spans="13:15" x14ac:dyDescent="0.25">
      <c r="M3714" s="5">
        <v>40036</v>
      </c>
      <c r="N3714">
        <f t="shared" si="135"/>
        <v>13</v>
      </c>
      <c r="O3714">
        <v>15</v>
      </c>
    </row>
    <row r="3715" spans="13:15" x14ac:dyDescent="0.25">
      <c r="M3715" s="5">
        <v>40035</v>
      </c>
      <c r="N3715">
        <f t="shared" si="135"/>
        <v>13</v>
      </c>
      <c r="O3715">
        <v>15</v>
      </c>
    </row>
    <row r="3716" spans="13:15" x14ac:dyDescent="0.25">
      <c r="M3716" s="5">
        <v>40034</v>
      </c>
      <c r="N3716">
        <f t="shared" si="135"/>
        <v>12</v>
      </c>
      <c r="O3716">
        <v>15</v>
      </c>
    </row>
    <row r="3717" spans="13:15" x14ac:dyDescent="0.25">
      <c r="M3717" s="5">
        <v>40033</v>
      </c>
      <c r="N3717">
        <f t="shared" si="135"/>
        <v>12</v>
      </c>
      <c r="O3717">
        <v>15</v>
      </c>
    </row>
    <row r="3718" spans="13:15" x14ac:dyDescent="0.25">
      <c r="M3718" s="5">
        <v>40032</v>
      </c>
      <c r="N3718">
        <f t="shared" si="135"/>
        <v>12</v>
      </c>
      <c r="O3718">
        <v>15</v>
      </c>
    </row>
    <row r="3719" spans="13:15" x14ac:dyDescent="0.25">
      <c r="M3719" s="5">
        <v>40031</v>
      </c>
      <c r="N3719">
        <f t="shared" si="135"/>
        <v>12</v>
      </c>
      <c r="O3719">
        <v>15</v>
      </c>
    </row>
    <row r="3720" spans="13:15" x14ac:dyDescent="0.25">
      <c r="M3720" s="5">
        <v>40030</v>
      </c>
      <c r="N3720">
        <f t="shared" si="135"/>
        <v>12</v>
      </c>
      <c r="O3720">
        <v>15</v>
      </c>
    </row>
    <row r="3721" spans="13:15" x14ac:dyDescent="0.25">
      <c r="M3721" s="5">
        <v>40029</v>
      </c>
      <c r="N3721">
        <f t="shared" si="135"/>
        <v>12</v>
      </c>
      <c r="O3721">
        <v>15</v>
      </c>
    </row>
    <row r="3722" spans="13:15" x14ac:dyDescent="0.25">
      <c r="M3722" s="5">
        <v>40028</v>
      </c>
      <c r="N3722">
        <f t="shared" si="135"/>
        <v>12</v>
      </c>
      <c r="O3722">
        <v>15</v>
      </c>
    </row>
    <row r="3723" spans="13:15" x14ac:dyDescent="0.25">
      <c r="M3723" s="5">
        <v>40027</v>
      </c>
      <c r="N3723">
        <f t="shared" si="135"/>
        <v>11</v>
      </c>
      <c r="O3723">
        <v>15</v>
      </c>
    </row>
    <row r="3724" spans="13:15" x14ac:dyDescent="0.25">
      <c r="M3724" s="5">
        <v>40026</v>
      </c>
      <c r="N3724">
        <f t="shared" si="135"/>
        <v>11</v>
      </c>
      <c r="O3724">
        <v>15</v>
      </c>
    </row>
    <row r="3725" spans="13:15" x14ac:dyDescent="0.25">
      <c r="M3725" s="5">
        <v>40025</v>
      </c>
      <c r="N3725">
        <f t="shared" si="135"/>
        <v>11</v>
      </c>
      <c r="O3725">
        <v>15</v>
      </c>
    </row>
    <row r="3726" spans="13:15" x14ac:dyDescent="0.25">
      <c r="M3726" s="5">
        <v>40024</v>
      </c>
      <c r="N3726">
        <f t="shared" si="135"/>
        <v>11</v>
      </c>
      <c r="O3726">
        <v>15</v>
      </c>
    </row>
    <row r="3727" spans="13:15" x14ac:dyDescent="0.25">
      <c r="M3727" s="5">
        <v>40023</v>
      </c>
      <c r="N3727">
        <f t="shared" ref="N3727:N3758" si="136">N3720-1</f>
        <v>11</v>
      </c>
      <c r="O3727">
        <v>15</v>
      </c>
    </row>
    <row r="3728" spans="13:15" x14ac:dyDescent="0.25">
      <c r="M3728" s="5">
        <v>40022</v>
      </c>
      <c r="N3728">
        <f t="shared" si="136"/>
        <v>11</v>
      </c>
      <c r="O3728">
        <v>15</v>
      </c>
    </row>
    <row r="3729" spans="13:15" x14ac:dyDescent="0.25">
      <c r="M3729" s="5">
        <v>40021</v>
      </c>
      <c r="N3729">
        <f t="shared" si="136"/>
        <v>11</v>
      </c>
      <c r="O3729">
        <v>15</v>
      </c>
    </row>
    <row r="3730" spans="13:15" x14ac:dyDescent="0.25">
      <c r="M3730" s="5">
        <v>40020</v>
      </c>
      <c r="N3730">
        <f t="shared" si="136"/>
        <v>10</v>
      </c>
      <c r="O3730">
        <v>15</v>
      </c>
    </row>
    <row r="3731" spans="13:15" x14ac:dyDescent="0.25">
      <c r="M3731" s="5">
        <v>40019</v>
      </c>
      <c r="N3731">
        <f t="shared" si="136"/>
        <v>10</v>
      </c>
      <c r="O3731">
        <v>15</v>
      </c>
    </row>
    <row r="3732" spans="13:15" x14ac:dyDescent="0.25">
      <c r="M3732" s="5">
        <v>40018</v>
      </c>
      <c r="N3732">
        <f t="shared" si="136"/>
        <v>10</v>
      </c>
      <c r="O3732">
        <v>15</v>
      </c>
    </row>
    <row r="3733" spans="13:15" x14ac:dyDescent="0.25">
      <c r="M3733" s="5">
        <v>40017</v>
      </c>
      <c r="N3733">
        <f t="shared" si="136"/>
        <v>10</v>
      </c>
      <c r="O3733">
        <v>15</v>
      </c>
    </row>
    <row r="3734" spans="13:15" x14ac:dyDescent="0.25">
      <c r="M3734" s="5">
        <v>40016</v>
      </c>
      <c r="N3734">
        <f t="shared" si="136"/>
        <v>10</v>
      </c>
      <c r="O3734">
        <v>15</v>
      </c>
    </row>
    <row r="3735" spans="13:15" x14ac:dyDescent="0.25">
      <c r="M3735" s="5">
        <v>40015</v>
      </c>
      <c r="N3735">
        <f t="shared" si="136"/>
        <v>10</v>
      </c>
      <c r="O3735">
        <v>15</v>
      </c>
    </row>
    <row r="3736" spans="13:15" x14ac:dyDescent="0.25">
      <c r="M3736" s="5">
        <v>40014</v>
      </c>
      <c r="N3736">
        <f t="shared" si="136"/>
        <v>10</v>
      </c>
      <c r="O3736">
        <v>15</v>
      </c>
    </row>
    <row r="3737" spans="13:15" x14ac:dyDescent="0.25">
      <c r="M3737" s="5">
        <v>40013</v>
      </c>
      <c r="N3737">
        <f t="shared" si="136"/>
        <v>9</v>
      </c>
      <c r="O3737">
        <v>15</v>
      </c>
    </row>
    <row r="3738" spans="13:15" x14ac:dyDescent="0.25">
      <c r="M3738" s="5">
        <v>40012</v>
      </c>
      <c r="N3738">
        <f t="shared" si="136"/>
        <v>9</v>
      </c>
      <c r="O3738">
        <v>15</v>
      </c>
    </row>
    <row r="3739" spans="13:15" x14ac:dyDescent="0.25">
      <c r="M3739" s="5">
        <v>40011</v>
      </c>
      <c r="N3739">
        <f t="shared" si="136"/>
        <v>9</v>
      </c>
      <c r="O3739">
        <v>15</v>
      </c>
    </row>
    <row r="3740" spans="13:15" x14ac:dyDescent="0.25">
      <c r="M3740" s="5">
        <v>40010</v>
      </c>
      <c r="N3740">
        <f t="shared" si="136"/>
        <v>9</v>
      </c>
      <c r="O3740">
        <v>15</v>
      </c>
    </row>
    <row r="3741" spans="13:15" x14ac:dyDescent="0.25">
      <c r="M3741" s="5">
        <v>40009</v>
      </c>
      <c r="N3741">
        <f t="shared" si="136"/>
        <v>9</v>
      </c>
      <c r="O3741">
        <v>15</v>
      </c>
    </row>
    <row r="3742" spans="13:15" x14ac:dyDescent="0.25">
      <c r="M3742" s="5">
        <v>40008</v>
      </c>
      <c r="N3742">
        <f t="shared" si="136"/>
        <v>9</v>
      </c>
      <c r="O3742">
        <v>15</v>
      </c>
    </row>
    <row r="3743" spans="13:15" x14ac:dyDescent="0.25">
      <c r="M3743" s="5">
        <v>40007</v>
      </c>
      <c r="N3743">
        <f t="shared" si="136"/>
        <v>9</v>
      </c>
      <c r="O3743">
        <v>15</v>
      </c>
    </row>
    <row r="3744" spans="13:15" x14ac:dyDescent="0.25">
      <c r="M3744" s="5">
        <v>40006</v>
      </c>
      <c r="N3744">
        <f t="shared" si="136"/>
        <v>8</v>
      </c>
      <c r="O3744">
        <v>15</v>
      </c>
    </row>
    <row r="3745" spans="13:15" x14ac:dyDescent="0.25">
      <c r="M3745" s="5">
        <v>40005</v>
      </c>
      <c r="N3745">
        <f t="shared" si="136"/>
        <v>8</v>
      </c>
      <c r="O3745">
        <v>15</v>
      </c>
    </row>
    <row r="3746" spans="13:15" x14ac:dyDescent="0.25">
      <c r="M3746" s="5">
        <v>40004</v>
      </c>
      <c r="N3746">
        <f t="shared" si="136"/>
        <v>8</v>
      </c>
      <c r="O3746">
        <v>15</v>
      </c>
    </row>
    <row r="3747" spans="13:15" x14ac:dyDescent="0.25">
      <c r="M3747" s="5">
        <v>40003</v>
      </c>
      <c r="N3747">
        <f t="shared" si="136"/>
        <v>8</v>
      </c>
      <c r="O3747">
        <v>15</v>
      </c>
    </row>
    <row r="3748" spans="13:15" x14ac:dyDescent="0.25">
      <c r="M3748" s="5">
        <v>40002</v>
      </c>
      <c r="N3748">
        <f t="shared" si="136"/>
        <v>8</v>
      </c>
      <c r="O3748">
        <v>15</v>
      </c>
    </row>
    <row r="3749" spans="13:15" x14ac:dyDescent="0.25">
      <c r="M3749" s="5">
        <v>40001</v>
      </c>
      <c r="N3749">
        <f t="shared" si="136"/>
        <v>8</v>
      </c>
      <c r="O3749">
        <v>15</v>
      </c>
    </row>
    <row r="3750" spans="13:15" x14ac:dyDescent="0.25">
      <c r="M3750" s="5">
        <v>40000</v>
      </c>
      <c r="N3750">
        <f t="shared" si="136"/>
        <v>8</v>
      </c>
      <c r="O3750">
        <v>15</v>
      </c>
    </row>
    <row r="3751" spans="13:15" x14ac:dyDescent="0.25">
      <c r="M3751" s="5">
        <v>39999</v>
      </c>
      <c r="N3751">
        <f t="shared" si="136"/>
        <v>7</v>
      </c>
      <c r="O3751">
        <v>15</v>
      </c>
    </row>
    <row r="3752" spans="13:15" x14ac:dyDescent="0.25">
      <c r="M3752" s="5">
        <v>39998</v>
      </c>
      <c r="N3752">
        <f t="shared" si="136"/>
        <v>7</v>
      </c>
      <c r="O3752">
        <v>15</v>
      </c>
    </row>
    <row r="3753" spans="13:15" x14ac:dyDescent="0.25">
      <c r="M3753" s="5">
        <v>39997</v>
      </c>
      <c r="N3753">
        <f t="shared" si="136"/>
        <v>7</v>
      </c>
      <c r="O3753">
        <v>15</v>
      </c>
    </row>
    <row r="3754" spans="13:15" x14ac:dyDescent="0.25">
      <c r="M3754" s="5">
        <v>39996</v>
      </c>
      <c r="N3754">
        <f t="shared" si="136"/>
        <v>7</v>
      </c>
      <c r="O3754">
        <v>15</v>
      </c>
    </row>
    <row r="3755" spans="13:15" x14ac:dyDescent="0.25">
      <c r="M3755" s="5">
        <v>39995</v>
      </c>
      <c r="N3755">
        <f t="shared" si="136"/>
        <v>7</v>
      </c>
      <c r="O3755">
        <v>15</v>
      </c>
    </row>
    <row r="3756" spans="13:15" x14ac:dyDescent="0.25">
      <c r="M3756" s="5">
        <v>39994</v>
      </c>
      <c r="N3756">
        <f t="shared" si="136"/>
        <v>7</v>
      </c>
      <c r="O3756">
        <v>15</v>
      </c>
    </row>
    <row r="3757" spans="13:15" x14ac:dyDescent="0.25">
      <c r="M3757" s="5">
        <v>39993</v>
      </c>
      <c r="N3757">
        <f t="shared" si="136"/>
        <v>7</v>
      </c>
      <c r="O3757">
        <v>15</v>
      </c>
    </row>
    <row r="3758" spans="13:15" x14ac:dyDescent="0.25">
      <c r="M3758" s="5">
        <v>39992</v>
      </c>
      <c r="N3758">
        <f t="shared" si="136"/>
        <v>6</v>
      </c>
      <c r="O3758">
        <v>15</v>
      </c>
    </row>
    <row r="3759" spans="13:15" x14ac:dyDescent="0.25">
      <c r="M3759" s="5">
        <v>39991</v>
      </c>
      <c r="N3759">
        <f t="shared" ref="N3759:N3790" si="137">N3752-1</f>
        <v>6</v>
      </c>
      <c r="O3759">
        <v>15</v>
      </c>
    </row>
    <row r="3760" spans="13:15" x14ac:dyDescent="0.25">
      <c r="M3760" s="5">
        <v>39990</v>
      </c>
      <c r="N3760">
        <f t="shared" si="137"/>
        <v>6</v>
      </c>
      <c r="O3760">
        <v>15</v>
      </c>
    </row>
    <row r="3761" spans="13:15" x14ac:dyDescent="0.25">
      <c r="M3761" s="5">
        <v>39989</v>
      </c>
      <c r="N3761">
        <f t="shared" si="137"/>
        <v>6</v>
      </c>
      <c r="O3761">
        <v>15</v>
      </c>
    </row>
    <row r="3762" spans="13:15" x14ac:dyDescent="0.25">
      <c r="M3762" s="5">
        <v>39988</v>
      </c>
      <c r="N3762">
        <f t="shared" si="137"/>
        <v>6</v>
      </c>
      <c r="O3762">
        <v>15</v>
      </c>
    </row>
    <row r="3763" spans="13:15" x14ac:dyDescent="0.25">
      <c r="M3763" s="5">
        <v>39987</v>
      </c>
      <c r="N3763">
        <f t="shared" si="137"/>
        <v>6</v>
      </c>
      <c r="O3763">
        <v>15</v>
      </c>
    </row>
    <row r="3764" spans="13:15" x14ac:dyDescent="0.25">
      <c r="M3764" s="5">
        <v>39986</v>
      </c>
      <c r="N3764">
        <f t="shared" si="137"/>
        <v>6</v>
      </c>
      <c r="O3764">
        <v>15</v>
      </c>
    </row>
    <row r="3765" spans="13:15" x14ac:dyDescent="0.25">
      <c r="M3765" s="5">
        <v>39985</v>
      </c>
      <c r="N3765">
        <f t="shared" si="137"/>
        <v>5</v>
      </c>
      <c r="O3765">
        <v>15</v>
      </c>
    </row>
    <row r="3766" spans="13:15" x14ac:dyDescent="0.25">
      <c r="M3766" s="5">
        <v>39984</v>
      </c>
      <c r="N3766">
        <f t="shared" si="137"/>
        <v>5</v>
      </c>
      <c r="O3766">
        <v>15</v>
      </c>
    </row>
    <row r="3767" spans="13:15" x14ac:dyDescent="0.25">
      <c r="M3767" s="5">
        <v>39983</v>
      </c>
      <c r="N3767">
        <f t="shared" si="137"/>
        <v>5</v>
      </c>
      <c r="O3767">
        <v>15</v>
      </c>
    </row>
    <row r="3768" spans="13:15" x14ac:dyDescent="0.25">
      <c r="M3768" s="5">
        <v>39982</v>
      </c>
      <c r="N3768">
        <f t="shared" si="137"/>
        <v>5</v>
      </c>
      <c r="O3768">
        <v>15</v>
      </c>
    </row>
    <row r="3769" spans="13:15" x14ac:dyDescent="0.25">
      <c r="M3769" s="5">
        <v>39981</v>
      </c>
      <c r="N3769">
        <f t="shared" si="137"/>
        <v>5</v>
      </c>
      <c r="O3769">
        <v>15</v>
      </c>
    </row>
    <row r="3770" spans="13:15" x14ac:dyDescent="0.25">
      <c r="M3770" s="5">
        <v>39980</v>
      </c>
      <c r="N3770">
        <f t="shared" si="137"/>
        <v>5</v>
      </c>
      <c r="O3770">
        <v>15</v>
      </c>
    </row>
    <row r="3771" spans="13:15" x14ac:dyDescent="0.25">
      <c r="M3771" s="5">
        <v>39979</v>
      </c>
      <c r="N3771">
        <f t="shared" si="137"/>
        <v>5</v>
      </c>
      <c r="O3771">
        <v>15</v>
      </c>
    </row>
    <row r="3772" spans="13:15" x14ac:dyDescent="0.25">
      <c r="M3772" s="5">
        <v>39978</v>
      </c>
      <c r="N3772">
        <f t="shared" si="137"/>
        <v>4</v>
      </c>
      <c r="O3772">
        <v>15</v>
      </c>
    </row>
    <row r="3773" spans="13:15" x14ac:dyDescent="0.25">
      <c r="M3773" s="5">
        <v>39977</v>
      </c>
      <c r="N3773">
        <f t="shared" si="137"/>
        <v>4</v>
      </c>
      <c r="O3773">
        <v>15</v>
      </c>
    </row>
    <row r="3774" spans="13:15" x14ac:dyDescent="0.25">
      <c r="M3774" s="5">
        <v>39976</v>
      </c>
      <c r="N3774">
        <f t="shared" si="137"/>
        <v>4</v>
      </c>
      <c r="O3774">
        <v>15</v>
      </c>
    </row>
    <row r="3775" spans="13:15" x14ac:dyDescent="0.25">
      <c r="M3775" s="5">
        <v>39975</v>
      </c>
      <c r="N3775">
        <f t="shared" si="137"/>
        <v>4</v>
      </c>
      <c r="O3775">
        <v>15</v>
      </c>
    </row>
    <row r="3776" spans="13:15" x14ac:dyDescent="0.25">
      <c r="M3776" s="5">
        <v>39974</v>
      </c>
      <c r="N3776">
        <f t="shared" si="137"/>
        <v>4</v>
      </c>
      <c r="O3776">
        <v>15</v>
      </c>
    </row>
    <row r="3777" spans="13:15" x14ac:dyDescent="0.25">
      <c r="M3777" s="5">
        <v>39973</v>
      </c>
      <c r="N3777">
        <f t="shared" si="137"/>
        <v>4</v>
      </c>
      <c r="O3777">
        <v>15</v>
      </c>
    </row>
    <row r="3778" spans="13:15" x14ac:dyDescent="0.25">
      <c r="M3778" s="5">
        <v>39972</v>
      </c>
      <c r="N3778">
        <f t="shared" si="137"/>
        <v>4</v>
      </c>
      <c r="O3778">
        <v>15</v>
      </c>
    </row>
    <row r="3779" spans="13:15" x14ac:dyDescent="0.25">
      <c r="M3779" s="5">
        <v>39971</v>
      </c>
      <c r="N3779">
        <f t="shared" si="137"/>
        <v>3</v>
      </c>
      <c r="O3779">
        <v>15</v>
      </c>
    </row>
    <row r="3780" spans="13:15" x14ac:dyDescent="0.25">
      <c r="M3780" s="5">
        <v>39970</v>
      </c>
      <c r="N3780">
        <f t="shared" si="137"/>
        <v>3</v>
      </c>
      <c r="O3780">
        <v>15</v>
      </c>
    </row>
    <row r="3781" spans="13:15" x14ac:dyDescent="0.25">
      <c r="M3781" s="5">
        <v>39969</v>
      </c>
      <c r="N3781">
        <f t="shared" si="137"/>
        <v>3</v>
      </c>
      <c r="O3781">
        <v>15</v>
      </c>
    </row>
    <row r="3782" spans="13:15" x14ac:dyDescent="0.25">
      <c r="M3782" s="5">
        <v>39968</v>
      </c>
      <c r="N3782">
        <f t="shared" si="137"/>
        <v>3</v>
      </c>
      <c r="O3782">
        <v>15</v>
      </c>
    </row>
    <row r="3783" spans="13:15" x14ac:dyDescent="0.25">
      <c r="M3783" s="5">
        <v>39967</v>
      </c>
      <c r="N3783">
        <f t="shared" si="137"/>
        <v>3</v>
      </c>
      <c r="O3783">
        <v>15</v>
      </c>
    </row>
    <row r="3784" spans="13:15" x14ac:dyDescent="0.25">
      <c r="M3784" s="5">
        <v>39966</v>
      </c>
      <c r="N3784">
        <f t="shared" si="137"/>
        <v>3</v>
      </c>
      <c r="O3784">
        <v>15</v>
      </c>
    </row>
    <row r="3785" spans="13:15" x14ac:dyDescent="0.25">
      <c r="M3785" s="5">
        <v>39965</v>
      </c>
      <c r="N3785">
        <f t="shared" si="137"/>
        <v>3</v>
      </c>
      <c r="O3785">
        <v>15</v>
      </c>
    </row>
    <row r="3786" spans="13:15" x14ac:dyDescent="0.25">
      <c r="M3786" s="5">
        <v>39964</v>
      </c>
      <c r="N3786">
        <f t="shared" si="137"/>
        <v>2</v>
      </c>
      <c r="O3786">
        <v>15</v>
      </c>
    </row>
    <row r="3787" spans="13:15" x14ac:dyDescent="0.25">
      <c r="M3787" s="5">
        <v>39963</v>
      </c>
      <c r="N3787">
        <f t="shared" si="137"/>
        <v>2</v>
      </c>
      <c r="O3787">
        <v>15</v>
      </c>
    </row>
    <row r="3788" spans="13:15" x14ac:dyDescent="0.25">
      <c r="M3788" s="5">
        <v>39962</v>
      </c>
      <c r="N3788">
        <f t="shared" si="137"/>
        <v>2</v>
      </c>
      <c r="O3788">
        <v>15</v>
      </c>
    </row>
    <row r="3789" spans="13:15" x14ac:dyDescent="0.25">
      <c r="M3789" s="5">
        <v>39961</v>
      </c>
      <c r="N3789">
        <f t="shared" si="137"/>
        <v>2</v>
      </c>
      <c r="O3789">
        <v>15</v>
      </c>
    </row>
    <row r="3790" spans="13:15" x14ac:dyDescent="0.25">
      <c r="M3790" s="5">
        <v>39960</v>
      </c>
      <c r="N3790">
        <f t="shared" si="137"/>
        <v>2</v>
      </c>
      <c r="O3790">
        <v>15</v>
      </c>
    </row>
    <row r="3791" spans="13:15" x14ac:dyDescent="0.25">
      <c r="M3791" s="5">
        <v>39959</v>
      </c>
      <c r="N3791">
        <f t="shared" ref="N3791:N3799" si="138">N3784-1</f>
        <v>2</v>
      </c>
      <c r="O3791">
        <v>15</v>
      </c>
    </row>
    <row r="3792" spans="13:15" x14ac:dyDescent="0.25">
      <c r="M3792" s="5">
        <v>39958</v>
      </c>
      <c r="N3792">
        <f t="shared" si="138"/>
        <v>2</v>
      </c>
      <c r="O3792">
        <v>15</v>
      </c>
    </row>
    <row r="3793" spans="13:15" x14ac:dyDescent="0.25">
      <c r="M3793" s="5">
        <v>39957</v>
      </c>
      <c r="N3793">
        <f t="shared" si="138"/>
        <v>1</v>
      </c>
      <c r="O3793">
        <v>15</v>
      </c>
    </row>
    <row r="3794" spans="13:15" x14ac:dyDescent="0.25">
      <c r="M3794" s="5">
        <v>39956</v>
      </c>
      <c r="N3794">
        <f t="shared" si="138"/>
        <v>1</v>
      </c>
      <c r="O3794">
        <v>15</v>
      </c>
    </row>
    <row r="3795" spans="13:15" x14ac:dyDescent="0.25">
      <c r="M3795" s="5">
        <v>39955</v>
      </c>
      <c r="N3795">
        <f t="shared" si="138"/>
        <v>1</v>
      </c>
      <c r="O3795">
        <v>15</v>
      </c>
    </row>
    <row r="3796" spans="13:15" x14ac:dyDescent="0.25">
      <c r="M3796" s="5">
        <v>39954</v>
      </c>
      <c r="N3796">
        <f t="shared" si="138"/>
        <v>1</v>
      </c>
      <c r="O3796">
        <v>15</v>
      </c>
    </row>
    <row r="3797" spans="13:15" x14ac:dyDescent="0.25">
      <c r="M3797" s="5">
        <v>39953</v>
      </c>
      <c r="N3797">
        <f t="shared" si="138"/>
        <v>1</v>
      </c>
      <c r="O3797">
        <v>15</v>
      </c>
    </row>
    <row r="3798" spans="13:15" x14ac:dyDescent="0.25">
      <c r="M3798" s="5">
        <v>39952</v>
      </c>
      <c r="N3798">
        <f t="shared" si="138"/>
        <v>1</v>
      </c>
      <c r="O3798">
        <v>15</v>
      </c>
    </row>
    <row r="3799" spans="13:15" x14ac:dyDescent="0.25">
      <c r="M3799" s="5">
        <v>39951</v>
      </c>
      <c r="N3799">
        <f t="shared" si="138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9">N3800-1</f>
        <v>15</v>
      </c>
      <c r="O3807">
        <v>14</v>
      </c>
    </row>
    <row r="3808" spans="13:15" x14ac:dyDescent="0.25">
      <c r="M3808" s="5">
        <v>39942</v>
      </c>
      <c r="N3808">
        <f t="shared" si="139"/>
        <v>15</v>
      </c>
      <c r="O3808">
        <v>14</v>
      </c>
    </row>
    <row r="3809" spans="13:15" x14ac:dyDescent="0.25">
      <c r="M3809" s="5">
        <v>39941</v>
      </c>
      <c r="N3809">
        <f t="shared" si="139"/>
        <v>15</v>
      </c>
      <c r="O3809">
        <v>14</v>
      </c>
    </row>
    <row r="3810" spans="13:15" x14ac:dyDescent="0.25">
      <c r="M3810" s="5">
        <v>39940</v>
      </c>
      <c r="N3810">
        <f t="shared" si="139"/>
        <v>15</v>
      </c>
      <c r="O3810">
        <v>14</v>
      </c>
    </row>
    <row r="3811" spans="13:15" x14ac:dyDescent="0.25">
      <c r="M3811" s="5">
        <v>39939</v>
      </c>
      <c r="N3811">
        <f t="shared" si="139"/>
        <v>15</v>
      </c>
      <c r="O3811">
        <v>14</v>
      </c>
    </row>
    <row r="3812" spans="13:15" x14ac:dyDescent="0.25">
      <c r="M3812" s="5">
        <v>39938</v>
      </c>
      <c r="N3812">
        <f t="shared" si="139"/>
        <v>15</v>
      </c>
      <c r="O3812">
        <v>14</v>
      </c>
    </row>
    <row r="3813" spans="13:15" x14ac:dyDescent="0.25">
      <c r="M3813" s="5">
        <v>39937</v>
      </c>
      <c r="N3813">
        <f t="shared" si="139"/>
        <v>15</v>
      </c>
      <c r="O3813">
        <v>14</v>
      </c>
    </row>
    <row r="3814" spans="13:15" x14ac:dyDescent="0.25">
      <c r="M3814" s="5">
        <v>39936</v>
      </c>
      <c r="N3814">
        <f t="shared" si="139"/>
        <v>14</v>
      </c>
      <c r="O3814">
        <v>14</v>
      </c>
    </row>
    <row r="3815" spans="13:15" x14ac:dyDescent="0.25">
      <c r="M3815" s="5">
        <v>39935</v>
      </c>
      <c r="N3815">
        <f t="shared" si="139"/>
        <v>14</v>
      </c>
      <c r="O3815">
        <v>14</v>
      </c>
    </row>
    <row r="3816" spans="13:15" x14ac:dyDescent="0.25">
      <c r="M3816" s="5">
        <v>39934</v>
      </c>
      <c r="N3816">
        <f t="shared" si="139"/>
        <v>14</v>
      </c>
      <c r="O3816">
        <v>14</v>
      </c>
    </row>
    <row r="3817" spans="13:15" x14ac:dyDescent="0.25">
      <c r="M3817" s="5">
        <v>39933</v>
      </c>
      <c r="N3817">
        <f t="shared" si="139"/>
        <v>14</v>
      </c>
      <c r="O3817">
        <v>14</v>
      </c>
    </row>
    <row r="3818" spans="13:15" x14ac:dyDescent="0.25">
      <c r="M3818" s="5">
        <v>39932</v>
      </c>
      <c r="N3818">
        <f t="shared" si="139"/>
        <v>14</v>
      </c>
      <c r="O3818">
        <v>14</v>
      </c>
    </row>
    <row r="3819" spans="13:15" x14ac:dyDescent="0.25">
      <c r="M3819" s="5">
        <v>39931</v>
      </c>
      <c r="N3819">
        <f t="shared" si="139"/>
        <v>14</v>
      </c>
      <c r="O3819">
        <v>14</v>
      </c>
    </row>
    <row r="3820" spans="13:15" x14ac:dyDescent="0.25">
      <c r="M3820" s="5">
        <v>39930</v>
      </c>
      <c r="N3820">
        <f t="shared" si="139"/>
        <v>14</v>
      </c>
      <c r="O3820">
        <v>14</v>
      </c>
    </row>
    <row r="3821" spans="13:15" x14ac:dyDescent="0.25">
      <c r="M3821" s="5">
        <v>39929</v>
      </c>
      <c r="N3821">
        <f t="shared" si="139"/>
        <v>13</v>
      </c>
      <c r="O3821">
        <v>14</v>
      </c>
    </row>
    <row r="3822" spans="13:15" x14ac:dyDescent="0.25">
      <c r="M3822" s="5">
        <v>39928</v>
      </c>
      <c r="N3822">
        <f t="shared" si="139"/>
        <v>13</v>
      </c>
      <c r="O3822">
        <v>14</v>
      </c>
    </row>
    <row r="3823" spans="13:15" x14ac:dyDescent="0.25">
      <c r="M3823" s="5">
        <v>39927</v>
      </c>
      <c r="N3823">
        <f t="shared" si="139"/>
        <v>13</v>
      </c>
      <c r="O3823">
        <v>14</v>
      </c>
    </row>
    <row r="3824" spans="13:15" x14ac:dyDescent="0.25">
      <c r="M3824" s="5">
        <v>39926</v>
      </c>
      <c r="N3824">
        <f t="shared" si="139"/>
        <v>13</v>
      </c>
      <c r="O3824">
        <v>14</v>
      </c>
    </row>
    <row r="3825" spans="13:15" x14ac:dyDescent="0.25">
      <c r="M3825" s="5">
        <v>39925</v>
      </c>
      <c r="N3825">
        <f t="shared" si="139"/>
        <v>13</v>
      </c>
      <c r="O3825">
        <v>14</v>
      </c>
    </row>
    <row r="3826" spans="13:15" x14ac:dyDescent="0.25">
      <c r="M3826" s="5">
        <v>39924</v>
      </c>
      <c r="N3826">
        <f t="shared" si="139"/>
        <v>13</v>
      </c>
      <c r="O3826">
        <v>14</v>
      </c>
    </row>
    <row r="3827" spans="13:15" x14ac:dyDescent="0.25">
      <c r="M3827" s="5">
        <v>39923</v>
      </c>
      <c r="N3827">
        <f t="shared" si="139"/>
        <v>13</v>
      </c>
      <c r="O3827">
        <v>14</v>
      </c>
    </row>
    <row r="3828" spans="13:15" x14ac:dyDescent="0.25">
      <c r="M3828" s="5">
        <v>39922</v>
      </c>
      <c r="N3828">
        <f t="shared" si="139"/>
        <v>12</v>
      </c>
      <c r="O3828">
        <v>14</v>
      </c>
    </row>
    <row r="3829" spans="13:15" x14ac:dyDescent="0.25">
      <c r="M3829" s="5">
        <v>39921</v>
      </c>
      <c r="N3829">
        <f t="shared" si="139"/>
        <v>12</v>
      </c>
      <c r="O3829">
        <v>14</v>
      </c>
    </row>
    <row r="3830" spans="13:15" x14ac:dyDescent="0.25">
      <c r="M3830" s="5">
        <v>39920</v>
      </c>
      <c r="N3830">
        <f t="shared" si="139"/>
        <v>12</v>
      </c>
      <c r="O3830">
        <v>14</v>
      </c>
    </row>
    <row r="3831" spans="13:15" x14ac:dyDescent="0.25">
      <c r="M3831" s="5">
        <v>39919</v>
      </c>
      <c r="N3831">
        <f t="shared" si="139"/>
        <v>12</v>
      </c>
      <c r="O3831">
        <v>14</v>
      </c>
    </row>
    <row r="3832" spans="13:15" x14ac:dyDescent="0.25">
      <c r="M3832" s="5">
        <v>39918</v>
      </c>
      <c r="N3832">
        <f t="shared" si="139"/>
        <v>12</v>
      </c>
      <c r="O3832">
        <v>14</v>
      </c>
    </row>
    <row r="3833" spans="13:15" x14ac:dyDescent="0.25">
      <c r="M3833" s="5">
        <v>39917</v>
      </c>
      <c r="N3833">
        <f t="shared" si="139"/>
        <v>12</v>
      </c>
      <c r="O3833">
        <v>14</v>
      </c>
    </row>
    <row r="3834" spans="13:15" x14ac:dyDescent="0.25">
      <c r="M3834" s="5">
        <v>39916</v>
      </c>
      <c r="N3834">
        <f t="shared" si="139"/>
        <v>12</v>
      </c>
      <c r="O3834">
        <v>14</v>
      </c>
    </row>
    <row r="3835" spans="13:15" x14ac:dyDescent="0.25">
      <c r="M3835" s="5">
        <v>39915</v>
      </c>
      <c r="N3835">
        <f t="shared" si="139"/>
        <v>11</v>
      </c>
      <c r="O3835">
        <v>14</v>
      </c>
    </row>
    <row r="3836" spans="13:15" x14ac:dyDescent="0.25">
      <c r="M3836" s="5">
        <v>39914</v>
      </c>
      <c r="N3836">
        <f t="shared" si="139"/>
        <v>11</v>
      </c>
      <c r="O3836">
        <v>14</v>
      </c>
    </row>
    <row r="3837" spans="13:15" x14ac:dyDescent="0.25">
      <c r="M3837" s="5">
        <v>39913</v>
      </c>
      <c r="N3837">
        <f t="shared" si="139"/>
        <v>11</v>
      </c>
      <c r="O3837">
        <v>14</v>
      </c>
    </row>
    <row r="3838" spans="13:15" x14ac:dyDescent="0.25">
      <c r="M3838" s="5">
        <v>39912</v>
      </c>
      <c r="N3838">
        <f t="shared" si="139"/>
        <v>11</v>
      </c>
      <c r="O3838">
        <v>14</v>
      </c>
    </row>
    <row r="3839" spans="13:15" x14ac:dyDescent="0.25">
      <c r="M3839" s="5">
        <v>39911</v>
      </c>
      <c r="N3839">
        <f t="shared" ref="N3839:N3870" si="140">N3832-1</f>
        <v>11</v>
      </c>
      <c r="O3839">
        <v>14</v>
      </c>
    </row>
    <row r="3840" spans="13:15" x14ac:dyDescent="0.25">
      <c r="M3840" s="5">
        <v>39910</v>
      </c>
      <c r="N3840">
        <f t="shared" si="140"/>
        <v>11</v>
      </c>
      <c r="O3840">
        <v>14</v>
      </c>
    </row>
    <row r="3841" spans="13:15" x14ac:dyDescent="0.25">
      <c r="M3841" s="5">
        <v>39909</v>
      </c>
      <c r="N3841">
        <f t="shared" si="140"/>
        <v>11</v>
      </c>
      <c r="O3841">
        <v>14</v>
      </c>
    </row>
    <row r="3842" spans="13:15" x14ac:dyDescent="0.25">
      <c r="M3842" s="5">
        <v>39908</v>
      </c>
      <c r="N3842">
        <f t="shared" si="140"/>
        <v>10</v>
      </c>
      <c r="O3842">
        <v>14</v>
      </c>
    </row>
    <row r="3843" spans="13:15" x14ac:dyDescent="0.25">
      <c r="M3843" s="5">
        <v>39907</v>
      </c>
      <c r="N3843">
        <f t="shared" si="140"/>
        <v>10</v>
      </c>
      <c r="O3843">
        <v>14</v>
      </c>
    </row>
    <row r="3844" spans="13:15" x14ac:dyDescent="0.25">
      <c r="M3844" s="5">
        <v>39906</v>
      </c>
      <c r="N3844">
        <f t="shared" si="140"/>
        <v>10</v>
      </c>
      <c r="O3844">
        <v>14</v>
      </c>
    </row>
    <row r="3845" spans="13:15" x14ac:dyDescent="0.25">
      <c r="M3845" s="5">
        <v>39905</v>
      </c>
      <c r="N3845">
        <f t="shared" si="140"/>
        <v>10</v>
      </c>
      <c r="O3845">
        <v>14</v>
      </c>
    </row>
    <row r="3846" spans="13:15" x14ac:dyDescent="0.25">
      <c r="M3846" s="5">
        <v>39904</v>
      </c>
      <c r="N3846">
        <f t="shared" si="140"/>
        <v>10</v>
      </c>
      <c r="O3846">
        <v>14</v>
      </c>
    </row>
    <row r="3847" spans="13:15" x14ac:dyDescent="0.25">
      <c r="M3847" s="5">
        <v>39903</v>
      </c>
      <c r="N3847">
        <f t="shared" si="140"/>
        <v>10</v>
      </c>
      <c r="O3847">
        <v>14</v>
      </c>
    </row>
    <row r="3848" spans="13:15" x14ac:dyDescent="0.25">
      <c r="M3848" s="5">
        <v>39902</v>
      </c>
      <c r="N3848">
        <f t="shared" si="140"/>
        <v>10</v>
      </c>
      <c r="O3848">
        <v>14</v>
      </c>
    </row>
    <row r="3849" spans="13:15" x14ac:dyDescent="0.25">
      <c r="M3849" s="5">
        <v>39901</v>
      </c>
      <c r="N3849">
        <f t="shared" si="140"/>
        <v>9</v>
      </c>
      <c r="O3849">
        <v>14</v>
      </c>
    </row>
    <row r="3850" spans="13:15" x14ac:dyDescent="0.25">
      <c r="M3850" s="5">
        <v>39900</v>
      </c>
      <c r="N3850">
        <f t="shared" si="140"/>
        <v>9</v>
      </c>
      <c r="O3850">
        <v>14</v>
      </c>
    </row>
    <row r="3851" spans="13:15" x14ac:dyDescent="0.25">
      <c r="M3851" s="5">
        <v>39899</v>
      </c>
      <c r="N3851">
        <f t="shared" si="140"/>
        <v>9</v>
      </c>
      <c r="O3851">
        <v>14</v>
      </c>
    </row>
    <row r="3852" spans="13:15" x14ac:dyDescent="0.25">
      <c r="M3852" s="5">
        <v>39898</v>
      </c>
      <c r="N3852">
        <f t="shared" si="140"/>
        <v>9</v>
      </c>
      <c r="O3852">
        <v>14</v>
      </c>
    </row>
    <row r="3853" spans="13:15" x14ac:dyDescent="0.25">
      <c r="M3853" s="5">
        <v>39897</v>
      </c>
      <c r="N3853">
        <f t="shared" si="140"/>
        <v>9</v>
      </c>
      <c r="O3853">
        <v>14</v>
      </c>
    </row>
    <row r="3854" spans="13:15" x14ac:dyDescent="0.25">
      <c r="M3854" s="5">
        <v>39896</v>
      </c>
      <c r="N3854">
        <f t="shared" si="140"/>
        <v>9</v>
      </c>
      <c r="O3854">
        <v>14</v>
      </c>
    </row>
    <row r="3855" spans="13:15" x14ac:dyDescent="0.25">
      <c r="M3855" s="5">
        <v>39895</v>
      </c>
      <c r="N3855">
        <f t="shared" si="140"/>
        <v>9</v>
      </c>
      <c r="O3855">
        <v>14</v>
      </c>
    </row>
    <row r="3856" spans="13:15" x14ac:dyDescent="0.25">
      <c r="M3856" s="5">
        <v>39894</v>
      </c>
      <c r="N3856">
        <f t="shared" si="140"/>
        <v>8</v>
      </c>
      <c r="O3856">
        <v>14</v>
      </c>
    </row>
    <row r="3857" spans="13:15" x14ac:dyDescent="0.25">
      <c r="M3857" s="5">
        <v>39893</v>
      </c>
      <c r="N3857">
        <f t="shared" si="140"/>
        <v>8</v>
      </c>
      <c r="O3857">
        <v>14</v>
      </c>
    </row>
    <row r="3858" spans="13:15" x14ac:dyDescent="0.25">
      <c r="M3858" s="5">
        <v>39892</v>
      </c>
      <c r="N3858">
        <f t="shared" si="140"/>
        <v>8</v>
      </c>
      <c r="O3858">
        <v>14</v>
      </c>
    </row>
    <row r="3859" spans="13:15" x14ac:dyDescent="0.25">
      <c r="M3859" s="5">
        <v>39891</v>
      </c>
      <c r="N3859">
        <f t="shared" si="140"/>
        <v>8</v>
      </c>
      <c r="O3859">
        <v>14</v>
      </c>
    </row>
    <row r="3860" spans="13:15" x14ac:dyDescent="0.25">
      <c r="M3860" s="5">
        <v>39890</v>
      </c>
      <c r="N3860">
        <f t="shared" si="140"/>
        <v>8</v>
      </c>
      <c r="O3860">
        <v>14</v>
      </c>
    </row>
    <row r="3861" spans="13:15" x14ac:dyDescent="0.25">
      <c r="M3861" s="5">
        <v>39889</v>
      </c>
      <c r="N3861">
        <f t="shared" si="140"/>
        <v>8</v>
      </c>
      <c r="O3861">
        <v>14</v>
      </c>
    </row>
    <row r="3862" spans="13:15" x14ac:dyDescent="0.25">
      <c r="M3862" s="5">
        <v>39888</v>
      </c>
      <c r="N3862">
        <f t="shared" si="140"/>
        <v>8</v>
      </c>
      <c r="O3862">
        <v>14</v>
      </c>
    </row>
    <row r="3863" spans="13:15" x14ac:dyDescent="0.25">
      <c r="M3863" s="5">
        <v>39887</v>
      </c>
      <c r="N3863">
        <f t="shared" si="140"/>
        <v>7</v>
      </c>
      <c r="O3863">
        <v>14</v>
      </c>
    </row>
    <row r="3864" spans="13:15" x14ac:dyDescent="0.25">
      <c r="M3864" s="5">
        <v>39886</v>
      </c>
      <c r="N3864">
        <f t="shared" si="140"/>
        <v>7</v>
      </c>
      <c r="O3864">
        <v>14</v>
      </c>
    </row>
    <row r="3865" spans="13:15" x14ac:dyDescent="0.25">
      <c r="M3865" s="5">
        <v>39885</v>
      </c>
      <c r="N3865">
        <f t="shared" si="140"/>
        <v>7</v>
      </c>
      <c r="O3865">
        <v>14</v>
      </c>
    </row>
    <row r="3866" spans="13:15" x14ac:dyDescent="0.25">
      <c r="M3866" s="5">
        <v>39884</v>
      </c>
      <c r="N3866">
        <f t="shared" si="140"/>
        <v>7</v>
      </c>
      <c r="O3866">
        <v>14</v>
      </c>
    </row>
    <row r="3867" spans="13:15" x14ac:dyDescent="0.25">
      <c r="M3867" s="5">
        <v>39883</v>
      </c>
      <c r="N3867">
        <f t="shared" si="140"/>
        <v>7</v>
      </c>
      <c r="O3867">
        <v>14</v>
      </c>
    </row>
    <row r="3868" spans="13:15" x14ac:dyDescent="0.25">
      <c r="M3868" s="5">
        <v>39882</v>
      </c>
      <c r="N3868">
        <f t="shared" si="140"/>
        <v>7</v>
      </c>
      <c r="O3868">
        <v>14</v>
      </c>
    </row>
    <row r="3869" spans="13:15" x14ac:dyDescent="0.25">
      <c r="M3869" s="5">
        <v>39881</v>
      </c>
      <c r="N3869">
        <f t="shared" si="140"/>
        <v>7</v>
      </c>
      <c r="O3869">
        <v>14</v>
      </c>
    </row>
    <row r="3870" spans="13:15" x14ac:dyDescent="0.25">
      <c r="M3870" s="5">
        <v>39880</v>
      </c>
      <c r="N3870">
        <f t="shared" si="140"/>
        <v>6</v>
      </c>
      <c r="O3870">
        <v>14</v>
      </c>
    </row>
    <row r="3871" spans="13:15" x14ac:dyDescent="0.25">
      <c r="M3871" s="5">
        <v>39879</v>
      </c>
      <c r="N3871">
        <f t="shared" ref="N3871:N3902" si="141">N3864-1</f>
        <v>6</v>
      </c>
      <c r="O3871">
        <v>14</v>
      </c>
    </row>
    <row r="3872" spans="13:15" x14ac:dyDescent="0.25">
      <c r="M3872" s="5">
        <v>39878</v>
      </c>
      <c r="N3872">
        <f t="shared" si="141"/>
        <v>6</v>
      </c>
      <c r="O3872">
        <v>14</v>
      </c>
    </row>
    <row r="3873" spans="13:15" x14ac:dyDescent="0.25">
      <c r="M3873" s="5">
        <v>39877</v>
      </c>
      <c r="N3873">
        <f t="shared" si="141"/>
        <v>6</v>
      </c>
      <c r="O3873">
        <v>14</v>
      </c>
    </row>
    <row r="3874" spans="13:15" x14ac:dyDescent="0.25">
      <c r="M3874" s="5">
        <v>39876</v>
      </c>
      <c r="N3874">
        <f t="shared" si="141"/>
        <v>6</v>
      </c>
      <c r="O3874">
        <v>14</v>
      </c>
    </row>
    <row r="3875" spans="13:15" x14ac:dyDescent="0.25">
      <c r="M3875" s="5">
        <v>39875</v>
      </c>
      <c r="N3875">
        <f t="shared" si="141"/>
        <v>6</v>
      </c>
      <c r="O3875">
        <v>14</v>
      </c>
    </row>
    <row r="3876" spans="13:15" x14ac:dyDescent="0.25">
      <c r="M3876" s="5">
        <v>39874</v>
      </c>
      <c r="N3876">
        <f t="shared" si="141"/>
        <v>6</v>
      </c>
      <c r="O3876">
        <v>14</v>
      </c>
    </row>
    <row r="3877" spans="13:15" x14ac:dyDescent="0.25">
      <c r="M3877" s="5">
        <v>39873</v>
      </c>
      <c r="N3877">
        <f t="shared" si="141"/>
        <v>5</v>
      </c>
      <c r="O3877">
        <v>14</v>
      </c>
    </row>
    <row r="3878" spans="13:15" x14ac:dyDescent="0.25">
      <c r="M3878" s="5">
        <v>39872</v>
      </c>
      <c r="N3878">
        <f t="shared" si="141"/>
        <v>5</v>
      </c>
      <c r="O3878">
        <v>14</v>
      </c>
    </row>
    <row r="3879" spans="13:15" x14ac:dyDescent="0.25">
      <c r="M3879" s="5">
        <v>39871</v>
      </c>
      <c r="N3879">
        <f t="shared" si="141"/>
        <v>5</v>
      </c>
      <c r="O3879">
        <v>14</v>
      </c>
    </row>
    <row r="3880" spans="13:15" x14ac:dyDescent="0.25">
      <c r="M3880" s="5">
        <v>39870</v>
      </c>
      <c r="N3880">
        <f t="shared" si="141"/>
        <v>5</v>
      </c>
      <c r="O3880">
        <v>14</v>
      </c>
    </row>
    <row r="3881" spans="13:15" x14ac:dyDescent="0.25">
      <c r="M3881" s="5">
        <v>39869</v>
      </c>
      <c r="N3881">
        <f t="shared" si="141"/>
        <v>5</v>
      </c>
      <c r="O3881">
        <v>14</v>
      </c>
    </row>
    <row r="3882" spans="13:15" x14ac:dyDescent="0.25">
      <c r="M3882" s="5">
        <v>39868</v>
      </c>
      <c r="N3882">
        <f t="shared" si="141"/>
        <v>5</v>
      </c>
      <c r="O3882">
        <v>14</v>
      </c>
    </row>
    <row r="3883" spans="13:15" x14ac:dyDescent="0.25">
      <c r="M3883" s="5">
        <v>39867</v>
      </c>
      <c r="N3883">
        <f t="shared" si="141"/>
        <v>5</v>
      </c>
      <c r="O3883">
        <v>14</v>
      </c>
    </row>
    <row r="3884" spans="13:15" x14ac:dyDescent="0.25">
      <c r="M3884" s="5">
        <v>39866</v>
      </c>
      <c r="N3884">
        <f t="shared" si="141"/>
        <v>4</v>
      </c>
      <c r="O3884">
        <v>14</v>
      </c>
    </row>
    <row r="3885" spans="13:15" x14ac:dyDescent="0.25">
      <c r="M3885" s="5">
        <v>39865</v>
      </c>
      <c r="N3885">
        <f t="shared" si="141"/>
        <v>4</v>
      </c>
      <c r="O3885">
        <v>14</v>
      </c>
    </row>
    <row r="3886" spans="13:15" x14ac:dyDescent="0.25">
      <c r="M3886" s="5">
        <v>39864</v>
      </c>
      <c r="N3886">
        <f t="shared" si="141"/>
        <v>4</v>
      </c>
      <c r="O3886">
        <v>14</v>
      </c>
    </row>
    <row r="3887" spans="13:15" x14ac:dyDescent="0.25">
      <c r="M3887" s="5">
        <v>39863</v>
      </c>
      <c r="N3887">
        <f t="shared" si="141"/>
        <v>4</v>
      </c>
      <c r="O3887">
        <v>14</v>
      </c>
    </row>
    <row r="3888" spans="13:15" x14ac:dyDescent="0.25">
      <c r="M3888" s="5">
        <v>39862</v>
      </c>
      <c r="N3888">
        <f t="shared" si="141"/>
        <v>4</v>
      </c>
      <c r="O3888">
        <v>14</v>
      </c>
    </row>
    <row r="3889" spans="13:15" x14ac:dyDescent="0.25">
      <c r="M3889" s="5">
        <v>39861</v>
      </c>
      <c r="N3889">
        <f t="shared" si="141"/>
        <v>4</v>
      </c>
      <c r="O3889">
        <v>14</v>
      </c>
    </row>
    <row r="3890" spans="13:15" x14ac:dyDescent="0.25">
      <c r="M3890" s="5">
        <v>39860</v>
      </c>
      <c r="N3890">
        <f t="shared" si="141"/>
        <v>4</v>
      </c>
      <c r="O3890">
        <v>14</v>
      </c>
    </row>
    <row r="3891" spans="13:15" x14ac:dyDescent="0.25">
      <c r="M3891" s="5">
        <v>39859</v>
      </c>
      <c r="N3891">
        <f t="shared" si="141"/>
        <v>3</v>
      </c>
      <c r="O3891">
        <v>14</v>
      </c>
    </row>
    <row r="3892" spans="13:15" x14ac:dyDescent="0.25">
      <c r="M3892" s="5">
        <v>39858</v>
      </c>
      <c r="N3892">
        <f t="shared" si="141"/>
        <v>3</v>
      </c>
      <c r="O3892">
        <v>14</v>
      </c>
    </row>
    <row r="3893" spans="13:15" x14ac:dyDescent="0.25">
      <c r="M3893" s="5">
        <v>39857</v>
      </c>
      <c r="N3893">
        <f t="shared" si="141"/>
        <v>3</v>
      </c>
      <c r="O3893">
        <v>14</v>
      </c>
    </row>
    <row r="3894" spans="13:15" x14ac:dyDescent="0.25">
      <c r="M3894" s="5">
        <v>39856</v>
      </c>
      <c r="N3894">
        <f t="shared" si="141"/>
        <v>3</v>
      </c>
      <c r="O3894">
        <v>14</v>
      </c>
    </row>
    <row r="3895" spans="13:15" x14ac:dyDescent="0.25">
      <c r="M3895" s="5">
        <v>39855</v>
      </c>
      <c r="N3895">
        <f t="shared" si="141"/>
        <v>3</v>
      </c>
      <c r="O3895">
        <v>14</v>
      </c>
    </row>
    <row r="3896" spans="13:15" x14ac:dyDescent="0.25">
      <c r="M3896" s="5">
        <v>39854</v>
      </c>
      <c r="N3896">
        <f t="shared" si="141"/>
        <v>3</v>
      </c>
      <c r="O3896">
        <v>14</v>
      </c>
    </row>
    <row r="3897" spans="13:15" x14ac:dyDescent="0.25">
      <c r="M3897" s="5">
        <v>39853</v>
      </c>
      <c r="N3897">
        <f t="shared" si="141"/>
        <v>3</v>
      </c>
      <c r="O3897">
        <v>14</v>
      </c>
    </row>
    <row r="3898" spans="13:15" x14ac:dyDescent="0.25">
      <c r="M3898" s="5">
        <v>39852</v>
      </c>
      <c r="N3898">
        <f t="shared" si="141"/>
        <v>2</v>
      </c>
      <c r="O3898">
        <v>14</v>
      </c>
    </row>
    <row r="3899" spans="13:15" x14ac:dyDescent="0.25">
      <c r="M3899" s="5">
        <v>39851</v>
      </c>
      <c r="N3899">
        <f t="shared" si="141"/>
        <v>2</v>
      </c>
      <c r="O3899">
        <v>14</v>
      </c>
    </row>
    <row r="3900" spans="13:15" x14ac:dyDescent="0.25">
      <c r="M3900" s="5">
        <v>39850</v>
      </c>
      <c r="N3900">
        <f t="shared" si="141"/>
        <v>2</v>
      </c>
      <c r="O3900">
        <v>14</v>
      </c>
    </row>
    <row r="3901" spans="13:15" x14ac:dyDescent="0.25">
      <c r="M3901" s="5">
        <v>39849</v>
      </c>
      <c r="N3901">
        <f t="shared" si="141"/>
        <v>2</v>
      </c>
      <c r="O3901">
        <v>14</v>
      </c>
    </row>
    <row r="3902" spans="13:15" x14ac:dyDescent="0.25">
      <c r="M3902" s="5">
        <v>39848</v>
      </c>
      <c r="N3902">
        <f t="shared" si="141"/>
        <v>2</v>
      </c>
      <c r="O3902">
        <v>14</v>
      </c>
    </row>
    <row r="3903" spans="13:15" x14ac:dyDescent="0.25">
      <c r="M3903" s="5">
        <v>39847</v>
      </c>
      <c r="N3903">
        <f t="shared" ref="N3903:N3911" si="142">N3896-1</f>
        <v>2</v>
      </c>
      <c r="O3903">
        <v>14</v>
      </c>
    </row>
    <row r="3904" spans="13:15" x14ac:dyDescent="0.25">
      <c r="M3904" s="5">
        <v>39846</v>
      </c>
      <c r="N3904">
        <f t="shared" si="142"/>
        <v>2</v>
      </c>
      <c r="O3904">
        <v>14</v>
      </c>
    </row>
    <row r="3905" spans="13:15" x14ac:dyDescent="0.25">
      <c r="M3905" s="5">
        <v>39845</v>
      </c>
      <c r="N3905">
        <f t="shared" si="142"/>
        <v>1</v>
      </c>
      <c r="O3905">
        <v>14</v>
      </c>
    </row>
    <row r="3906" spans="13:15" x14ac:dyDescent="0.25">
      <c r="M3906" s="5">
        <v>39844</v>
      </c>
      <c r="N3906">
        <f t="shared" si="142"/>
        <v>1</v>
      </c>
      <c r="O3906">
        <v>14</v>
      </c>
    </row>
    <row r="3907" spans="13:15" x14ac:dyDescent="0.25">
      <c r="M3907" s="5">
        <v>39843</v>
      </c>
      <c r="N3907">
        <f t="shared" si="142"/>
        <v>1</v>
      </c>
      <c r="O3907">
        <v>14</v>
      </c>
    </row>
    <row r="3908" spans="13:15" x14ac:dyDescent="0.25">
      <c r="M3908" s="5">
        <v>39842</v>
      </c>
      <c r="N3908">
        <f t="shared" si="142"/>
        <v>1</v>
      </c>
      <c r="O3908">
        <v>14</v>
      </c>
    </row>
    <row r="3909" spans="13:15" x14ac:dyDescent="0.25">
      <c r="M3909" s="5">
        <v>39841</v>
      </c>
      <c r="N3909">
        <f t="shared" si="142"/>
        <v>1</v>
      </c>
      <c r="O3909">
        <v>14</v>
      </c>
    </row>
    <row r="3910" spans="13:15" x14ac:dyDescent="0.25">
      <c r="M3910" s="5">
        <v>39840</v>
      </c>
      <c r="N3910">
        <f t="shared" si="142"/>
        <v>1</v>
      </c>
      <c r="O3910">
        <v>14</v>
      </c>
    </row>
    <row r="3911" spans="13:15" x14ac:dyDescent="0.25">
      <c r="M3911" s="5">
        <v>39839</v>
      </c>
      <c r="N3911">
        <f t="shared" si="142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3">N3912-1</f>
        <v>15</v>
      </c>
      <c r="O3919">
        <v>13</v>
      </c>
    </row>
    <row r="3920" spans="13:15" x14ac:dyDescent="0.25">
      <c r="M3920" s="5">
        <v>39830</v>
      </c>
      <c r="N3920">
        <f t="shared" si="143"/>
        <v>15</v>
      </c>
      <c r="O3920">
        <v>13</v>
      </c>
    </row>
    <row r="3921" spans="13:15" x14ac:dyDescent="0.25">
      <c r="M3921" s="5">
        <v>39829</v>
      </c>
      <c r="N3921">
        <f t="shared" si="143"/>
        <v>15</v>
      </c>
      <c r="O3921">
        <v>13</v>
      </c>
    </row>
    <row r="3922" spans="13:15" x14ac:dyDescent="0.25">
      <c r="M3922" s="5">
        <v>39828</v>
      </c>
      <c r="N3922">
        <f t="shared" si="143"/>
        <v>15</v>
      </c>
      <c r="O3922">
        <v>13</v>
      </c>
    </row>
    <row r="3923" spans="13:15" x14ac:dyDescent="0.25">
      <c r="M3923" s="5">
        <v>39827</v>
      </c>
      <c r="N3923">
        <f t="shared" si="143"/>
        <v>15</v>
      </c>
      <c r="O3923">
        <v>13</v>
      </c>
    </row>
    <row r="3924" spans="13:15" x14ac:dyDescent="0.25">
      <c r="M3924" s="5">
        <v>39826</v>
      </c>
      <c r="N3924">
        <f t="shared" si="143"/>
        <v>15</v>
      </c>
      <c r="O3924">
        <v>13</v>
      </c>
    </row>
    <row r="3925" spans="13:15" x14ac:dyDescent="0.25">
      <c r="M3925" s="5">
        <v>39825</v>
      </c>
      <c r="N3925">
        <f t="shared" si="143"/>
        <v>15</v>
      </c>
      <c r="O3925">
        <v>13</v>
      </c>
    </row>
    <row r="3926" spans="13:15" x14ac:dyDescent="0.25">
      <c r="M3926" s="5">
        <v>39824</v>
      </c>
      <c r="N3926">
        <f t="shared" si="143"/>
        <v>14</v>
      </c>
      <c r="O3926">
        <v>13</v>
      </c>
    </row>
    <row r="3927" spans="13:15" x14ac:dyDescent="0.25">
      <c r="M3927" s="5">
        <v>39823</v>
      </c>
      <c r="N3927">
        <f t="shared" si="143"/>
        <v>14</v>
      </c>
      <c r="O3927">
        <v>13</v>
      </c>
    </row>
    <row r="3928" spans="13:15" x14ac:dyDescent="0.25">
      <c r="M3928" s="5">
        <v>39822</v>
      </c>
      <c r="N3928">
        <f t="shared" si="143"/>
        <v>14</v>
      </c>
      <c r="O3928">
        <v>13</v>
      </c>
    </row>
    <row r="3929" spans="13:15" x14ac:dyDescent="0.25">
      <c r="M3929" s="5">
        <v>39821</v>
      </c>
      <c r="N3929">
        <f t="shared" si="143"/>
        <v>14</v>
      </c>
      <c r="O3929">
        <v>13</v>
      </c>
    </row>
    <row r="3930" spans="13:15" x14ac:dyDescent="0.25">
      <c r="M3930" s="5">
        <v>39820</v>
      </c>
      <c r="N3930">
        <f t="shared" si="143"/>
        <v>14</v>
      </c>
      <c r="O3930">
        <v>13</v>
      </c>
    </row>
    <row r="3931" spans="13:15" x14ac:dyDescent="0.25">
      <c r="M3931" s="5">
        <v>39819</v>
      </c>
      <c r="N3931">
        <f t="shared" si="143"/>
        <v>14</v>
      </c>
      <c r="O3931">
        <v>13</v>
      </c>
    </row>
    <row r="3932" spans="13:15" x14ac:dyDescent="0.25">
      <c r="M3932" s="5">
        <v>39818</v>
      </c>
      <c r="N3932">
        <f t="shared" si="143"/>
        <v>14</v>
      </c>
      <c r="O3932">
        <v>13</v>
      </c>
    </row>
    <row r="3933" spans="13:15" x14ac:dyDescent="0.25">
      <c r="M3933" s="5">
        <v>39817</v>
      </c>
      <c r="N3933">
        <f t="shared" si="143"/>
        <v>13</v>
      </c>
      <c r="O3933">
        <v>13</v>
      </c>
    </row>
    <row r="3934" spans="13:15" x14ac:dyDescent="0.25">
      <c r="M3934" s="5">
        <v>39816</v>
      </c>
      <c r="N3934">
        <f t="shared" si="143"/>
        <v>13</v>
      </c>
      <c r="O3934">
        <v>13</v>
      </c>
    </row>
    <row r="3935" spans="13:15" x14ac:dyDescent="0.25">
      <c r="M3935" s="5">
        <v>39815</v>
      </c>
      <c r="N3935">
        <f t="shared" si="143"/>
        <v>13</v>
      </c>
      <c r="O3935">
        <v>13</v>
      </c>
    </row>
    <row r="3936" spans="13:15" x14ac:dyDescent="0.25">
      <c r="M3936" s="5">
        <v>39814</v>
      </c>
      <c r="N3936">
        <f t="shared" si="143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18" t="s">
        <v>49</v>
      </c>
      <c r="B3" s="319" t="s">
        <v>50</v>
      </c>
      <c r="C3" s="319" t="s">
        <v>51</v>
      </c>
      <c r="D3" s="319" t="s">
        <v>52</v>
      </c>
      <c r="E3" s="319" t="s">
        <v>55</v>
      </c>
      <c r="F3" s="319" t="s">
        <v>60</v>
      </c>
      <c r="G3" s="319" t="s">
        <v>68</v>
      </c>
      <c r="H3" s="319" t="s">
        <v>69</v>
      </c>
      <c r="I3" s="319" t="s">
        <v>70</v>
      </c>
      <c r="J3" s="319" t="s">
        <v>71</v>
      </c>
      <c r="K3" s="319" t="s">
        <v>72</v>
      </c>
      <c r="L3" s="319" t="s">
        <v>73</v>
      </c>
      <c r="M3" s="319" t="s">
        <v>52</v>
      </c>
      <c r="N3" s="320" t="s">
        <v>158</v>
      </c>
      <c r="O3" s="321" t="s">
        <v>391</v>
      </c>
      <c r="P3" s="321" t="s">
        <v>392</v>
      </c>
      <c r="Q3" s="321" t="s">
        <v>393</v>
      </c>
      <c r="R3" s="321" t="s">
        <v>394</v>
      </c>
      <c r="S3" s="321" t="s">
        <v>395</v>
      </c>
      <c r="T3" s="321" t="s">
        <v>396</v>
      </c>
      <c r="U3" s="321" t="s">
        <v>397</v>
      </c>
      <c r="V3" s="321" t="s">
        <v>85</v>
      </c>
    </row>
    <row r="4" spans="1:22" x14ac:dyDescent="0.25">
      <c r="A4" t="str">
        <f>PLANTILLA!D4</f>
        <v>E. Tarrida</v>
      </c>
      <c r="B4">
        <f>PLANTILLA!E4</f>
        <v>23</v>
      </c>
      <c r="C4" s="299">
        <f ca="1">PLANTILLA!F4</f>
        <v>79</v>
      </c>
      <c r="D4" t="str">
        <f>PLANTILLA!G4</f>
        <v>RAP</v>
      </c>
      <c r="E4" s="76">
        <f>PLANTILLA!J4</f>
        <v>1.0278026821895256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4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2">
        <f t="shared" ref="O4:Q5" si="0">$N4*O$2</f>
        <v>8.5285714285714284E-2</v>
      </c>
      <c r="P4" s="322">
        <f t="shared" si="0"/>
        <v>0.12371428571428571</v>
      </c>
      <c r="Q4" s="322">
        <f t="shared" si="0"/>
        <v>8.5285714285714284E-2</v>
      </c>
      <c r="V4" s="323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26</v>
      </c>
      <c r="C5" s="299">
        <f ca="1">PLANTILLA!F5</f>
        <v>70</v>
      </c>
      <c r="D5" t="str">
        <f>PLANTILLA!G5</f>
        <v>CAB</v>
      </c>
      <c r="E5" s="76">
        <f>PLANTILLA!J5</f>
        <v>0.8309990538638673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2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2">
        <f t="shared" si="0"/>
        <v>9.1846153846153841E-2</v>
      </c>
      <c r="P5" s="322">
        <f t="shared" si="0"/>
        <v>0.13323076923076924</v>
      </c>
      <c r="Q5" s="322">
        <f t="shared" si="0"/>
        <v>9.1846153846153841E-2</v>
      </c>
      <c r="V5" s="323">
        <f>Q5+P5+O5</f>
        <v>0.31692307692307692</v>
      </c>
    </row>
    <row r="6" spans="1:22" x14ac:dyDescent="0.25">
      <c r="A6" t="str">
        <f>PLANTILLA!D7</f>
        <v>D. Juliol</v>
      </c>
      <c r="B6">
        <f>PLANTILLA!E7</f>
        <v>20</v>
      </c>
      <c r="C6" s="299">
        <f ca="1">PLANTILLA!F7</f>
        <v>24</v>
      </c>
      <c r="D6">
        <f>PLANTILLA!G7</f>
        <v>0</v>
      </c>
      <c r="E6" s="76">
        <f>PLANTILLA!J7</f>
        <v>0.80274665510394982</v>
      </c>
      <c r="F6" s="74">
        <f>PLANTILLA!O7</f>
        <v>1.5</v>
      </c>
      <c r="G6" s="74">
        <f>PLANTILLA!W7</f>
        <v>1</v>
      </c>
      <c r="H6" s="74">
        <f>PLANTILLA!X7</f>
        <v>5</v>
      </c>
      <c r="I6" s="74">
        <f>PLANTILLA!Y7</f>
        <v>7.2</v>
      </c>
      <c r="J6" s="74">
        <f>PLANTILLA!Z7</f>
        <v>5</v>
      </c>
      <c r="K6" s="74">
        <f>PLANTILLA!AA7</f>
        <v>2</v>
      </c>
      <c r="L6" s="74">
        <f>PLANTILLA!AB7</f>
        <v>6.25</v>
      </c>
      <c r="M6" s="74">
        <f>PLANTILLA!AC7</f>
        <v>1</v>
      </c>
      <c r="N6" s="76"/>
      <c r="V6" s="9"/>
    </row>
    <row r="7" spans="1:22" x14ac:dyDescent="0.25">
      <c r="A7" t="str">
        <f>PLANTILLA!D6</f>
        <v>M. Teixé</v>
      </c>
      <c r="B7">
        <f>PLANTILLA!E6</f>
        <v>31</v>
      </c>
      <c r="C7" s="299">
        <f ca="1">PLANTILLA!F6</f>
        <v>108</v>
      </c>
      <c r="D7">
        <f>PLANTILLA!G6</f>
        <v>0</v>
      </c>
      <c r="E7" s="76">
        <f>PLANTILLA!J6</f>
        <v>1.1267973866856758</v>
      </c>
      <c r="F7" s="74">
        <f>PLANTILLA!O6</f>
        <v>1.5</v>
      </c>
      <c r="G7" s="74">
        <f>PLANTILLA!W6</f>
        <v>0</v>
      </c>
      <c r="H7" s="74">
        <f>PLANTILLA!X6</f>
        <v>6</v>
      </c>
      <c r="I7" s="74">
        <f>PLANTILLA!Y6</f>
        <v>3.2</v>
      </c>
      <c r="J7" s="74">
        <f>PLANTILLA!Z6</f>
        <v>5</v>
      </c>
      <c r="K7" s="74">
        <f>PLANTILLA!AA6</f>
        <v>3</v>
      </c>
      <c r="L7" s="74">
        <f>PLANTILLA!AB6</f>
        <v>2</v>
      </c>
      <c r="M7" s="74">
        <f>PLANTILLA!AC6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299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PLANTILLA!D14</f>
        <v>B. Corominola</v>
      </c>
      <c r="B9">
        <f>PLANTILLA!E14</f>
        <v>21</v>
      </c>
      <c r="C9" s="299">
        <f ca="1">PLANTILLA!F14</f>
        <v>54</v>
      </c>
      <c r="D9" t="str">
        <f>PLANTILLA!G14</f>
        <v>RAP</v>
      </c>
      <c r="E9" s="76">
        <f>PLANTILLA!J14</f>
        <v>0.90832164983411623</v>
      </c>
      <c r="F9" s="74">
        <f>PLANTILLA!O14</f>
        <v>1.5</v>
      </c>
      <c r="G9" s="74">
        <f>PLANTILLA!W14</f>
        <v>0</v>
      </c>
      <c r="H9" s="74">
        <f>PLANTILLA!X14</f>
        <v>6</v>
      </c>
      <c r="I9" s="74">
        <f>PLANTILLA!Y14</f>
        <v>10.857142857142858</v>
      </c>
      <c r="J9" s="74">
        <f>PLANTILLA!Z14</f>
        <v>2</v>
      </c>
      <c r="K9" s="74">
        <f>PLANTILLA!AA14</f>
        <v>6.25</v>
      </c>
      <c r="L9" s="74">
        <f>PLANTILLA!AB14</f>
        <v>7</v>
      </c>
      <c r="M9" s="74">
        <f>PLANTILLA!AC14</f>
        <v>1</v>
      </c>
      <c r="N9" s="76"/>
      <c r="V9" s="9"/>
    </row>
    <row r="10" spans="1:22" x14ac:dyDescent="0.25">
      <c r="A10" t="str">
        <f>PLANTILLA!D10</f>
        <v>G. Durand</v>
      </c>
      <c r="B10">
        <f>PLANTILLA!E10</f>
        <v>20</v>
      </c>
      <c r="C10" s="299">
        <f ca="1">PLANTILLA!F10</f>
        <v>94</v>
      </c>
      <c r="D10" t="str">
        <f>PLANTILLA!G10</f>
        <v>IMP</v>
      </c>
      <c r="E10" s="76">
        <f>PLANTILLA!J10</f>
        <v>0.72542405913370089</v>
      </c>
      <c r="F10" s="74">
        <f>PLANTILLA!O10</f>
        <v>1.5</v>
      </c>
      <c r="G10" s="74">
        <f>PLANTILLA!W10</f>
        <v>0</v>
      </c>
      <c r="H10" s="74">
        <f>PLANTILLA!X10</f>
        <v>5</v>
      </c>
      <c r="I10" s="74">
        <f>PLANTILLA!Y10</f>
        <v>9.2857142857142865</v>
      </c>
      <c r="J10" s="74">
        <f>PLANTILLA!Z10</f>
        <v>2</v>
      </c>
      <c r="K10" s="74">
        <f>PLANTILLA!AA10</f>
        <v>3</v>
      </c>
      <c r="L10" s="74">
        <f>PLANTILLA!AB10</f>
        <v>4</v>
      </c>
      <c r="M10" s="74">
        <f>PLANTILLA!AC10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299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PLANTILLA!D8</f>
        <v>J-L. Grellier</v>
      </c>
      <c r="B12">
        <f>PLANTILLA!E8</f>
        <v>33</v>
      </c>
      <c r="C12" s="299">
        <f ca="1">PLANTILLA!F8</f>
        <v>111</v>
      </c>
      <c r="D12">
        <f>PLANTILLA!G8</f>
        <v>0</v>
      </c>
      <c r="E12" s="76">
        <f>PLANTILLA!J8</f>
        <v>1.1894594702539738</v>
      </c>
      <c r="F12" s="74">
        <f>PLANTILLA!O8</f>
        <v>1.5</v>
      </c>
      <c r="G12" s="74">
        <f>PLANTILLA!W8</f>
        <v>0</v>
      </c>
      <c r="H12" s="74">
        <f>PLANTILLA!X8</f>
        <v>5</v>
      </c>
      <c r="I12" s="74">
        <f>PLANTILLA!Y8</f>
        <v>5</v>
      </c>
      <c r="J12" s="74">
        <f>PLANTILLA!Z8</f>
        <v>1</v>
      </c>
      <c r="K12" s="74">
        <f>PLANTILLA!AA8</f>
        <v>0</v>
      </c>
      <c r="L12" s="74">
        <f>PLANTILLA!AB8</f>
        <v>1</v>
      </c>
      <c r="M12" s="74">
        <f>PLANTILLA!AC8</f>
        <v>3</v>
      </c>
      <c r="N12" s="76"/>
      <c r="V12" s="9"/>
    </row>
    <row r="13" spans="1:22" x14ac:dyDescent="0.25">
      <c r="A13" t="str">
        <f>PLANTILLA!D15</f>
        <v>T. Orozco</v>
      </c>
      <c r="B13">
        <f>PLANTILLA!E15</f>
        <v>21</v>
      </c>
      <c r="C13" s="299">
        <f ca="1">PLANTILLA!F15</f>
        <v>87</v>
      </c>
      <c r="D13" t="str">
        <f>PLANTILLA!G15</f>
        <v>CAB</v>
      </c>
      <c r="E13" s="76">
        <f>PLANTILLA!J15</f>
        <v>0.8836771089087655</v>
      </c>
      <c r="F13" s="74">
        <f>PLANTILLA!O15</f>
        <v>1.5</v>
      </c>
      <c r="G13" s="74">
        <f>PLANTILLA!W15</f>
        <v>1</v>
      </c>
      <c r="H13" s="74">
        <f>PLANTILLA!X15</f>
        <v>6</v>
      </c>
      <c r="I13" s="74">
        <f>PLANTILLA!Y15</f>
        <v>11.125</v>
      </c>
      <c r="J13" s="74">
        <f>PLANTILLA!Z15</f>
        <v>3</v>
      </c>
      <c r="K13" s="74">
        <f>PLANTILLA!AA15</f>
        <v>5</v>
      </c>
      <c r="L13" s="74">
        <f>PLANTILLA!AB15</f>
        <v>6.5</v>
      </c>
      <c r="M13" s="74">
        <f>PLANTILLA!AC15</f>
        <v>2</v>
      </c>
      <c r="N13" s="76"/>
      <c r="V13" s="9"/>
    </row>
    <row r="14" spans="1:22" x14ac:dyDescent="0.25">
      <c r="A14" t="str">
        <f>PLANTILLA!D16</f>
        <v>T. Lebon</v>
      </c>
      <c r="B14">
        <f>PLANTILLA!E16</f>
        <v>20</v>
      </c>
      <c r="C14" s="299">
        <f ca="1">PLANTILLA!F16</f>
        <v>47</v>
      </c>
      <c r="D14" t="str">
        <f>PLANTILLA!G16</f>
        <v>TEC</v>
      </c>
      <c r="E14" s="76">
        <f>PLANTILLA!J16</f>
        <v>0.75760229875599328</v>
      </c>
      <c r="F14" s="74">
        <f>PLANTILLA!O16</f>
        <v>1.5</v>
      </c>
      <c r="G14" s="74">
        <f>PLANTILLA!W16</f>
        <v>0</v>
      </c>
      <c r="H14" s="74">
        <f>PLANTILLA!X16</f>
        <v>4</v>
      </c>
      <c r="I14" s="74">
        <f>PLANTILLA!Y16</f>
        <v>11.375</v>
      </c>
      <c r="J14" s="74">
        <f>PLANTILLA!Z16</f>
        <v>5</v>
      </c>
      <c r="K14" s="74">
        <f>PLANTILLA!AA16</f>
        <v>4.333333333333333</v>
      </c>
      <c r="L14" s="74">
        <f>PLANTILLA!AB16</f>
        <v>6</v>
      </c>
      <c r="M14" s="74">
        <f>PLANTILLA!AC16</f>
        <v>2</v>
      </c>
      <c r="N14" s="76"/>
      <c r="V14" s="9"/>
    </row>
    <row r="15" spans="1:22" x14ac:dyDescent="0.25">
      <c r="A15" t="str">
        <f>PLANTILLA!D19</f>
        <v>L. Grière</v>
      </c>
      <c r="B15">
        <f>PLANTILLA!E19</f>
        <v>19</v>
      </c>
      <c r="C15" s="299">
        <f ca="1">PLANTILLA!F19</f>
        <v>66</v>
      </c>
      <c r="D15" t="str">
        <f>PLANTILLA!G19</f>
        <v>TEC</v>
      </c>
      <c r="E15" s="76">
        <f>PLANTILLA!J19</f>
        <v>0.69135191983718325</v>
      </c>
      <c r="F15" s="74">
        <f>PLANTILLA!O19</f>
        <v>1.5</v>
      </c>
      <c r="G15" s="74">
        <f>PLANTILLA!W19</f>
        <v>0</v>
      </c>
      <c r="H15" s="74">
        <f>PLANTILLA!X19</f>
        <v>4</v>
      </c>
      <c r="I15" s="74">
        <f>PLANTILLA!Y19</f>
        <v>10.285714285714286</v>
      </c>
      <c r="J15" s="74">
        <f>PLANTILLA!Z19</f>
        <v>6</v>
      </c>
      <c r="K15" s="74">
        <f>PLANTILLA!AA19</f>
        <v>2</v>
      </c>
      <c r="L15" s="74">
        <f>PLANTILLA!AB19</f>
        <v>5</v>
      </c>
      <c r="M15" s="74">
        <f>PLANTILLA!AC19</f>
        <v>0</v>
      </c>
      <c r="N15" s="76"/>
      <c r="V15" s="9"/>
    </row>
    <row r="16" spans="1:22" x14ac:dyDescent="0.25">
      <c r="A16" t="str">
        <f>PLANTILLA!D18</f>
        <v>A. Balsebre</v>
      </c>
      <c r="B16">
        <f>PLANTILLA!E18</f>
        <v>19</v>
      </c>
      <c r="C16" s="299">
        <f ca="1">PLANTILLA!F18</f>
        <v>45</v>
      </c>
      <c r="D16">
        <f>PLANTILLA!G18</f>
        <v>0</v>
      </c>
      <c r="E16" s="76">
        <f>PLANTILLA!J18</f>
        <v>0.63616167295954995</v>
      </c>
      <c r="F16" s="74">
        <f>PLANTILLA!O18</f>
        <v>1.5</v>
      </c>
      <c r="G16" s="74">
        <f>PLANTILLA!W18</f>
        <v>0</v>
      </c>
      <c r="H16" s="74">
        <f>PLANTILLA!X18</f>
        <v>4</v>
      </c>
      <c r="I16" s="74">
        <f>PLANTILLA!Y18</f>
        <v>12.111111111111111</v>
      </c>
      <c r="J16" s="74">
        <f>PLANTILLA!Z18</f>
        <v>2</v>
      </c>
      <c r="K16" s="74">
        <f>PLANTILLA!AA18</f>
        <v>5</v>
      </c>
      <c r="L16" s="74">
        <f>PLANTILLA!AB18</f>
        <v>3.3333333333333335</v>
      </c>
      <c r="M16" s="74">
        <f>PLANTILLA!AC18</f>
        <v>4</v>
      </c>
      <c r="N16" s="76"/>
      <c r="V16" s="9"/>
    </row>
    <row r="17" spans="1:22" x14ac:dyDescent="0.25">
      <c r="A17" t="str">
        <f>PLANTILLA!D11</f>
        <v>G. Gasqué</v>
      </c>
      <c r="B17">
        <f>PLANTILLA!E11</f>
        <v>18</v>
      </c>
      <c r="C17" s="299">
        <f ca="1">PLANTILLA!F11</f>
        <v>29</v>
      </c>
      <c r="D17" t="str">
        <f>PLANTILLA!G11</f>
        <v>IMP</v>
      </c>
      <c r="E17" s="76">
        <f>PLANTILLA!J11</f>
        <v>0.63616167295954995</v>
      </c>
      <c r="F17" s="74">
        <f>PLANTILLA!O11</f>
        <v>1.5</v>
      </c>
      <c r="G17" s="74">
        <f>PLANTILLA!W11</f>
        <v>0</v>
      </c>
      <c r="H17" s="74">
        <f>PLANTILLA!X11</f>
        <v>2</v>
      </c>
      <c r="I17" s="74">
        <f>PLANTILLA!Y11</f>
        <v>5</v>
      </c>
      <c r="J17" s="74">
        <f>PLANTILLA!Z11</f>
        <v>5</v>
      </c>
      <c r="K17" s="74">
        <f>PLANTILLA!AA11</f>
        <v>3</v>
      </c>
      <c r="L17" s="74">
        <f>PLANTILLA!AB11</f>
        <v>3</v>
      </c>
      <c r="M17" s="74">
        <f>PLANTILLA!AC11</f>
        <v>2</v>
      </c>
      <c r="N17" s="76"/>
      <c r="V17" s="9"/>
    </row>
    <row r="18" spans="1:22" x14ac:dyDescent="0.25">
      <c r="A18" t="str">
        <f>PLANTILLA!D13</f>
        <v>I. Escuder</v>
      </c>
      <c r="B18">
        <f>PLANTILLA!E13</f>
        <v>28</v>
      </c>
      <c r="C18" s="299">
        <f ca="1">PLANTILLA!F13</f>
        <v>51</v>
      </c>
      <c r="D18">
        <f>PLANTILLA!G13</f>
        <v>0</v>
      </c>
      <c r="E18" s="76">
        <f>PLANTILLA!J13</f>
        <v>0.98715025265899181</v>
      </c>
      <c r="F18" s="74">
        <f>PLANTILLA!O13</f>
        <v>1.5</v>
      </c>
      <c r="G18" s="74">
        <f>PLANTILLA!W13</f>
        <v>0</v>
      </c>
      <c r="H18" s="74">
        <f>PLANTILLA!X13</f>
        <v>5</v>
      </c>
      <c r="I18" s="74">
        <f>PLANTILLA!Y13</f>
        <v>7.2</v>
      </c>
      <c r="J18" s="74">
        <f>PLANTILLA!Z13</f>
        <v>2</v>
      </c>
      <c r="K18" s="74">
        <f>PLANTILLA!AA13</f>
        <v>3</v>
      </c>
      <c r="L18" s="74">
        <f>PLANTILLA!AB13</f>
        <v>2</v>
      </c>
      <c r="M18" s="74">
        <f>PLANTILLA!AC13</f>
        <v>4</v>
      </c>
      <c r="N18" s="76"/>
      <c r="V18" s="9"/>
    </row>
    <row r="19" spans="1:22" x14ac:dyDescent="0.25">
      <c r="A19" t="str">
        <f>PLANTILLA!D22</f>
        <v>A. Baldoví</v>
      </c>
      <c r="B19">
        <f>PLANTILLA!E22</f>
        <v>20</v>
      </c>
      <c r="C19" s="299">
        <f ca="1">PLANTILLA!F22</f>
        <v>19</v>
      </c>
      <c r="D19" t="str">
        <f>PLANTILLA!G22</f>
        <v>RAP</v>
      </c>
      <c r="E19" s="76">
        <f>PLANTILLA!J22</f>
        <v>0.85793690198158323</v>
      </c>
      <c r="F19" s="74">
        <f>PLANTILLA!O22</f>
        <v>1.5</v>
      </c>
      <c r="G19" s="74">
        <f>PLANTILLA!W22</f>
        <v>0</v>
      </c>
      <c r="H19" s="74">
        <f>PLANTILLA!X22</f>
        <v>4</v>
      </c>
      <c r="I19" s="74">
        <f>PLANTILLA!Y22</f>
        <v>10.714285714285714</v>
      </c>
      <c r="J19" s="74">
        <f>PLANTILLA!Z22</f>
        <v>6</v>
      </c>
      <c r="K19" s="74">
        <f>PLANTILLA!AA22</f>
        <v>5</v>
      </c>
      <c r="L19" s="74">
        <f>PLANTILLA!AB22</f>
        <v>9.1666666666666661</v>
      </c>
      <c r="M19" s="74">
        <f>PLANTILLA!AC22</f>
        <v>3</v>
      </c>
      <c r="N19" s="76"/>
      <c r="V19" s="9"/>
    </row>
    <row r="20" spans="1:22" x14ac:dyDescent="0.25">
      <c r="A20" t="e">
        <f>PLANTILLA!#REF!</f>
        <v>#REF!</v>
      </c>
      <c r="B20" t="e">
        <f>PLANTILLA!#REF!</f>
        <v>#REF!</v>
      </c>
      <c r="C20" s="299" t="e">
        <f>PLANTILLA!#REF!</f>
        <v>#REF!</v>
      </c>
      <c r="D20" t="e">
        <f>PLANTILLA!#REF!</f>
        <v>#REF!</v>
      </c>
      <c r="E20" s="76" t="e">
        <f>PLANTILLA!#REF!</f>
        <v>#REF!</v>
      </c>
      <c r="F20" s="74" t="e">
        <f>PLANTILLA!#REF!</f>
        <v>#REF!</v>
      </c>
      <c r="G20" s="74" t="e">
        <f>PLANTILLA!#REF!</f>
        <v>#REF!</v>
      </c>
      <c r="H20" s="74" t="e">
        <f>PLANTILLA!#REF!</f>
        <v>#REF!</v>
      </c>
      <c r="I20" s="74" t="e">
        <f>PLANTILLA!#REF!</f>
        <v>#REF!</v>
      </c>
      <c r="J20" s="74" t="e">
        <f>PLANTILLA!#REF!</f>
        <v>#REF!</v>
      </c>
      <c r="K20" s="74" t="e">
        <f>PLANTILLA!#REF!</f>
        <v>#REF!</v>
      </c>
      <c r="L20" s="74" t="e">
        <f>PLANTILLA!#REF!</f>
        <v>#REF!</v>
      </c>
      <c r="M20" s="74" t="e">
        <f>PLANTILLA!#REF!</f>
        <v>#REF!</v>
      </c>
    </row>
    <row r="21" spans="1:22" x14ac:dyDescent="0.25">
      <c r="A21" t="str">
        <f>PLANTILLA!D20</f>
        <v>A. Aguilella</v>
      </c>
      <c r="B21">
        <f>PLANTILLA!E20</f>
        <v>26</v>
      </c>
      <c r="C21" s="299">
        <f ca="1">PLANTILLA!F20</f>
        <v>25</v>
      </c>
      <c r="D21">
        <f>PLANTILLA!G20</f>
        <v>0</v>
      </c>
      <c r="E21" s="76">
        <f>PLANTILLA!J20</f>
        <v>0.84462460743944867</v>
      </c>
      <c r="F21" s="74">
        <f>PLANTILLA!O20</f>
        <v>1.5</v>
      </c>
      <c r="G21" s="74">
        <f>PLANTILLA!W20</f>
        <v>0</v>
      </c>
      <c r="H21" s="74">
        <f>PLANTILLA!X20</f>
        <v>4</v>
      </c>
      <c r="I21" s="74">
        <f>PLANTILLA!Y20</f>
        <v>6</v>
      </c>
      <c r="J21" s="74">
        <f>PLANTILLA!Z20</f>
        <v>5</v>
      </c>
      <c r="K21" s="74">
        <f>PLANTILLA!AA20</f>
        <v>4</v>
      </c>
      <c r="L21" s="74">
        <f>PLANTILLA!AB20</f>
        <v>2.5</v>
      </c>
      <c r="M21" s="74">
        <f>PLANTILLA!AC20</f>
        <v>4</v>
      </c>
    </row>
    <row r="22" spans="1:22" x14ac:dyDescent="0.25">
      <c r="A22" t="str">
        <f>PLANTILLA!D21</f>
        <v>T. Averous</v>
      </c>
      <c r="B22">
        <f>PLANTILLA!E21</f>
        <v>28</v>
      </c>
      <c r="C22" s="299">
        <f ca="1">PLANTILLA!F21</f>
        <v>7</v>
      </c>
      <c r="D22">
        <f>PLANTILLA!G21</f>
        <v>0</v>
      </c>
      <c r="E22" s="76">
        <f>PLANTILLA!J21</f>
        <v>0.98715025265899181</v>
      </c>
      <c r="F22" s="74">
        <f>PLANTILLA!O21</f>
        <v>1.5</v>
      </c>
      <c r="G22" s="74">
        <f>PLANTILLA!W21</f>
        <v>0</v>
      </c>
      <c r="H22" s="74">
        <f>PLANTILLA!X21</f>
        <v>3</v>
      </c>
      <c r="I22" s="74">
        <f>PLANTILLA!Y21</f>
        <v>6</v>
      </c>
      <c r="J22" s="74">
        <f>PLANTILLA!Z21</f>
        <v>6</v>
      </c>
      <c r="K22" s="74">
        <f>PLANTILLA!AA21</f>
        <v>5</v>
      </c>
      <c r="L22" s="74">
        <f>PLANTILLA!AB21</f>
        <v>3</v>
      </c>
      <c r="M22" s="74">
        <f>PLANTILLA!AC21</f>
        <v>4</v>
      </c>
    </row>
    <row r="23" spans="1:22" x14ac:dyDescent="0.25">
      <c r="A23" t="str">
        <f>PLANTILLA!D23</f>
        <v>R. Abrain</v>
      </c>
      <c r="B23">
        <f>PLANTILLA!E23</f>
        <v>21</v>
      </c>
      <c r="C23" s="299">
        <f ca="1">PLANTILLA!F23</f>
        <v>4</v>
      </c>
      <c r="D23" t="str">
        <f>PLANTILLA!G23</f>
        <v>IMP</v>
      </c>
      <c r="E23" s="76">
        <f>PLANTILLA!J23</f>
        <v>0.85793690198158323</v>
      </c>
      <c r="F23" s="74">
        <f>PLANTILLA!O23</f>
        <v>1.5</v>
      </c>
      <c r="G23" s="74">
        <f>PLANTILLA!W23</f>
        <v>0</v>
      </c>
      <c r="H23" s="74">
        <f>PLANTILLA!X23</f>
        <v>5</v>
      </c>
      <c r="I23" s="74">
        <f>PLANTILLA!Y23</f>
        <v>7.9</v>
      </c>
      <c r="J23" s="74">
        <f>PLANTILLA!Z23</f>
        <v>4</v>
      </c>
      <c r="K23" s="74">
        <f>PLANTILLA!AA23</f>
        <v>4.333333333333333</v>
      </c>
      <c r="L23" s="74">
        <f>PLANTILLA!AB23</f>
        <v>9</v>
      </c>
      <c r="M23" s="74">
        <f>PLANTILLA!AC23</f>
        <v>1</v>
      </c>
    </row>
    <row r="24" spans="1:22" x14ac:dyDescent="0.25">
      <c r="A24" t="str">
        <f>PLANTILLA!D24</f>
        <v>L. Cabistany</v>
      </c>
      <c r="B24">
        <f>PLANTILLA!E24</f>
        <v>18</v>
      </c>
      <c r="C24" s="299">
        <f ca="1">PLANTILLA!F24</f>
        <v>53</v>
      </c>
      <c r="D24">
        <f>PLANTILLA!G24</f>
        <v>0</v>
      </c>
      <c r="E24" s="76">
        <f>PLANTILLA!J24</f>
        <v>0.48230378135679047</v>
      </c>
      <c r="F24" s="74">
        <f>PLANTILLA!O24</f>
        <v>1.5</v>
      </c>
      <c r="G24" s="74">
        <f>PLANTILLA!W24</f>
        <v>0</v>
      </c>
      <c r="H24" s="74">
        <f>PLANTILLA!X24</f>
        <v>2</v>
      </c>
      <c r="I24" s="74">
        <f>PLANTILLA!Y24</f>
        <v>6.25</v>
      </c>
      <c r="J24" s="74">
        <f>PLANTILLA!Z24</f>
        <v>3</v>
      </c>
      <c r="K24" s="74">
        <f>PLANTILLA!AA24</f>
        <v>6</v>
      </c>
      <c r="L24" s="74">
        <f>PLANTILLA!AB24</f>
        <v>6</v>
      </c>
      <c r="M24" s="74">
        <f>PLANTILLA!AC24</f>
        <v>2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11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97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99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158</v>
      </c>
      <c r="O5" s="320" t="s">
        <v>48</v>
      </c>
      <c r="P5" s="321" t="s">
        <v>391</v>
      </c>
      <c r="Q5" s="321" t="s">
        <v>392</v>
      </c>
      <c r="R5" s="321" t="s">
        <v>393</v>
      </c>
      <c r="S5" s="321" t="s">
        <v>394</v>
      </c>
      <c r="T5" s="321" t="s">
        <v>395</v>
      </c>
      <c r="U5" s="321" t="s">
        <v>396</v>
      </c>
      <c r="V5" s="321" t="s">
        <v>397</v>
      </c>
      <c r="W5" s="321" t="s">
        <v>85</v>
      </c>
    </row>
    <row r="6" spans="1:23" x14ac:dyDescent="0.25">
      <c r="A6" t="str">
        <f>PLANTILLA!D4</f>
        <v>E. Tarrida</v>
      </c>
      <c r="B6">
        <f>PLANTILLA!E4</f>
        <v>23</v>
      </c>
      <c r="C6" s="299">
        <f ca="1">PLANTILLA!F4</f>
        <v>79</v>
      </c>
      <c r="D6" t="str">
        <f>PLANTILLA!G4</f>
        <v>RAP</v>
      </c>
      <c r="E6" s="76">
        <f>PLANTILLA!J4</f>
        <v>1.0278026821895256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4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11</v>
      </c>
      <c r="P6" s="322">
        <f>$N6*P$2</f>
        <v>5.5200000000000006E-2</v>
      </c>
      <c r="Q6" s="322">
        <f>$N6*Q$2</f>
        <v>8.5000000000000006E-2</v>
      </c>
      <c r="R6" s="322">
        <f>$N6*R$2</f>
        <v>5.5200000000000006E-2</v>
      </c>
      <c r="W6" s="323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26</v>
      </c>
      <c r="C7" s="299">
        <f ca="1">PLANTILLA!F5</f>
        <v>70</v>
      </c>
      <c r="D7" t="str">
        <f>PLANTILLA!G5</f>
        <v>CAB</v>
      </c>
      <c r="E7" s="76">
        <f>PLANTILLA!J5</f>
        <v>0.8309990538638673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2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99</v>
      </c>
      <c r="P7" s="322">
        <f>N7*P$4</f>
        <v>8.7249999999999994E-2</v>
      </c>
      <c r="Q7" s="322">
        <f>$N7*Q$4</f>
        <v>5.0250000000000003E-2</v>
      </c>
      <c r="R7" s="322">
        <f>$N7*R$4</f>
        <v>0</v>
      </c>
      <c r="W7" s="323">
        <f>R7+Q7+P7</f>
        <v>0.13750000000000001</v>
      </c>
    </row>
    <row r="8" spans="1:23" x14ac:dyDescent="0.25">
      <c r="A8" t="str">
        <f>PLANTILLA!D7</f>
        <v>D. Juliol</v>
      </c>
      <c r="B8">
        <f>PLANTILLA!E7</f>
        <v>20</v>
      </c>
      <c r="C8" s="299">
        <f ca="1">PLANTILLA!F7</f>
        <v>24</v>
      </c>
      <c r="D8">
        <f>PLANTILLA!G7</f>
        <v>0</v>
      </c>
      <c r="E8" s="76">
        <f>PLANTILLA!J7</f>
        <v>0.80274665510394982</v>
      </c>
      <c r="F8" s="74">
        <f>PLANTILLA!O7</f>
        <v>1.5</v>
      </c>
      <c r="G8" s="74">
        <f>PLANTILLA!W7</f>
        <v>1</v>
      </c>
      <c r="H8" s="74">
        <f>PLANTILLA!X7</f>
        <v>5</v>
      </c>
      <c r="I8" s="74">
        <f>PLANTILLA!Y7</f>
        <v>7.2</v>
      </c>
      <c r="J8" s="74">
        <f>PLANTILLA!Z7</f>
        <v>5</v>
      </c>
      <c r="K8" s="74">
        <f>PLANTILLA!AA7</f>
        <v>2</v>
      </c>
      <c r="L8" s="74">
        <f>PLANTILLA!AB7</f>
        <v>6.25</v>
      </c>
      <c r="M8" s="74">
        <f>PLANTILLA!AC7</f>
        <v>1</v>
      </c>
      <c r="N8" s="76"/>
      <c r="O8" s="76"/>
      <c r="P8" s="322"/>
      <c r="Q8" s="322"/>
      <c r="R8" s="322"/>
      <c r="W8" s="323"/>
    </row>
    <row r="9" spans="1:23" x14ac:dyDescent="0.25">
      <c r="A9" t="str">
        <f>PLANTILLA!D6</f>
        <v>M. Teixé</v>
      </c>
      <c r="B9">
        <f>PLANTILLA!E6</f>
        <v>31</v>
      </c>
      <c r="C9" s="299">
        <f ca="1">PLANTILLA!F6</f>
        <v>108</v>
      </c>
      <c r="D9">
        <f>PLANTILLA!G6</f>
        <v>0</v>
      </c>
      <c r="E9" s="76">
        <f>PLANTILLA!J6</f>
        <v>1.1267973866856758</v>
      </c>
      <c r="F9" s="74">
        <f>PLANTILLA!O6</f>
        <v>1.5</v>
      </c>
      <c r="G9" s="74">
        <f>PLANTILLA!W6</f>
        <v>0</v>
      </c>
      <c r="H9" s="74">
        <f>PLANTILLA!X6</f>
        <v>6</v>
      </c>
      <c r="I9" s="74">
        <f>PLANTILLA!Y6</f>
        <v>3.2</v>
      </c>
      <c r="J9" s="74">
        <f>PLANTILLA!Z6</f>
        <v>5</v>
      </c>
      <c r="K9" s="74">
        <f>PLANTILLA!AA6</f>
        <v>3</v>
      </c>
      <c r="L9" s="74">
        <f>PLANTILLA!AB6</f>
        <v>2</v>
      </c>
      <c r="M9" s="74">
        <f>PLANTILLA!AC6</f>
        <v>4</v>
      </c>
      <c r="N9" s="76"/>
      <c r="O9" s="76"/>
      <c r="P9" s="322"/>
      <c r="Q9" s="322"/>
      <c r="R9" s="322"/>
      <c r="W9" s="323"/>
    </row>
    <row r="10" spans="1:23" x14ac:dyDescent="0.25">
      <c r="A10" t="e">
        <f>PLANTILLA!#REF!</f>
        <v>#REF!</v>
      </c>
      <c r="B10" t="e">
        <f>PLANTILLA!#REF!</f>
        <v>#REF!</v>
      </c>
      <c r="C10" s="299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2"/>
      <c r="Q10" s="322"/>
      <c r="R10" s="322"/>
      <c r="W10" s="323"/>
    </row>
    <row r="11" spans="1:23" x14ac:dyDescent="0.25">
      <c r="A11" t="str">
        <f>PLANTILLA!D14</f>
        <v>B. Corominola</v>
      </c>
      <c r="B11">
        <f>PLANTILLA!E14</f>
        <v>21</v>
      </c>
      <c r="C11" s="299">
        <f ca="1">PLANTILLA!F14</f>
        <v>54</v>
      </c>
      <c r="D11" t="str">
        <f>PLANTILLA!G14</f>
        <v>RAP</v>
      </c>
      <c r="E11" s="76">
        <f>PLANTILLA!J14</f>
        <v>0.90832164983411623</v>
      </c>
      <c r="F11" s="74">
        <f>PLANTILLA!O14</f>
        <v>1.5</v>
      </c>
      <c r="G11" s="74">
        <f>PLANTILLA!W14</f>
        <v>0</v>
      </c>
      <c r="H11" s="74">
        <f>PLANTILLA!X14</f>
        <v>6</v>
      </c>
      <c r="I11" s="74">
        <f>PLANTILLA!Y14</f>
        <v>10.857142857142858</v>
      </c>
      <c r="J11" s="74">
        <f>PLANTILLA!Z14</f>
        <v>2</v>
      </c>
      <c r="K11" s="74">
        <f>PLANTILLA!AA14</f>
        <v>6.25</v>
      </c>
      <c r="L11" s="74">
        <f>PLANTILLA!AB14</f>
        <v>7</v>
      </c>
      <c r="M11" s="74">
        <f>PLANTILLA!AC14</f>
        <v>1</v>
      </c>
      <c r="N11" s="76"/>
      <c r="O11" s="76"/>
      <c r="W11" s="9"/>
    </row>
    <row r="12" spans="1:23" x14ac:dyDescent="0.25">
      <c r="A12" t="str">
        <f>PLANTILLA!D10</f>
        <v>G. Durand</v>
      </c>
      <c r="B12">
        <f>PLANTILLA!E10</f>
        <v>20</v>
      </c>
      <c r="C12" s="299">
        <f ca="1">PLANTILLA!F10</f>
        <v>94</v>
      </c>
      <c r="D12" t="str">
        <f>PLANTILLA!G10</f>
        <v>IMP</v>
      </c>
      <c r="E12" s="76">
        <f>PLANTILLA!J10</f>
        <v>0.72542405913370089</v>
      </c>
      <c r="F12" s="74">
        <f>PLANTILLA!O10</f>
        <v>1.5</v>
      </c>
      <c r="G12" s="74">
        <f>PLANTILLA!W10</f>
        <v>0</v>
      </c>
      <c r="H12" s="74">
        <f>PLANTILLA!X10</f>
        <v>5</v>
      </c>
      <c r="I12" s="74">
        <f>PLANTILLA!Y10</f>
        <v>9.2857142857142865</v>
      </c>
      <c r="J12" s="74">
        <f>PLANTILLA!Z10</f>
        <v>2</v>
      </c>
      <c r="K12" s="74">
        <f>PLANTILLA!AA10</f>
        <v>3</v>
      </c>
      <c r="L12" s="74">
        <f>PLANTILLA!AB10</f>
        <v>4</v>
      </c>
      <c r="M12" s="74">
        <f>PLANTILLA!AC10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299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PLANTILLA!D8</f>
        <v>J-L. Grellier</v>
      </c>
      <c r="B14">
        <f>PLANTILLA!E8</f>
        <v>33</v>
      </c>
      <c r="C14" s="299">
        <f ca="1">PLANTILLA!F8</f>
        <v>111</v>
      </c>
      <c r="D14">
        <f>PLANTILLA!G8</f>
        <v>0</v>
      </c>
      <c r="E14" s="76">
        <f>PLANTILLA!J8</f>
        <v>1.1894594702539738</v>
      </c>
      <c r="F14" s="74">
        <f>PLANTILLA!O8</f>
        <v>1.5</v>
      </c>
      <c r="G14" s="74">
        <f>PLANTILLA!W8</f>
        <v>0</v>
      </c>
      <c r="H14" s="74">
        <f>PLANTILLA!X8</f>
        <v>5</v>
      </c>
      <c r="I14" s="74">
        <f>PLANTILLA!Y8</f>
        <v>5</v>
      </c>
      <c r="J14" s="74">
        <f>PLANTILLA!Z8</f>
        <v>1</v>
      </c>
      <c r="K14" s="74">
        <f>PLANTILLA!AA8</f>
        <v>0</v>
      </c>
      <c r="L14" s="74">
        <f>PLANTILLA!AB8</f>
        <v>1</v>
      </c>
      <c r="M14" s="74">
        <f>PLANTILLA!AC8</f>
        <v>3</v>
      </c>
      <c r="N14" s="76"/>
      <c r="O14" s="76"/>
      <c r="W14" s="9"/>
    </row>
    <row r="15" spans="1:23" x14ac:dyDescent="0.25">
      <c r="A15" t="str">
        <f>PLANTILLA!D15</f>
        <v>T. Orozco</v>
      </c>
      <c r="B15">
        <f>PLANTILLA!E15</f>
        <v>21</v>
      </c>
      <c r="C15" s="299">
        <f ca="1">PLANTILLA!F15</f>
        <v>87</v>
      </c>
      <c r="D15" t="str">
        <f>PLANTILLA!G15</f>
        <v>CAB</v>
      </c>
      <c r="E15" s="76">
        <f>PLANTILLA!J15</f>
        <v>0.8836771089087655</v>
      </c>
      <c r="F15" s="74">
        <f>PLANTILLA!O15</f>
        <v>1.5</v>
      </c>
      <c r="G15" s="74">
        <f>PLANTILLA!W15</f>
        <v>1</v>
      </c>
      <c r="H15" s="74">
        <f>PLANTILLA!X15</f>
        <v>6</v>
      </c>
      <c r="I15" s="74">
        <f>PLANTILLA!Y15</f>
        <v>11.125</v>
      </c>
      <c r="J15" s="74">
        <f>PLANTILLA!Z15</f>
        <v>3</v>
      </c>
      <c r="K15" s="74">
        <f>PLANTILLA!AA15</f>
        <v>5</v>
      </c>
      <c r="L15" s="74">
        <f>PLANTILLA!AB15</f>
        <v>6.5</v>
      </c>
      <c r="M15" s="74">
        <f>PLANTILLA!AC15</f>
        <v>2</v>
      </c>
      <c r="N15" s="76"/>
      <c r="O15" s="76"/>
      <c r="W15" s="9"/>
    </row>
    <row r="16" spans="1:23" x14ac:dyDescent="0.25">
      <c r="A16" t="str">
        <f>PLANTILLA!D16</f>
        <v>T. Lebon</v>
      </c>
      <c r="B16">
        <f>PLANTILLA!E16</f>
        <v>20</v>
      </c>
      <c r="C16" s="299">
        <f ca="1">PLANTILLA!F16</f>
        <v>47</v>
      </c>
      <c r="D16" t="str">
        <f>PLANTILLA!G16</f>
        <v>TEC</v>
      </c>
      <c r="E16" s="76">
        <f>PLANTILLA!J16</f>
        <v>0.75760229875599328</v>
      </c>
      <c r="F16" s="74">
        <f>PLANTILLA!O16</f>
        <v>1.5</v>
      </c>
      <c r="G16" s="74">
        <f>PLANTILLA!W16</f>
        <v>0</v>
      </c>
      <c r="H16" s="74">
        <f>PLANTILLA!X16</f>
        <v>4</v>
      </c>
      <c r="I16" s="74">
        <f>PLANTILLA!Y16</f>
        <v>11.375</v>
      </c>
      <c r="J16" s="74">
        <f>PLANTILLA!Z16</f>
        <v>5</v>
      </c>
      <c r="K16" s="74">
        <f>PLANTILLA!AA16</f>
        <v>4.333333333333333</v>
      </c>
      <c r="L16" s="74">
        <f>PLANTILLA!AB16</f>
        <v>6</v>
      </c>
      <c r="M16" s="74">
        <f>PLANTILLA!AC16</f>
        <v>2</v>
      </c>
      <c r="N16" s="76"/>
      <c r="O16" s="76"/>
      <c r="W16" s="9"/>
    </row>
    <row r="17" spans="1:23" x14ac:dyDescent="0.25">
      <c r="A17" t="str">
        <f>PLANTILLA!D19</f>
        <v>L. Grière</v>
      </c>
      <c r="B17">
        <f>PLANTILLA!E19</f>
        <v>19</v>
      </c>
      <c r="C17" s="299">
        <f ca="1">PLANTILLA!F19</f>
        <v>66</v>
      </c>
      <c r="D17" t="str">
        <f>PLANTILLA!G19</f>
        <v>TEC</v>
      </c>
      <c r="E17" s="76">
        <f>PLANTILLA!J19</f>
        <v>0.69135191983718325</v>
      </c>
      <c r="F17" s="74">
        <f>PLANTILLA!O19</f>
        <v>1.5</v>
      </c>
      <c r="G17" s="74">
        <f>PLANTILLA!W19</f>
        <v>0</v>
      </c>
      <c r="H17" s="74">
        <f>PLANTILLA!X19</f>
        <v>4</v>
      </c>
      <c r="I17" s="74">
        <f>PLANTILLA!Y19</f>
        <v>10.285714285714286</v>
      </c>
      <c r="J17" s="74">
        <f>PLANTILLA!Z19</f>
        <v>6</v>
      </c>
      <c r="K17" s="74">
        <f>PLANTILLA!AA19</f>
        <v>2</v>
      </c>
      <c r="L17" s="74">
        <f>PLANTILLA!AB19</f>
        <v>5</v>
      </c>
      <c r="M17" s="74">
        <f>PLANTILLA!AC19</f>
        <v>0</v>
      </c>
      <c r="N17" s="76"/>
      <c r="O17" s="76"/>
      <c r="W17" s="9"/>
    </row>
    <row r="18" spans="1:23" x14ac:dyDescent="0.25">
      <c r="A18" t="str">
        <f>PLANTILLA!D18</f>
        <v>A. Balsebre</v>
      </c>
      <c r="B18">
        <f>PLANTILLA!E18</f>
        <v>19</v>
      </c>
      <c r="C18" s="299">
        <f ca="1">PLANTILLA!F18</f>
        <v>45</v>
      </c>
      <c r="D18">
        <f>PLANTILLA!G18</f>
        <v>0</v>
      </c>
      <c r="E18" s="76">
        <f>PLANTILLA!J18</f>
        <v>0.63616167295954995</v>
      </c>
      <c r="F18" s="74">
        <f>PLANTILLA!O18</f>
        <v>1.5</v>
      </c>
      <c r="G18" s="74">
        <f>PLANTILLA!W18</f>
        <v>0</v>
      </c>
      <c r="H18" s="74">
        <f>PLANTILLA!X18</f>
        <v>4</v>
      </c>
      <c r="I18" s="74">
        <f>PLANTILLA!Y18</f>
        <v>12.111111111111111</v>
      </c>
      <c r="J18" s="74">
        <f>PLANTILLA!Z18</f>
        <v>2</v>
      </c>
      <c r="K18" s="74">
        <f>PLANTILLA!AA18</f>
        <v>5</v>
      </c>
      <c r="L18" s="74">
        <f>PLANTILLA!AB18</f>
        <v>3.3333333333333335</v>
      </c>
      <c r="M18" s="74">
        <f>PLANTILLA!AC18</f>
        <v>4</v>
      </c>
      <c r="N18" s="76"/>
      <c r="O18" s="76"/>
      <c r="W18" s="9"/>
    </row>
    <row r="19" spans="1:23" x14ac:dyDescent="0.25">
      <c r="A19" t="str">
        <f>PLANTILLA!D11</f>
        <v>G. Gasqué</v>
      </c>
      <c r="B19">
        <f>PLANTILLA!E11</f>
        <v>18</v>
      </c>
      <c r="C19" s="299">
        <f ca="1">PLANTILLA!F11</f>
        <v>29</v>
      </c>
      <c r="D19" t="str">
        <f>PLANTILLA!G11</f>
        <v>IMP</v>
      </c>
      <c r="E19" s="76">
        <f>PLANTILLA!J11</f>
        <v>0.63616167295954995</v>
      </c>
      <c r="F19" s="74">
        <f>PLANTILLA!O11</f>
        <v>1.5</v>
      </c>
      <c r="G19" s="74">
        <f>PLANTILLA!W11</f>
        <v>0</v>
      </c>
      <c r="H19" s="74">
        <f>PLANTILLA!X11</f>
        <v>2</v>
      </c>
      <c r="I19" s="74">
        <f>PLANTILLA!Y11</f>
        <v>5</v>
      </c>
      <c r="J19" s="74">
        <f>PLANTILLA!Z11</f>
        <v>5</v>
      </c>
      <c r="K19" s="74">
        <f>PLANTILLA!AA11</f>
        <v>3</v>
      </c>
      <c r="L19" s="74">
        <f>PLANTILLA!AB11</f>
        <v>3</v>
      </c>
      <c r="M19" s="74">
        <f>PLANTILLA!AC11</f>
        <v>2</v>
      </c>
      <c r="N19" s="76"/>
      <c r="O19" s="76"/>
      <c r="W19" s="9"/>
    </row>
    <row r="20" spans="1:23" x14ac:dyDescent="0.25">
      <c r="A20" t="str">
        <f>PLANTILLA!D13</f>
        <v>I. Escuder</v>
      </c>
      <c r="B20">
        <f>PLANTILLA!E13</f>
        <v>28</v>
      </c>
      <c r="C20" s="299">
        <f ca="1">PLANTILLA!F13</f>
        <v>51</v>
      </c>
      <c r="D20">
        <f>PLANTILLA!G13</f>
        <v>0</v>
      </c>
      <c r="E20" s="76">
        <f>PLANTILLA!J13</f>
        <v>0.98715025265899181</v>
      </c>
      <c r="F20" s="74">
        <f>PLANTILLA!O13</f>
        <v>1.5</v>
      </c>
      <c r="G20" s="74">
        <f>PLANTILLA!W13</f>
        <v>0</v>
      </c>
      <c r="H20" s="74">
        <f>PLANTILLA!X13</f>
        <v>5</v>
      </c>
      <c r="I20" s="74">
        <f>PLANTILLA!Y13</f>
        <v>7.2</v>
      </c>
      <c r="J20" s="74">
        <f>PLANTILLA!Z13</f>
        <v>2</v>
      </c>
      <c r="K20" s="74">
        <f>PLANTILLA!AA13</f>
        <v>3</v>
      </c>
      <c r="L20" s="74">
        <f>PLANTILLA!AB13</f>
        <v>2</v>
      </c>
      <c r="M20" s="74">
        <f>PLANTILLA!AC13</f>
        <v>4</v>
      </c>
      <c r="N20" s="76"/>
      <c r="O20" s="76"/>
      <c r="W20" s="9"/>
    </row>
    <row r="21" spans="1:23" x14ac:dyDescent="0.25">
      <c r="A21" t="str">
        <f>PLANTILLA!D22</f>
        <v>A. Baldoví</v>
      </c>
      <c r="B21">
        <f>PLANTILLA!E22</f>
        <v>20</v>
      </c>
      <c r="C21" s="299">
        <f ca="1">PLANTILLA!F22</f>
        <v>19</v>
      </c>
      <c r="D21" t="str">
        <f>PLANTILLA!G22</f>
        <v>RAP</v>
      </c>
      <c r="E21" s="76">
        <f>PLANTILLA!J22</f>
        <v>0.85793690198158323</v>
      </c>
      <c r="F21" s="74">
        <f>PLANTILLA!O22</f>
        <v>1.5</v>
      </c>
      <c r="G21" s="74">
        <f>PLANTILLA!W22</f>
        <v>0</v>
      </c>
      <c r="H21" s="74">
        <f>PLANTILLA!X22</f>
        <v>4</v>
      </c>
      <c r="I21" s="74">
        <f>PLANTILLA!Y22</f>
        <v>10.714285714285714</v>
      </c>
      <c r="J21" s="74">
        <f>PLANTILLA!Z22</f>
        <v>6</v>
      </c>
      <c r="K21" s="74">
        <f>PLANTILLA!AA22</f>
        <v>5</v>
      </c>
      <c r="L21" s="74">
        <f>PLANTILLA!AB22</f>
        <v>9.1666666666666661</v>
      </c>
      <c r="M21" s="74">
        <f>PLANTILLA!AC22</f>
        <v>3</v>
      </c>
    </row>
    <row r="22" spans="1:23" x14ac:dyDescent="0.25">
      <c r="A22" t="e">
        <f>PLANTILLA!#REF!</f>
        <v>#REF!</v>
      </c>
      <c r="B22" t="e">
        <f>PLANTILLA!#REF!</f>
        <v>#REF!</v>
      </c>
      <c r="C22" s="299" t="e">
        <f>PLANTILLA!#REF!</f>
        <v>#REF!</v>
      </c>
      <c r="D22" t="e">
        <f>PLANTILLA!#REF!</f>
        <v>#REF!</v>
      </c>
      <c r="E22" s="76" t="e">
        <f>PLANTILLA!#REF!</f>
        <v>#REF!</v>
      </c>
      <c r="F22" s="74" t="e">
        <f>PLANTILLA!#REF!</f>
        <v>#REF!</v>
      </c>
      <c r="G22" s="74" t="e">
        <f>PLANTILLA!#REF!</f>
        <v>#REF!</v>
      </c>
      <c r="H22" s="74" t="e">
        <f>PLANTILLA!#REF!</f>
        <v>#REF!</v>
      </c>
      <c r="I22" s="74" t="e">
        <f>PLANTILLA!#REF!</f>
        <v>#REF!</v>
      </c>
      <c r="J22" s="74" t="e">
        <f>PLANTILLA!#REF!</f>
        <v>#REF!</v>
      </c>
      <c r="K22" s="74" t="e">
        <f>PLANTILLA!#REF!</f>
        <v>#REF!</v>
      </c>
      <c r="L22" s="74" t="e">
        <f>PLANTILLA!#REF!</f>
        <v>#REF!</v>
      </c>
      <c r="M22" s="74" t="e">
        <f>PLANTILLA!#REF!</f>
        <v>#REF!</v>
      </c>
    </row>
    <row r="23" spans="1:23" x14ac:dyDescent="0.25">
      <c r="A23" t="str">
        <f>PLANTILLA!D20</f>
        <v>A. Aguilella</v>
      </c>
      <c r="B23">
        <f>PLANTILLA!E20</f>
        <v>26</v>
      </c>
      <c r="C23" s="299">
        <f ca="1">PLANTILLA!F20</f>
        <v>25</v>
      </c>
      <c r="D23">
        <f>PLANTILLA!G20</f>
        <v>0</v>
      </c>
      <c r="E23" s="76">
        <f>PLANTILLA!J20</f>
        <v>0.84462460743944867</v>
      </c>
      <c r="F23" s="74">
        <f>PLANTILLA!O20</f>
        <v>1.5</v>
      </c>
      <c r="G23" s="74">
        <f>PLANTILLA!W20</f>
        <v>0</v>
      </c>
      <c r="H23" s="74">
        <f>PLANTILLA!X20</f>
        <v>4</v>
      </c>
      <c r="I23" s="74">
        <f>PLANTILLA!Y20</f>
        <v>6</v>
      </c>
      <c r="J23" s="74">
        <f>PLANTILLA!Z20</f>
        <v>5</v>
      </c>
      <c r="K23" s="74">
        <f>PLANTILLA!AA20</f>
        <v>4</v>
      </c>
      <c r="L23" s="74">
        <f>PLANTILLA!AB20</f>
        <v>2.5</v>
      </c>
      <c r="M23" s="74">
        <f>PLANTILLA!AC20</f>
        <v>4</v>
      </c>
    </row>
    <row r="24" spans="1:23" x14ac:dyDescent="0.25">
      <c r="A24" t="str">
        <f>PLANTILLA!D21</f>
        <v>T. Averous</v>
      </c>
      <c r="B24">
        <f>PLANTILLA!E21</f>
        <v>28</v>
      </c>
      <c r="C24" s="299">
        <f ca="1">PLANTILLA!F21</f>
        <v>7</v>
      </c>
      <c r="D24">
        <f>PLANTILLA!G21</f>
        <v>0</v>
      </c>
      <c r="E24" s="76">
        <f>PLANTILLA!J21</f>
        <v>0.98715025265899181</v>
      </c>
      <c r="F24" s="74">
        <f>PLANTILLA!O21</f>
        <v>1.5</v>
      </c>
      <c r="G24" s="74">
        <f>PLANTILLA!W21</f>
        <v>0</v>
      </c>
      <c r="H24" s="74">
        <f>PLANTILLA!X21</f>
        <v>3</v>
      </c>
      <c r="I24" s="74">
        <f>PLANTILLA!Y21</f>
        <v>6</v>
      </c>
      <c r="J24" s="74">
        <f>PLANTILLA!Z21</f>
        <v>6</v>
      </c>
      <c r="K24" s="74">
        <f>PLANTILLA!AA21</f>
        <v>5</v>
      </c>
      <c r="L24" s="74">
        <f>PLANTILLA!AB21</f>
        <v>3</v>
      </c>
      <c r="M24" s="74">
        <f>PLANTILLA!AC21</f>
        <v>4</v>
      </c>
    </row>
    <row r="25" spans="1:23" x14ac:dyDescent="0.25">
      <c r="A25" t="str">
        <f>PLANTILLA!D23</f>
        <v>R. Abrain</v>
      </c>
      <c r="B25">
        <f>PLANTILLA!E23</f>
        <v>21</v>
      </c>
      <c r="C25" s="299">
        <f ca="1">PLANTILLA!F23</f>
        <v>4</v>
      </c>
      <c r="D25" t="str">
        <f>PLANTILLA!G23</f>
        <v>IMP</v>
      </c>
      <c r="E25" s="76">
        <f>PLANTILLA!J23</f>
        <v>0.85793690198158323</v>
      </c>
      <c r="F25" s="74">
        <f>PLANTILLA!O23</f>
        <v>1.5</v>
      </c>
      <c r="G25" s="74">
        <f>PLANTILLA!W23</f>
        <v>0</v>
      </c>
      <c r="H25" s="74">
        <f>PLANTILLA!X23</f>
        <v>5</v>
      </c>
      <c r="I25" s="74">
        <f>PLANTILLA!Y23</f>
        <v>7.9</v>
      </c>
      <c r="J25" s="74">
        <f>PLANTILLA!Z23</f>
        <v>4</v>
      </c>
      <c r="K25" s="74">
        <f>PLANTILLA!AA23</f>
        <v>4.333333333333333</v>
      </c>
      <c r="L25" s="74">
        <f>PLANTILLA!AB23</f>
        <v>9</v>
      </c>
      <c r="M25" s="74">
        <f>PLANTILLA!AC23</f>
        <v>1</v>
      </c>
    </row>
    <row r="26" spans="1:23" x14ac:dyDescent="0.25">
      <c r="A26" t="str">
        <f>PLANTILLA!D24</f>
        <v>L. Cabistany</v>
      </c>
      <c r="B26">
        <f>PLANTILLA!E24</f>
        <v>18</v>
      </c>
      <c r="C26" s="299">
        <f ca="1">PLANTILLA!F24</f>
        <v>53</v>
      </c>
      <c r="D26">
        <f>PLANTILLA!G24</f>
        <v>0</v>
      </c>
      <c r="E26" s="76">
        <f>PLANTILLA!J24</f>
        <v>0.48230378135679047</v>
      </c>
      <c r="F26" s="74">
        <f>PLANTILLA!O24</f>
        <v>1.5</v>
      </c>
      <c r="G26" s="74">
        <f>PLANTILLA!W24</f>
        <v>0</v>
      </c>
      <c r="H26" s="74">
        <f>PLANTILLA!X24</f>
        <v>2</v>
      </c>
      <c r="I26" s="74">
        <f>PLANTILLA!Y24</f>
        <v>6.25</v>
      </c>
      <c r="J26" s="74">
        <f>PLANTILLA!Z24</f>
        <v>3</v>
      </c>
      <c r="K26" s="74">
        <f>PLANTILLA!AA24</f>
        <v>6</v>
      </c>
      <c r="L26" s="74">
        <f>PLANTILLA!AB24</f>
        <v>6</v>
      </c>
      <c r="M26" s="74">
        <f>PLANTILLA!AC24</f>
        <v>2</v>
      </c>
    </row>
    <row r="27" spans="1:23" x14ac:dyDescent="0.25">
      <c r="A27" t="str">
        <f>PLANTILLA!D25</f>
        <v>I. Velayo</v>
      </c>
      <c r="B27">
        <f>PLANTILLA!E25</f>
        <v>21</v>
      </c>
      <c r="C27" s="299">
        <f ca="1">PLANTILLA!F25</f>
        <v>106</v>
      </c>
      <c r="D27" t="str">
        <f>PLANTILLA!G25</f>
        <v>RAP</v>
      </c>
      <c r="E27" s="76">
        <f>PLANTILLA!J25</f>
        <v>0.8836771089087655</v>
      </c>
      <c r="F27" s="74">
        <f>PLANTILLA!O25</f>
        <v>1.5</v>
      </c>
      <c r="G27" s="74">
        <f>PLANTILLA!W25</f>
        <v>0</v>
      </c>
      <c r="H27" s="74">
        <f>PLANTILLA!X25</f>
        <v>4</v>
      </c>
      <c r="I27" s="74">
        <f>PLANTILLA!Y25</f>
        <v>8</v>
      </c>
      <c r="J27" s="74">
        <f>PLANTILLA!Z25</f>
        <v>3</v>
      </c>
      <c r="K27" s="74">
        <f>PLANTILLA!AA25</f>
        <v>4</v>
      </c>
      <c r="L27" s="74">
        <f>PLANTILLA!AB25</f>
        <v>9</v>
      </c>
      <c r="M27" s="74">
        <f>PLANTILLA!AC25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97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98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99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13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18" t="s">
        <v>49</v>
      </c>
      <c r="B7" s="319" t="s">
        <v>50</v>
      </c>
      <c r="C7" s="319" t="s">
        <v>51</v>
      </c>
      <c r="D7" s="319" t="s">
        <v>52</v>
      </c>
      <c r="E7" s="319" t="s">
        <v>55</v>
      </c>
      <c r="F7" s="319" t="s">
        <v>60</v>
      </c>
      <c r="G7" s="319" t="s">
        <v>68</v>
      </c>
      <c r="H7" s="319" t="s">
        <v>69</v>
      </c>
      <c r="I7" s="319" t="s">
        <v>70</v>
      </c>
      <c r="J7" s="319" t="s">
        <v>71</v>
      </c>
      <c r="K7" s="319" t="s">
        <v>72</v>
      </c>
      <c r="L7" s="319" t="s">
        <v>73</v>
      </c>
      <c r="M7" s="319" t="s">
        <v>52</v>
      </c>
      <c r="N7" s="320" t="s">
        <v>158</v>
      </c>
      <c r="O7" s="320" t="s">
        <v>48</v>
      </c>
      <c r="P7" s="321" t="s">
        <v>391</v>
      </c>
      <c r="Q7" s="321" t="s">
        <v>392</v>
      </c>
      <c r="R7" s="321" t="s">
        <v>393</v>
      </c>
      <c r="S7" s="321" t="s">
        <v>394</v>
      </c>
      <c r="T7" s="321" t="s">
        <v>395</v>
      </c>
      <c r="U7" s="321" t="s">
        <v>396</v>
      </c>
      <c r="V7" s="321" t="s">
        <v>397</v>
      </c>
      <c r="W7" s="321" t="s">
        <v>85</v>
      </c>
    </row>
    <row r="8" spans="1:23" x14ac:dyDescent="0.25">
      <c r="A8" t="str">
        <f>PLANTILLA!D20</f>
        <v>A. Aguilella</v>
      </c>
      <c r="B8">
        <f>PLANTILLA!E20</f>
        <v>26</v>
      </c>
      <c r="C8" s="299">
        <f ca="1">PLANTILLA!F20</f>
        <v>25</v>
      </c>
      <c r="E8" s="76">
        <f>PLANTILLA!J20</f>
        <v>0.84462460743944867</v>
      </c>
      <c r="F8" s="74">
        <f>PLANTILLA!O20</f>
        <v>1.5</v>
      </c>
      <c r="G8" s="74">
        <f>PLANTILLA!W20</f>
        <v>0</v>
      </c>
      <c r="H8" s="74">
        <f>PLANTILLA!X20</f>
        <v>4</v>
      </c>
      <c r="I8" s="74">
        <f>PLANTILLA!Y20</f>
        <v>6</v>
      </c>
      <c r="J8" s="74">
        <f>PLANTILLA!Z20</f>
        <v>5</v>
      </c>
      <c r="K8" s="74">
        <f>PLANTILLA!AA20</f>
        <v>4</v>
      </c>
      <c r="L8" s="74">
        <f>PLANTILLA!AB20</f>
        <v>2.5</v>
      </c>
      <c r="M8" s="74">
        <f>PLANTILLA!AC20</f>
        <v>4</v>
      </c>
      <c r="N8" s="76">
        <f>1/4</f>
        <v>0.25</v>
      </c>
      <c r="O8" s="76" t="s">
        <v>99</v>
      </c>
      <c r="P8" s="322"/>
      <c r="Q8" s="322"/>
      <c r="R8" s="322"/>
      <c r="S8" s="323">
        <f>N8*S$3</f>
        <v>0.25</v>
      </c>
      <c r="W8" s="323">
        <f>S8</f>
        <v>0.25</v>
      </c>
    </row>
    <row r="9" spans="1:23" x14ac:dyDescent="0.25">
      <c r="A9" t="str">
        <f>PLANTILLA!D18</f>
        <v>A. Balsebre</v>
      </c>
      <c r="B9">
        <f>PLANTILLA!E18</f>
        <v>19</v>
      </c>
      <c r="C9" s="299">
        <f ca="1">PLANTILLA!F18</f>
        <v>45</v>
      </c>
      <c r="E9" s="76">
        <f>PLANTILLA!J18</f>
        <v>0.63616167295954995</v>
      </c>
      <c r="F9" s="74">
        <f>PLANTILLA!O18</f>
        <v>1.5</v>
      </c>
      <c r="G9" s="74">
        <f>PLANTILLA!W18</f>
        <v>0</v>
      </c>
      <c r="H9" s="74">
        <f>PLANTILLA!X18</f>
        <v>4</v>
      </c>
      <c r="I9" s="74">
        <f>PLANTILLA!Y18</f>
        <v>12.111111111111111</v>
      </c>
      <c r="J9" s="74">
        <f>PLANTILLA!Z18</f>
        <v>2</v>
      </c>
      <c r="K9" s="74">
        <f>PLANTILLA!AA18</f>
        <v>5</v>
      </c>
      <c r="L9" s="74">
        <f>PLANTILLA!AB18</f>
        <v>3.3333333333333335</v>
      </c>
      <c r="M9" s="74">
        <f>PLANTILLA!AC18</f>
        <v>4</v>
      </c>
      <c r="N9" s="76">
        <f>1/4</f>
        <v>0.25</v>
      </c>
      <c r="O9" s="76" t="s">
        <v>98</v>
      </c>
      <c r="P9" s="322"/>
      <c r="Q9" s="322"/>
      <c r="R9" s="322"/>
      <c r="S9" s="323">
        <f>N9*S$4</f>
        <v>0.23599999999999999</v>
      </c>
      <c r="W9" s="323">
        <f>S9</f>
        <v>0.23599999999999999</v>
      </c>
    </row>
    <row r="10" spans="1:23" x14ac:dyDescent="0.25">
      <c r="A10" t="str">
        <f>PLANTILLA!D24</f>
        <v>L. Cabistany</v>
      </c>
      <c r="B10">
        <f>PLANTILLA!E24</f>
        <v>18</v>
      </c>
      <c r="C10" s="299">
        <f ca="1">PLANTILLA!F24</f>
        <v>53</v>
      </c>
      <c r="E10" s="76">
        <f>PLANTILLA!J24</f>
        <v>0.48230378135679047</v>
      </c>
      <c r="F10" s="74">
        <f>PLANTILLA!O24</f>
        <v>1.5</v>
      </c>
      <c r="G10" s="74">
        <f>PLANTILLA!W24</f>
        <v>0</v>
      </c>
      <c r="H10" s="74">
        <f>PLANTILLA!X24</f>
        <v>2</v>
      </c>
      <c r="I10" s="74">
        <f>PLANTILLA!Y24</f>
        <v>6.25</v>
      </c>
      <c r="J10" s="74">
        <f>PLANTILLA!Z24</f>
        <v>3</v>
      </c>
      <c r="K10" s="74">
        <f>PLANTILLA!AA24</f>
        <v>6</v>
      </c>
      <c r="L10" s="74">
        <f>PLANTILLA!AB24</f>
        <v>6</v>
      </c>
      <c r="M10" s="74">
        <f>PLANTILLA!AC24</f>
        <v>2</v>
      </c>
      <c r="N10" s="76">
        <f>1/3</f>
        <v>0.33333333333333331</v>
      </c>
      <c r="O10" s="76" t="s">
        <v>13</v>
      </c>
      <c r="S10" s="323">
        <f>N10*S$6</f>
        <v>8.3333333333333329E-2</v>
      </c>
      <c r="W10" s="323">
        <f>S10</f>
        <v>8.3333333333333329E-2</v>
      </c>
    </row>
    <row r="11" spans="1:23" x14ac:dyDescent="0.25">
      <c r="A11" t="str">
        <f>PLANTILLA!D19</f>
        <v>L. Grière</v>
      </c>
      <c r="B11">
        <f>PLANTILLA!E19</f>
        <v>19</v>
      </c>
      <c r="C11" s="299">
        <f ca="1">PLANTILLA!F19</f>
        <v>66</v>
      </c>
      <c r="E11" s="76">
        <f>PLANTILLA!J19</f>
        <v>0.69135191983718325</v>
      </c>
      <c r="F11" s="74">
        <f>PLANTILLA!O19</f>
        <v>1.5</v>
      </c>
      <c r="G11" s="74">
        <f>PLANTILLA!W19</f>
        <v>0</v>
      </c>
      <c r="H11" s="74">
        <f>PLANTILLA!X19</f>
        <v>4</v>
      </c>
      <c r="I11" s="74">
        <f>PLANTILLA!Y19</f>
        <v>10.285714285714286</v>
      </c>
      <c r="J11" s="74">
        <f>PLANTILLA!Z19</f>
        <v>6</v>
      </c>
      <c r="K11" s="74">
        <f>PLANTILLA!AA19</f>
        <v>2</v>
      </c>
      <c r="L11" s="74">
        <f>PLANTILLA!AB19</f>
        <v>5</v>
      </c>
      <c r="M11" s="74">
        <f>PLANTILLA!AC19</f>
        <v>0</v>
      </c>
      <c r="N11" s="76"/>
      <c r="O11" s="76"/>
      <c r="P11" s="322"/>
      <c r="Q11" s="322"/>
      <c r="R11" s="322"/>
      <c r="S11" s="323"/>
      <c r="W11" s="323"/>
    </row>
    <row r="12" spans="1:23" x14ac:dyDescent="0.25">
      <c r="A12" t="str">
        <f>PLANTILLA!D21</f>
        <v>T. Averous</v>
      </c>
      <c r="B12">
        <f>PLANTILLA!E21</f>
        <v>28</v>
      </c>
      <c r="C12" s="299">
        <f ca="1">PLANTILLA!F21</f>
        <v>7</v>
      </c>
      <c r="E12" s="76">
        <f>PLANTILLA!J21</f>
        <v>0.98715025265899181</v>
      </c>
      <c r="F12" s="74">
        <f>PLANTILLA!O21</f>
        <v>1.5</v>
      </c>
      <c r="G12" s="74">
        <f>PLANTILLA!W21</f>
        <v>0</v>
      </c>
      <c r="H12" s="74">
        <f>PLANTILLA!X21</f>
        <v>3</v>
      </c>
      <c r="I12" s="74">
        <f>PLANTILLA!Y21</f>
        <v>6</v>
      </c>
      <c r="J12" s="74">
        <f>PLANTILLA!Z21</f>
        <v>6</v>
      </c>
      <c r="K12" s="74">
        <f>PLANTILLA!AA21</f>
        <v>5</v>
      </c>
      <c r="L12" s="74">
        <f>PLANTILLA!AB21</f>
        <v>3</v>
      </c>
      <c r="M12" s="74">
        <f>PLANTILLA!AC21</f>
        <v>4</v>
      </c>
      <c r="N12" s="76"/>
      <c r="O12" s="76"/>
      <c r="P12" s="322"/>
      <c r="Q12" s="322"/>
      <c r="R12" s="322"/>
      <c r="S12" s="323"/>
      <c r="W12" s="323"/>
    </row>
    <row r="13" spans="1:23" x14ac:dyDescent="0.25">
      <c r="A13" t="str">
        <f>PLANTILLA!D13</f>
        <v>I. Escuder</v>
      </c>
      <c r="B13">
        <f>PLANTILLA!E13</f>
        <v>28</v>
      </c>
      <c r="C13" s="299">
        <f ca="1">PLANTILLA!F13</f>
        <v>51</v>
      </c>
      <c r="E13" s="76">
        <f>PLANTILLA!J13</f>
        <v>0.98715025265899181</v>
      </c>
      <c r="F13" s="74">
        <f>PLANTILLA!O13</f>
        <v>1.5</v>
      </c>
      <c r="G13" s="74">
        <f>PLANTILLA!W13</f>
        <v>0</v>
      </c>
      <c r="H13" s="74">
        <f>PLANTILLA!X13</f>
        <v>5</v>
      </c>
      <c r="I13" s="74">
        <f>PLANTILLA!Y13</f>
        <v>7.2</v>
      </c>
      <c r="J13" s="74">
        <f>PLANTILLA!Z13</f>
        <v>2</v>
      </c>
      <c r="K13" s="74">
        <f>PLANTILLA!AA13</f>
        <v>3</v>
      </c>
      <c r="L13" s="74">
        <f>PLANTILLA!AB13</f>
        <v>2</v>
      </c>
      <c r="M13" s="74">
        <f>PLANTILLA!AC13</f>
        <v>4</v>
      </c>
      <c r="N13" s="76"/>
      <c r="O13" s="76"/>
      <c r="P13" s="322"/>
      <c r="Q13" s="322"/>
      <c r="R13" s="322"/>
      <c r="S13" s="323"/>
      <c r="W13" s="323"/>
    </row>
    <row r="14" spans="1:23" x14ac:dyDescent="0.25">
      <c r="A14" t="e">
        <f>#REF!</f>
        <v>#REF!</v>
      </c>
      <c r="B14" t="e">
        <f>#REF!</f>
        <v>#REF!</v>
      </c>
      <c r="C14" s="299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3"/>
      <c r="W14" s="323"/>
    </row>
    <row r="15" spans="1:23" x14ac:dyDescent="0.25">
      <c r="A15" t="str">
        <f>PLANTILLA!D5</f>
        <v>S. Candela</v>
      </c>
      <c r="B15">
        <f>PLANTILLA!E5</f>
        <v>26</v>
      </c>
      <c r="C15" s="299">
        <f ca="1">PLANTILLA!F5</f>
        <v>70</v>
      </c>
      <c r="D15" t="str">
        <f>PLANTILLA!G5</f>
        <v>CAB</v>
      </c>
      <c r="E15" s="76">
        <f>PLANTILLA!J5</f>
        <v>0.8309990538638673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2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2"/>
      <c r="Q15" s="322"/>
      <c r="R15" s="322"/>
      <c r="S15" s="322"/>
    </row>
    <row r="16" spans="1:23" x14ac:dyDescent="0.25">
      <c r="A16" t="str">
        <f>PLANTILLA!D4</f>
        <v>E. Tarrida</v>
      </c>
      <c r="B16">
        <f>PLANTILLA!E4</f>
        <v>23</v>
      </c>
      <c r="C16" s="299">
        <f ca="1">PLANTILLA!F4</f>
        <v>79</v>
      </c>
      <c r="D16" t="str">
        <f>PLANTILLA!G4</f>
        <v>RAP</v>
      </c>
      <c r="E16" s="76">
        <f>PLANTILLA!J4</f>
        <v>1.0278026821895256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4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2"/>
      <c r="Q16" s="322"/>
      <c r="R16" s="322"/>
      <c r="S16" s="322"/>
    </row>
    <row r="17" spans="1:19" x14ac:dyDescent="0.25">
      <c r="A17" t="str">
        <f>PLANTILLA!D7</f>
        <v>D. Juliol</v>
      </c>
      <c r="B17">
        <f>PLANTILLA!E7</f>
        <v>20</v>
      </c>
      <c r="C17" s="299">
        <f ca="1">PLANTILLA!F7</f>
        <v>24</v>
      </c>
      <c r="E17" s="76">
        <f>PLANTILLA!J7</f>
        <v>0.80274665510394982</v>
      </c>
      <c r="F17" s="74">
        <f>PLANTILLA!O7</f>
        <v>1.5</v>
      </c>
      <c r="G17" s="74">
        <f>PLANTILLA!W7</f>
        <v>1</v>
      </c>
      <c r="H17" s="74">
        <f>PLANTILLA!X7</f>
        <v>5</v>
      </c>
      <c r="I17" s="74">
        <f>PLANTILLA!Y7</f>
        <v>7.2</v>
      </c>
      <c r="J17" s="74">
        <f>PLANTILLA!Z7</f>
        <v>5</v>
      </c>
      <c r="K17" s="74">
        <f>PLANTILLA!AA7</f>
        <v>2</v>
      </c>
      <c r="L17" s="74">
        <f>PLANTILLA!AB7</f>
        <v>6.25</v>
      </c>
      <c r="M17" s="74">
        <f>PLANTILLA!AC7</f>
        <v>1</v>
      </c>
      <c r="N17" s="76"/>
      <c r="O17" s="76"/>
      <c r="S17" s="322"/>
    </row>
    <row r="18" spans="1:19" x14ac:dyDescent="0.25">
      <c r="A18" t="str">
        <f>PLANTILLA!D6</f>
        <v>M. Teixé</v>
      </c>
      <c r="B18">
        <f>PLANTILLA!E6</f>
        <v>31</v>
      </c>
      <c r="C18" s="299">
        <f ca="1">PLANTILLA!F6</f>
        <v>108</v>
      </c>
      <c r="E18" s="76">
        <f>PLANTILLA!J6</f>
        <v>1.1267973866856758</v>
      </c>
      <c r="F18" s="74">
        <f>PLANTILLA!O6</f>
        <v>1.5</v>
      </c>
      <c r="G18" s="74">
        <f>PLANTILLA!W6</f>
        <v>0</v>
      </c>
      <c r="H18" s="74">
        <f>PLANTILLA!X6</f>
        <v>6</v>
      </c>
      <c r="I18" s="74">
        <f>PLANTILLA!Y6</f>
        <v>3.2</v>
      </c>
      <c r="J18" s="74">
        <f>PLANTILLA!Z6</f>
        <v>5</v>
      </c>
      <c r="K18" s="74">
        <f>PLANTILLA!AA6</f>
        <v>3</v>
      </c>
      <c r="L18" s="74">
        <f>PLANTILLA!AB6</f>
        <v>2</v>
      </c>
      <c r="M18" s="74">
        <f>PLANTILLA!AC6</f>
        <v>4</v>
      </c>
      <c r="N18" s="76"/>
      <c r="O18" s="76"/>
      <c r="S18" s="322"/>
    </row>
    <row r="19" spans="1:19" x14ac:dyDescent="0.25">
      <c r="A19" t="str">
        <f>PLANTILLA!D8</f>
        <v>J-L. Grellier</v>
      </c>
      <c r="B19">
        <f>PLANTILLA!E8</f>
        <v>33</v>
      </c>
      <c r="C19" s="299">
        <f ca="1">PLANTILLA!F8</f>
        <v>111</v>
      </c>
      <c r="E19" s="76">
        <f>PLANTILLA!J8</f>
        <v>1.1894594702539738</v>
      </c>
      <c r="F19" s="74">
        <f>PLANTILLA!O8</f>
        <v>1.5</v>
      </c>
      <c r="G19" s="74">
        <f>PLANTILLA!W8</f>
        <v>0</v>
      </c>
      <c r="H19" s="74">
        <f>PLANTILLA!X8</f>
        <v>5</v>
      </c>
      <c r="I19" s="74">
        <f>PLANTILLA!Y8</f>
        <v>5</v>
      </c>
      <c r="J19" s="74">
        <f>PLANTILLA!Z8</f>
        <v>1</v>
      </c>
      <c r="K19" s="74">
        <f>PLANTILLA!AA8</f>
        <v>0</v>
      </c>
      <c r="L19" s="74">
        <f>PLANTILLA!AB8</f>
        <v>1</v>
      </c>
      <c r="M19" s="74">
        <f>PLANTILLA!AC8</f>
        <v>3</v>
      </c>
      <c r="N19" s="76"/>
      <c r="O19" s="76"/>
      <c r="S19" s="322"/>
    </row>
    <row r="20" spans="1:19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2"/>
    </row>
    <row r="21" spans="1:19" x14ac:dyDescent="0.25">
      <c r="A21" t="str">
        <f>PLANTILLA!D16</f>
        <v>T. Lebon</v>
      </c>
      <c r="B21">
        <f>PLANTILLA!E16</f>
        <v>20</v>
      </c>
      <c r="C21" s="299">
        <f ca="1">PLANTILLA!F16</f>
        <v>47</v>
      </c>
      <c r="D21" t="str">
        <f>PLANTILLA!G16</f>
        <v>TEC</v>
      </c>
      <c r="E21" s="76">
        <f>PLANTILLA!J16</f>
        <v>0.75760229875599328</v>
      </c>
      <c r="F21" s="74">
        <f>PLANTILLA!O16</f>
        <v>1.5</v>
      </c>
      <c r="G21" s="74">
        <f>PLANTILLA!W16</f>
        <v>0</v>
      </c>
      <c r="H21" s="74">
        <f>PLANTILLA!X16</f>
        <v>4</v>
      </c>
      <c r="I21" s="74">
        <f>PLANTILLA!Y16</f>
        <v>11.375</v>
      </c>
      <c r="J21" s="74">
        <f>PLANTILLA!Z16</f>
        <v>5</v>
      </c>
      <c r="K21" s="74">
        <f>PLANTILLA!AA16</f>
        <v>4.333333333333333</v>
      </c>
      <c r="L21" s="74">
        <f>PLANTILLA!AB16</f>
        <v>6</v>
      </c>
      <c r="M21" s="74">
        <f>PLANTILLA!AC16</f>
        <v>2</v>
      </c>
      <c r="N21" s="76"/>
      <c r="O21" s="76"/>
      <c r="S21" s="322"/>
    </row>
    <row r="22" spans="1:19" x14ac:dyDescent="0.25">
      <c r="A22" t="e">
        <f>PLANTILLA!#REF!</f>
        <v>#REF!</v>
      </c>
      <c r="B22" t="e">
        <f>PLANTILLA!#REF!</f>
        <v>#REF!</v>
      </c>
      <c r="C22" s="299" t="e">
        <f>PLANTILLA!#REF!</f>
        <v>#REF!</v>
      </c>
      <c r="D22" t="e">
        <f>PLANTILLA!#REF!</f>
        <v>#REF!</v>
      </c>
      <c r="E22" s="76" t="e">
        <f>PLANTILLA!#REF!</f>
        <v>#REF!</v>
      </c>
      <c r="F22" s="74" t="e">
        <f>PLANTILLA!#REF!</f>
        <v>#REF!</v>
      </c>
      <c r="G22" s="74" t="e">
        <f>PLANTILLA!#REF!</f>
        <v>#REF!</v>
      </c>
      <c r="H22" s="74" t="e">
        <f>PLANTILLA!#REF!</f>
        <v>#REF!</v>
      </c>
      <c r="I22" s="74" t="e">
        <f>PLANTILLA!#REF!</f>
        <v>#REF!</v>
      </c>
      <c r="J22" s="74" t="e">
        <f>PLANTILLA!#REF!</f>
        <v>#REF!</v>
      </c>
      <c r="K22" s="74" t="e">
        <f>PLANTILLA!#REF!</f>
        <v>#REF!</v>
      </c>
      <c r="L22" s="74" t="e">
        <f>PLANTILLA!#REF!</f>
        <v>#REF!</v>
      </c>
      <c r="M22" s="74" t="e">
        <f>PLANTILLA!#REF!</f>
        <v>#REF!</v>
      </c>
      <c r="N22" s="76"/>
      <c r="O22" s="76"/>
    </row>
    <row r="23" spans="1:19" x14ac:dyDescent="0.25">
      <c r="A23" t="str">
        <f>PLANTILLA!D25</f>
        <v>I. Velayo</v>
      </c>
      <c r="B23">
        <f>PLANTILLA!E25</f>
        <v>21</v>
      </c>
      <c r="C23" s="299">
        <f ca="1">PLANTILLA!F25</f>
        <v>106</v>
      </c>
      <c r="E23" s="76">
        <f>PLANTILLA!J25</f>
        <v>0.8836771089087655</v>
      </c>
      <c r="F23" s="74">
        <f>PLANTILLA!O25</f>
        <v>1.5</v>
      </c>
      <c r="G23" s="74">
        <f>PLANTILLA!W25</f>
        <v>0</v>
      </c>
      <c r="H23" s="74">
        <f>PLANTILLA!X25</f>
        <v>4</v>
      </c>
      <c r="I23" s="74">
        <f>PLANTILLA!Y25</f>
        <v>8</v>
      </c>
      <c r="J23" s="74">
        <f>PLANTILLA!Z25</f>
        <v>3</v>
      </c>
      <c r="K23" s="74">
        <f>PLANTILLA!AA25</f>
        <v>4</v>
      </c>
      <c r="L23" s="74">
        <f>PLANTILLA!AB25</f>
        <v>9</v>
      </c>
      <c r="M23" s="74">
        <f>PLANTILLA!AC25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299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109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99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158</v>
      </c>
      <c r="O5" s="320" t="s">
        <v>48</v>
      </c>
      <c r="P5" s="321" t="s">
        <v>391</v>
      </c>
      <c r="Q5" s="321" t="s">
        <v>392</v>
      </c>
      <c r="R5" s="321" t="s">
        <v>393</v>
      </c>
      <c r="S5" s="321" t="s">
        <v>394</v>
      </c>
      <c r="T5" s="321" t="s">
        <v>395</v>
      </c>
      <c r="U5" s="321" t="s">
        <v>396</v>
      </c>
      <c r="V5" s="321" t="s">
        <v>397</v>
      </c>
      <c r="W5" s="321" t="s">
        <v>333</v>
      </c>
    </row>
    <row r="6" spans="1:23" x14ac:dyDescent="0.25">
      <c r="A6" t="str">
        <f>PLANTILLA!D20</f>
        <v>A. Aguilella</v>
      </c>
      <c r="B6">
        <f>PLANTILLA!E20</f>
        <v>26</v>
      </c>
      <c r="C6" s="299">
        <f ca="1">PLANTILLA!F20</f>
        <v>25</v>
      </c>
      <c r="E6" s="76">
        <f>PLANTILLA!J20</f>
        <v>0.84462460743944867</v>
      </c>
      <c r="F6" s="74">
        <f>PLANTILLA!O20</f>
        <v>1.5</v>
      </c>
      <c r="G6" s="74">
        <f>PLANTILLA!W20</f>
        <v>0</v>
      </c>
      <c r="H6" s="74">
        <f>PLANTILLA!X20</f>
        <v>4</v>
      </c>
      <c r="I6" s="74">
        <f>PLANTILLA!Y20</f>
        <v>6</v>
      </c>
      <c r="J6" s="74">
        <f>PLANTILLA!Z20</f>
        <v>5</v>
      </c>
      <c r="K6" s="74">
        <f>PLANTILLA!AA20</f>
        <v>4</v>
      </c>
      <c r="L6" s="74">
        <f>PLANTILLA!AB20</f>
        <v>2.5</v>
      </c>
      <c r="M6" s="74">
        <f>PLANTILLA!AC20</f>
        <v>4</v>
      </c>
      <c r="N6" s="76">
        <f>1/3</f>
        <v>0.33333333333333331</v>
      </c>
      <c r="O6" s="76" t="s">
        <v>99</v>
      </c>
      <c r="P6" s="322"/>
      <c r="Q6" s="322"/>
      <c r="R6" s="322"/>
      <c r="S6" s="322"/>
      <c r="T6" s="322">
        <f>$N6*T$3</f>
        <v>0.28800000000000003</v>
      </c>
      <c r="U6" s="322">
        <f>$N6*U$3</f>
        <v>0</v>
      </c>
      <c r="V6" s="322">
        <f>$N6*V$3</f>
        <v>0</v>
      </c>
      <c r="W6" s="323">
        <f>V6+U6+T6</f>
        <v>0.28800000000000003</v>
      </c>
    </row>
    <row r="7" spans="1:23" x14ac:dyDescent="0.25">
      <c r="A7" t="str">
        <f>PLANTILLA!D24</f>
        <v>L. Cabistany</v>
      </c>
      <c r="B7">
        <f>PLANTILLA!E24</f>
        <v>18</v>
      </c>
      <c r="C7" s="299">
        <f ca="1">PLANTILLA!F24</f>
        <v>53</v>
      </c>
      <c r="E7" s="76">
        <f>PLANTILLA!J24</f>
        <v>0.48230378135679047</v>
      </c>
      <c r="F7" s="74">
        <f>PLANTILLA!O24</f>
        <v>1.5</v>
      </c>
      <c r="G7" s="74">
        <f>PLANTILLA!W24</f>
        <v>0</v>
      </c>
      <c r="H7" s="74">
        <f>PLANTILLA!X24</f>
        <v>2</v>
      </c>
      <c r="I7" s="74">
        <f>PLANTILLA!Y24</f>
        <v>6.25</v>
      </c>
      <c r="J7" s="74">
        <f>PLANTILLA!Z24</f>
        <v>3</v>
      </c>
      <c r="K7" s="74">
        <f>PLANTILLA!AA24</f>
        <v>6</v>
      </c>
      <c r="L7" s="74">
        <f>PLANTILLA!AB24</f>
        <v>6</v>
      </c>
      <c r="M7" s="74">
        <f>PLANTILLA!AC24</f>
        <v>2</v>
      </c>
      <c r="N7" s="76">
        <f>1/3</f>
        <v>0.33333333333333331</v>
      </c>
      <c r="O7" s="76" t="s">
        <v>13</v>
      </c>
      <c r="T7" s="322">
        <f>$N7*T$4</f>
        <v>7.3666666666666658E-2</v>
      </c>
      <c r="U7" s="322">
        <f>$N7*U$4</f>
        <v>0</v>
      </c>
      <c r="V7" s="322">
        <f>$N7*V$4</f>
        <v>7.3666666666666658E-2</v>
      </c>
      <c r="W7" s="323">
        <f>V7+U7+T7</f>
        <v>0.14733333333333332</v>
      </c>
    </row>
    <row r="8" spans="1:23" x14ac:dyDescent="0.25">
      <c r="A8" t="str">
        <f>PLANTILLA!D21</f>
        <v>T. Averous</v>
      </c>
      <c r="B8">
        <f>PLANTILLA!E21</f>
        <v>28</v>
      </c>
      <c r="C8" s="299">
        <f ca="1">PLANTILLA!F21</f>
        <v>7</v>
      </c>
      <c r="E8" s="76">
        <f>PLANTILLA!J21</f>
        <v>0.98715025265899181</v>
      </c>
      <c r="F8" s="74">
        <f>PLANTILLA!O21</f>
        <v>1.5</v>
      </c>
      <c r="G8" s="74">
        <f>PLANTILLA!W21</f>
        <v>0</v>
      </c>
      <c r="H8" s="74">
        <f>PLANTILLA!X21</f>
        <v>3</v>
      </c>
      <c r="I8" s="74">
        <f>PLANTILLA!Y21</f>
        <v>6</v>
      </c>
      <c r="J8" s="74">
        <f>PLANTILLA!Z21</f>
        <v>6</v>
      </c>
      <c r="K8" s="74">
        <f>PLANTILLA!AA21</f>
        <v>5</v>
      </c>
      <c r="L8" s="74">
        <f>PLANTILLA!AB21</f>
        <v>3</v>
      </c>
      <c r="M8" s="74">
        <f>PLANTILLA!AC21</f>
        <v>4</v>
      </c>
      <c r="N8" s="76"/>
      <c r="O8" s="76"/>
      <c r="P8" s="322"/>
      <c r="Q8" s="322"/>
      <c r="R8" s="322"/>
      <c r="S8" s="322"/>
      <c r="T8" s="322"/>
      <c r="U8" s="322"/>
      <c r="V8" s="322"/>
      <c r="W8" s="323"/>
    </row>
    <row r="9" spans="1:23" x14ac:dyDescent="0.25">
      <c r="A9" t="str">
        <f>PLANTILLA!D7</f>
        <v>D. Juliol</v>
      </c>
      <c r="B9">
        <f>PLANTILLA!E7</f>
        <v>20</v>
      </c>
      <c r="C9" s="299">
        <f ca="1">PLANTILLA!F7</f>
        <v>24</v>
      </c>
      <c r="E9" s="76">
        <f>PLANTILLA!J7</f>
        <v>0.80274665510394982</v>
      </c>
      <c r="F9" s="74">
        <f>PLANTILLA!O7</f>
        <v>1.5</v>
      </c>
      <c r="G9" s="74">
        <f>PLANTILLA!W7</f>
        <v>1</v>
      </c>
      <c r="H9" s="74">
        <f>PLANTILLA!X7</f>
        <v>5</v>
      </c>
      <c r="I9" s="74">
        <f>PLANTILLA!Y7</f>
        <v>7.2</v>
      </c>
      <c r="J9" s="74">
        <f>PLANTILLA!Z7</f>
        <v>5</v>
      </c>
      <c r="K9" s="74">
        <f>PLANTILLA!AA7</f>
        <v>2</v>
      </c>
      <c r="L9" s="74">
        <f>PLANTILLA!AB7</f>
        <v>6.25</v>
      </c>
      <c r="M9" s="74">
        <f>PLANTILLA!AC7</f>
        <v>1</v>
      </c>
      <c r="N9" s="76"/>
      <c r="O9" s="76"/>
      <c r="T9" s="322"/>
      <c r="U9" s="322"/>
      <c r="V9" s="322"/>
      <c r="W9" s="323"/>
    </row>
    <row r="10" spans="1:23" x14ac:dyDescent="0.25">
      <c r="A10" t="str">
        <f>PLANTILLA!D6</f>
        <v>M. Teixé</v>
      </c>
      <c r="B10">
        <f>PLANTILLA!E6</f>
        <v>31</v>
      </c>
      <c r="C10" s="299">
        <f ca="1">PLANTILLA!F6</f>
        <v>108</v>
      </c>
      <c r="E10" s="76">
        <f>PLANTILLA!J6</f>
        <v>1.1267973866856758</v>
      </c>
      <c r="F10" s="74">
        <f>PLANTILLA!O6</f>
        <v>1.5</v>
      </c>
      <c r="G10" s="74">
        <f>PLANTILLA!W6</f>
        <v>0</v>
      </c>
      <c r="H10" s="74">
        <f>PLANTILLA!X6</f>
        <v>6</v>
      </c>
      <c r="I10" s="74">
        <f>PLANTILLA!Y6</f>
        <v>3.2</v>
      </c>
      <c r="J10" s="74">
        <f>PLANTILLA!Z6</f>
        <v>5</v>
      </c>
      <c r="K10" s="74">
        <f>PLANTILLA!AA6</f>
        <v>3</v>
      </c>
      <c r="L10" s="74">
        <f>PLANTILLA!AB6</f>
        <v>2</v>
      </c>
      <c r="M10" s="74">
        <f>PLANTILLA!AC6</f>
        <v>4</v>
      </c>
      <c r="N10" s="76"/>
      <c r="O10" s="76"/>
      <c r="T10" s="322"/>
      <c r="U10" s="322"/>
      <c r="V10" s="322"/>
      <c r="W10" s="323"/>
    </row>
    <row r="11" spans="1:23" x14ac:dyDescent="0.25">
      <c r="A11" t="e">
        <f>PLANTILLA!#REF!</f>
        <v>#REF!</v>
      </c>
      <c r="B11" t="e">
        <f>PLANTILLA!#REF!</f>
        <v>#REF!</v>
      </c>
      <c r="C11" s="299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O11" s="76"/>
      <c r="T11" s="322"/>
      <c r="U11" s="322"/>
      <c r="V11" s="322"/>
      <c r="W11" s="322"/>
    </row>
    <row r="12" spans="1:23" x14ac:dyDescent="0.25">
      <c r="A12" t="str">
        <f>PLANTILLA!D5</f>
        <v>S. Candela</v>
      </c>
      <c r="B12">
        <f>PLANTILLA!E5</f>
        <v>26</v>
      </c>
      <c r="C12" s="299">
        <f ca="1">PLANTILLA!F5</f>
        <v>70</v>
      </c>
      <c r="D12" t="str">
        <f>PLANTILLA!G5</f>
        <v>CAB</v>
      </c>
      <c r="E12" s="76">
        <f>PLANTILLA!J5</f>
        <v>0.8309990538638673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2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2"/>
      <c r="Q12" s="322"/>
      <c r="R12" s="322"/>
      <c r="S12" s="322"/>
    </row>
    <row r="13" spans="1:23" x14ac:dyDescent="0.25">
      <c r="A13" t="str">
        <f>PLANTILLA!D18</f>
        <v>A. Balsebre</v>
      </c>
      <c r="B13">
        <f>PLANTILLA!E18</f>
        <v>19</v>
      </c>
      <c r="C13" s="299">
        <f ca="1">PLANTILLA!F18</f>
        <v>45</v>
      </c>
      <c r="E13" s="76">
        <f>PLANTILLA!J18</f>
        <v>0.63616167295954995</v>
      </c>
      <c r="F13" s="74">
        <f>PLANTILLA!O18</f>
        <v>1.5</v>
      </c>
      <c r="G13" s="74">
        <f>PLANTILLA!W18</f>
        <v>0</v>
      </c>
      <c r="H13" s="74">
        <f>PLANTILLA!X18</f>
        <v>4</v>
      </c>
      <c r="I13" s="74">
        <f>PLANTILLA!Y18</f>
        <v>12.111111111111111</v>
      </c>
      <c r="J13" s="74">
        <f>PLANTILLA!Z18</f>
        <v>2</v>
      </c>
      <c r="K13" s="74">
        <f>PLANTILLA!AA18</f>
        <v>5</v>
      </c>
      <c r="L13" s="74">
        <f>PLANTILLA!AB18</f>
        <v>3.3333333333333335</v>
      </c>
      <c r="M13" s="74">
        <f>PLANTILLA!AC18</f>
        <v>4</v>
      </c>
      <c r="N13" s="76"/>
      <c r="O13" s="76"/>
      <c r="P13" s="322"/>
      <c r="Q13" s="322"/>
      <c r="R13" s="322"/>
      <c r="S13" s="322"/>
    </row>
    <row r="14" spans="1:23" x14ac:dyDescent="0.25">
      <c r="A14" t="str">
        <f>PLANTILLA!D19</f>
        <v>L. Grière</v>
      </c>
      <c r="B14">
        <f>PLANTILLA!E19</f>
        <v>19</v>
      </c>
      <c r="C14" s="299">
        <f ca="1">PLANTILLA!F19</f>
        <v>66</v>
      </c>
      <c r="E14" s="76">
        <f>PLANTILLA!J19</f>
        <v>0.69135191983718325</v>
      </c>
      <c r="F14" s="74">
        <f>PLANTILLA!O19</f>
        <v>1.5</v>
      </c>
      <c r="G14" s="74">
        <f>PLANTILLA!W19</f>
        <v>0</v>
      </c>
      <c r="H14" s="74">
        <f>PLANTILLA!X19</f>
        <v>4</v>
      </c>
      <c r="I14" s="74">
        <f>PLANTILLA!Y19</f>
        <v>10.285714285714286</v>
      </c>
      <c r="J14" s="74">
        <f>PLANTILLA!Z19</f>
        <v>6</v>
      </c>
      <c r="K14" s="74">
        <f>PLANTILLA!AA19</f>
        <v>2</v>
      </c>
      <c r="L14" s="74">
        <f>PLANTILLA!AB19</f>
        <v>5</v>
      </c>
      <c r="M14" s="74">
        <f>PLANTILLA!AC19</f>
        <v>0</v>
      </c>
      <c r="N14" s="76"/>
      <c r="O14" s="76"/>
      <c r="P14" s="322"/>
      <c r="Q14" s="322"/>
      <c r="R14" s="322"/>
      <c r="S14" s="322"/>
    </row>
    <row r="15" spans="1:23" x14ac:dyDescent="0.25">
      <c r="A15" t="str">
        <f>PLANTILLA!D4</f>
        <v>E. Tarrida</v>
      </c>
      <c r="B15">
        <f>PLANTILLA!E4</f>
        <v>23</v>
      </c>
      <c r="C15" s="299">
        <f ca="1">PLANTILLA!F4</f>
        <v>79</v>
      </c>
      <c r="D15" t="str">
        <f>PLANTILLA!G4</f>
        <v>RAP</v>
      </c>
      <c r="E15" s="76">
        <f>PLANTILLA!J4</f>
        <v>1.0278026821895256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4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2"/>
      <c r="Q15" s="322"/>
      <c r="R15" s="322"/>
      <c r="S15" s="322"/>
    </row>
    <row r="16" spans="1:23" x14ac:dyDescent="0.25">
      <c r="A16" t="str">
        <f>PLANTILLA!D13</f>
        <v>I. Escuder</v>
      </c>
      <c r="B16">
        <f>PLANTILLA!E13</f>
        <v>28</v>
      </c>
      <c r="C16" s="299">
        <f ca="1">PLANTILLA!F13</f>
        <v>51</v>
      </c>
      <c r="E16" s="76">
        <f>PLANTILLA!J13</f>
        <v>0.98715025265899181</v>
      </c>
      <c r="F16" s="74">
        <f>PLANTILLA!O13</f>
        <v>1.5</v>
      </c>
      <c r="G16" s="74">
        <f>PLANTILLA!W13</f>
        <v>0</v>
      </c>
      <c r="H16" s="74">
        <f>PLANTILLA!X13</f>
        <v>5</v>
      </c>
      <c r="I16" s="74">
        <f>PLANTILLA!Y13</f>
        <v>7.2</v>
      </c>
      <c r="J16" s="74">
        <f>PLANTILLA!Z13</f>
        <v>2</v>
      </c>
      <c r="K16" s="74">
        <f>PLANTILLA!AA13</f>
        <v>3</v>
      </c>
      <c r="L16" s="74">
        <f>PLANTILLA!AB13</f>
        <v>2</v>
      </c>
      <c r="M16" s="74">
        <f>PLANTILLA!AC13</f>
        <v>4</v>
      </c>
      <c r="N16" s="76"/>
      <c r="O16" s="76"/>
      <c r="P16" s="322"/>
      <c r="Q16" s="322"/>
      <c r="R16" s="322"/>
      <c r="S16" s="322"/>
    </row>
    <row r="17" spans="1:15" x14ac:dyDescent="0.25">
      <c r="A17" t="str">
        <f>PLANTILLA!D8</f>
        <v>J-L. Grellier</v>
      </c>
      <c r="B17">
        <f>PLANTILLA!E8</f>
        <v>33</v>
      </c>
      <c r="C17" s="299">
        <f ca="1">PLANTILLA!F8</f>
        <v>111</v>
      </c>
      <c r="E17" s="76">
        <f>PLANTILLA!J8</f>
        <v>1.1894594702539738</v>
      </c>
      <c r="F17" s="74">
        <f>PLANTILLA!O8</f>
        <v>1.5</v>
      </c>
      <c r="G17" s="74">
        <f>PLANTILLA!W8</f>
        <v>0</v>
      </c>
      <c r="H17" s="74">
        <f>PLANTILLA!X8</f>
        <v>5</v>
      </c>
      <c r="I17" s="74">
        <f>PLANTILLA!Y8</f>
        <v>5</v>
      </c>
      <c r="J17" s="74">
        <f>PLANTILLA!Z8</f>
        <v>1</v>
      </c>
      <c r="K17" s="74">
        <f>PLANTILLA!AA8</f>
        <v>0</v>
      </c>
      <c r="L17" s="74">
        <f>PLANTILLA!AB8</f>
        <v>1</v>
      </c>
      <c r="M17" s="74">
        <f>PLANTILLA!AC8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299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PLANTILLA!D16</f>
        <v>T. Lebon</v>
      </c>
      <c r="B19">
        <f>PLANTILLA!E16</f>
        <v>20</v>
      </c>
      <c r="C19" s="299">
        <f ca="1">PLANTILLA!F16</f>
        <v>47</v>
      </c>
      <c r="D19" t="str">
        <f>PLANTILLA!G16</f>
        <v>TEC</v>
      </c>
      <c r="E19" s="76">
        <f>PLANTILLA!J16</f>
        <v>0.75760229875599328</v>
      </c>
      <c r="F19" s="74">
        <f>PLANTILLA!O16</f>
        <v>1.5</v>
      </c>
      <c r="G19" s="74">
        <f>PLANTILLA!W16</f>
        <v>0</v>
      </c>
      <c r="H19" s="74">
        <f>PLANTILLA!X16</f>
        <v>4</v>
      </c>
      <c r="I19" s="74">
        <f>PLANTILLA!Y16</f>
        <v>11.375</v>
      </c>
      <c r="J19" s="74">
        <f>PLANTILLA!Z16</f>
        <v>5</v>
      </c>
      <c r="K19" s="74">
        <f>PLANTILLA!AA16</f>
        <v>4.333333333333333</v>
      </c>
      <c r="L19" s="74">
        <f>PLANTILLA!AB16</f>
        <v>6</v>
      </c>
      <c r="M19" s="74">
        <f>PLANTILLA!AC16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PLANTILLA!D25</f>
        <v>I. Velayo</v>
      </c>
      <c r="B21">
        <f>PLANTILLA!E25</f>
        <v>21</v>
      </c>
      <c r="C21" s="299">
        <f ca="1">PLANTILLA!F25</f>
        <v>106</v>
      </c>
      <c r="E21" s="76">
        <f>PLANTILLA!J25</f>
        <v>0.8836771089087655</v>
      </c>
      <c r="F21" s="74">
        <f>PLANTILLA!O25</f>
        <v>1.5</v>
      </c>
      <c r="G21" s="74">
        <f>PLANTILLA!W25</f>
        <v>0</v>
      </c>
      <c r="H21" s="74">
        <f>PLANTILLA!X25</f>
        <v>4</v>
      </c>
      <c r="I21" s="74">
        <f>PLANTILLA!Y25</f>
        <v>8</v>
      </c>
      <c r="J21" s="74">
        <f>PLANTILLA!Z25</f>
        <v>3</v>
      </c>
      <c r="K21" s="74">
        <f>PLANTILLA!AA25</f>
        <v>4</v>
      </c>
      <c r="L21" s="74">
        <f>PLANTILLA!AB25</f>
        <v>9</v>
      </c>
      <c r="M21" s="74">
        <f>PLANTILLA!AC25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299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99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13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18" t="s">
        <v>49</v>
      </c>
      <c r="B6" s="319" t="s">
        <v>50</v>
      </c>
      <c r="C6" s="319" t="s">
        <v>51</v>
      </c>
      <c r="D6" s="319" t="s">
        <v>52</v>
      </c>
      <c r="E6" s="319" t="s">
        <v>55</v>
      </c>
      <c r="F6" s="319" t="s">
        <v>60</v>
      </c>
      <c r="G6" s="319" t="s">
        <v>68</v>
      </c>
      <c r="H6" s="319" t="s">
        <v>69</v>
      </c>
      <c r="I6" s="319" t="s">
        <v>70</v>
      </c>
      <c r="J6" s="319" t="s">
        <v>71</v>
      </c>
      <c r="K6" s="319" t="s">
        <v>72</v>
      </c>
      <c r="L6" s="319" t="s">
        <v>73</v>
      </c>
      <c r="M6" s="319" t="s">
        <v>52</v>
      </c>
      <c r="N6" s="320" t="s">
        <v>158</v>
      </c>
      <c r="O6" s="320" t="s">
        <v>48</v>
      </c>
      <c r="P6" s="321" t="s">
        <v>391</v>
      </c>
      <c r="Q6" s="321" t="s">
        <v>392</v>
      </c>
      <c r="R6" s="321" t="s">
        <v>393</v>
      </c>
      <c r="S6" s="321" t="s">
        <v>394</v>
      </c>
      <c r="T6" s="321" t="s">
        <v>395</v>
      </c>
      <c r="U6" s="321" t="s">
        <v>396</v>
      </c>
      <c r="V6" s="321" t="s">
        <v>397</v>
      </c>
      <c r="W6" s="321" t="s">
        <v>85</v>
      </c>
    </row>
    <row r="7" spans="1:23" x14ac:dyDescent="0.25">
      <c r="A7" t="str">
        <f>PLANTILLA!D18</f>
        <v>A. Balsebre</v>
      </c>
      <c r="B7">
        <f>PLANTILLA!E18</f>
        <v>19</v>
      </c>
      <c r="C7" s="299">
        <f ca="1">PLANTILLA!F18</f>
        <v>45</v>
      </c>
      <c r="E7" s="76">
        <f>PLANTILLA!J18</f>
        <v>0.63616167295954995</v>
      </c>
      <c r="F7" s="74">
        <f>PLANTILLA!O18</f>
        <v>1.5</v>
      </c>
      <c r="G7" s="74">
        <f>PLANTILLA!W18</f>
        <v>0</v>
      </c>
      <c r="H7" s="74">
        <f>PLANTILLA!X18</f>
        <v>4</v>
      </c>
      <c r="I7" s="74">
        <f>PLANTILLA!Y18</f>
        <v>12.111111111111111</v>
      </c>
      <c r="J7" s="74">
        <f>PLANTILLA!Z18</f>
        <v>2</v>
      </c>
      <c r="K7" s="74">
        <f>PLANTILLA!AA18</f>
        <v>5</v>
      </c>
      <c r="L7" s="74">
        <f>PLANTILLA!AB18</f>
        <v>3.3333333333333335</v>
      </c>
      <c r="M7" s="74">
        <f>PLANTILLA!AC18</f>
        <v>4</v>
      </c>
      <c r="N7" s="76">
        <f>1/4</f>
        <v>0.25</v>
      </c>
      <c r="O7" s="76" t="s">
        <v>98</v>
      </c>
      <c r="P7" s="322"/>
      <c r="Q7" s="322"/>
      <c r="R7" s="322"/>
      <c r="S7" s="322"/>
      <c r="T7" s="322">
        <f>$N7*T$2</f>
        <v>4.7E-2</v>
      </c>
      <c r="U7" s="322">
        <f>$N7*U$2</f>
        <v>0.12675</v>
      </c>
      <c r="V7" s="322">
        <f>$N7*V$2</f>
        <v>4.7E-2</v>
      </c>
      <c r="W7" s="324">
        <f>V7+U7+T7</f>
        <v>0.22075</v>
      </c>
    </row>
    <row r="8" spans="1:23" x14ac:dyDescent="0.25">
      <c r="A8" t="str">
        <f>PLANTILLA!D24</f>
        <v>L. Cabistany</v>
      </c>
      <c r="B8">
        <f>PLANTILLA!E24</f>
        <v>18</v>
      </c>
      <c r="C8" s="299">
        <f ca="1">PLANTILLA!F24</f>
        <v>53</v>
      </c>
      <c r="E8" s="76">
        <f>PLANTILLA!J24</f>
        <v>0.48230378135679047</v>
      </c>
      <c r="F8" s="74">
        <f>PLANTILLA!O24</f>
        <v>1.5</v>
      </c>
      <c r="G8" s="74">
        <f>PLANTILLA!W24</f>
        <v>0</v>
      </c>
      <c r="H8" s="74">
        <f>PLANTILLA!X24</f>
        <v>2</v>
      </c>
      <c r="I8" s="74">
        <f>PLANTILLA!Y24</f>
        <v>6.25</v>
      </c>
      <c r="J8" s="74">
        <f>PLANTILLA!Z24</f>
        <v>3</v>
      </c>
      <c r="K8" s="74">
        <f>PLANTILLA!AA24</f>
        <v>6</v>
      </c>
      <c r="L8" s="74">
        <f>PLANTILLA!AB24</f>
        <v>6</v>
      </c>
      <c r="M8" s="74">
        <f>PLANTILLA!AC24</f>
        <v>2</v>
      </c>
      <c r="N8" s="76">
        <f>1/3</f>
        <v>0.33333333333333331</v>
      </c>
      <c r="O8" s="76" t="s">
        <v>13</v>
      </c>
      <c r="T8" s="322">
        <f>$N8*T$5</f>
        <v>4.7333333333333324E-2</v>
      </c>
      <c r="U8" s="322">
        <f>$N8*U$5</f>
        <v>0.123</v>
      </c>
      <c r="V8" s="322">
        <f>$N8*V$5</f>
        <v>4.7333333333333324E-2</v>
      </c>
      <c r="W8" s="324">
        <f>V8+U8+T8</f>
        <v>0.21766666666666667</v>
      </c>
    </row>
    <row r="9" spans="1:23" x14ac:dyDescent="0.25">
      <c r="A9" t="str">
        <f>PLANTILLA!D20</f>
        <v>A. Aguilella</v>
      </c>
      <c r="B9">
        <f>PLANTILLA!E20</f>
        <v>26</v>
      </c>
      <c r="C9" s="299">
        <f ca="1">PLANTILLA!F20</f>
        <v>25</v>
      </c>
      <c r="E9" s="76">
        <f>PLANTILLA!J20</f>
        <v>0.84462460743944867</v>
      </c>
      <c r="F9" s="74">
        <f>PLANTILLA!O20</f>
        <v>1.5</v>
      </c>
      <c r="G9" s="74">
        <f>PLANTILLA!W20</f>
        <v>0</v>
      </c>
      <c r="H9" s="74">
        <f>PLANTILLA!X20</f>
        <v>4</v>
      </c>
      <c r="I9" s="74">
        <f>PLANTILLA!Y20</f>
        <v>6</v>
      </c>
      <c r="J9" s="74">
        <f>PLANTILLA!Z20</f>
        <v>5</v>
      </c>
      <c r="K9" s="74">
        <f>PLANTILLA!AA20</f>
        <v>4</v>
      </c>
      <c r="L9" s="74">
        <f>PLANTILLA!AB20</f>
        <v>2.5</v>
      </c>
      <c r="M9" s="74">
        <f>PLANTILLA!AC20</f>
        <v>4</v>
      </c>
      <c r="N9" s="76">
        <f>1/3</f>
        <v>0.33333333333333331</v>
      </c>
      <c r="O9" s="76" t="s">
        <v>99</v>
      </c>
      <c r="P9" s="322"/>
      <c r="Q9" s="322"/>
      <c r="R9" s="322"/>
      <c r="S9" s="322"/>
      <c r="T9" s="322">
        <f>$N9*T$4</f>
        <v>8.1333333333333327E-2</v>
      </c>
      <c r="U9" s="322">
        <f>$N9*U$4</f>
        <v>4.0333333333333332E-2</v>
      </c>
      <c r="V9" s="322">
        <f>$N9*V$4</f>
        <v>0</v>
      </c>
      <c r="W9" s="324">
        <f>V9+U9+T9</f>
        <v>0.12166666666666666</v>
      </c>
    </row>
    <row r="10" spans="1:23" x14ac:dyDescent="0.25">
      <c r="A10" t="str">
        <f>PLANTILLA!D19</f>
        <v>L. Grière</v>
      </c>
      <c r="B10">
        <f>PLANTILLA!E19</f>
        <v>19</v>
      </c>
      <c r="C10" s="299">
        <f ca="1">PLANTILLA!F19</f>
        <v>66</v>
      </c>
      <c r="E10" s="76">
        <f>PLANTILLA!J19</f>
        <v>0.69135191983718325</v>
      </c>
      <c r="F10" s="74">
        <f>PLANTILLA!O19</f>
        <v>1.5</v>
      </c>
      <c r="G10" s="74">
        <f>PLANTILLA!W19</f>
        <v>0</v>
      </c>
      <c r="H10" s="74">
        <f>PLANTILLA!X19</f>
        <v>4</v>
      </c>
      <c r="I10" s="74">
        <f>PLANTILLA!Y19</f>
        <v>10.285714285714286</v>
      </c>
      <c r="J10" s="74">
        <f>PLANTILLA!Z19</f>
        <v>6</v>
      </c>
      <c r="K10" s="74">
        <f>PLANTILLA!AA19</f>
        <v>2</v>
      </c>
      <c r="L10" s="74">
        <f>PLANTILLA!AB19</f>
        <v>5</v>
      </c>
      <c r="M10" s="74">
        <f>PLANTILLA!AC19</f>
        <v>0</v>
      </c>
      <c r="N10" s="76"/>
      <c r="O10" s="76"/>
      <c r="P10" s="322"/>
      <c r="Q10" s="322"/>
      <c r="R10" s="322"/>
      <c r="S10" s="322"/>
      <c r="T10" s="322"/>
      <c r="U10" s="322"/>
      <c r="V10" s="322"/>
      <c r="W10" s="324"/>
    </row>
    <row r="11" spans="1:23" x14ac:dyDescent="0.25">
      <c r="A11" t="str">
        <f>PLANTILLA!D13</f>
        <v>I. Escuder</v>
      </c>
      <c r="B11">
        <f>PLANTILLA!E13</f>
        <v>28</v>
      </c>
      <c r="C11" s="299">
        <f ca="1">PLANTILLA!F13</f>
        <v>51</v>
      </c>
      <c r="E11" s="76">
        <f>PLANTILLA!J13</f>
        <v>0.98715025265899181</v>
      </c>
      <c r="F11" s="74">
        <f>PLANTILLA!O13</f>
        <v>1.5</v>
      </c>
      <c r="G11" s="74">
        <f>PLANTILLA!W13</f>
        <v>0</v>
      </c>
      <c r="H11" s="74">
        <f>PLANTILLA!X13</f>
        <v>5</v>
      </c>
      <c r="I11" s="74">
        <f>PLANTILLA!Y13</f>
        <v>7.2</v>
      </c>
      <c r="J11" s="74">
        <f>PLANTILLA!Z13</f>
        <v>2</v>
      </c>
      <c r="K11" s="74">
        <f>PLANTILLA!AA13</f>
        <v>3</v>
      </c>
      <c r="L11" s="74">
        <f>PLANTILLA!AB13</f>
        <v>2</v>
      </c>
      <c r="M11" s="74">
        <f>PLANTILLA!AC13</f>
        <v>4</v>
      </c>
      <c r="N11" s="76"/>
      <c r="O11" s="76"/>
      <c r="P11" s="322"/>
      <c r="Q11" s="322"/>
      <c r="R11" s="322"/>
      <c r="S11" s="322"/>
      <c r="T11" s="322"/>
      <c r="U11" s="322"/>
      <c r="V11" s="322"/>
      <c r="W11" s="324"/>
    </row>
    <row r="12" spans="1:23" x14ac:dyDescent="0.25">
      <c r="A12" t="str">
        <f>PLANTILLA!D21</f>
        <v>T. Averous</v>
      </c>
      <c r="B12">
        <f>PLANTILLA!E21</f>
        <v>28</v>
      </c>
      <c r="C12" s="299">
        <f ca="1">PLANTILLA!F21</f>
        <v>7</v>
      </c>
      <c r="E12" s="76">
        <f>PLANTILLA!J21</f>
        <v>0.98715025265899181</v>
      </c>
      <c r="F12" s="74">
        <f>PLANTILLA!O21</f>
        <v>1.5</v>
      </c>
      <c r="G12" s="74">
        <f>PLANTILLA!W21</f>
        <v>0</v>
      </c>
      <c r="H12" s="74">
        <f>PLANTILLA!X21</f>
        <v>3</v>
      </c>
      <c r="I12" s="74">
        <f>PLANTILLA!Y21</f>
        <v>6</v>
      </c>
      <c r="J12" s="74">
        <f>PLANTILLA!Z21</f>
        <v>6</v>
      </c>
      <c r="K12" s="74">
        <f>PLANTILLA!AA21</f>
        <v>5</v>
      </c>
      <c r="L12" s="74">
        <f>PLANTILLA!AB21</f>
        <v>3</v>
      </c>
      <c r="M12" s="74">
        <f>PLANTILLA!AC21</f>
        <v>4</v>
      </c>
      <c r="N12" s="76"/>
      <c r="O12" s="76"/>
      <c r="P12" s="322"/>
      <c r="Q12" s="322"/>
      <c r="R12" s="322"/>
      <c r="S12" s="322"/>
      <c r="T12" s="322"/>
      <c r="U12" s="322"/>
      <c r="V12" s="322"/>
      <c r="W12" s="324"/>
    </row>
    <row r="13" spans="1:23" x14ac:dyDescent="0.25">
      <c r="A13" t="str">
        <f>PLANTILLA!D5</f>
        <v>S. Candela</v>
      </c>
      <c r="B13">
        <f>PLANTILLA!E5</f>
        <v>26</v>
      </c>
      <c r="C13" s="299">
        <f ca="1">PLANTILLA!F5</f>
        <v>70</v>
      </c>
      <c r="D13" t="str">
        <f>PLANTILLA!G5</f>
        <v>CAB</v>
      </c>
      <c r="E13" s="76">
        <f>PLANTILLA!J5</f>
        <v>0.8309990538638673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2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2"/>
      <c r="Q13" s="322"/>
      <c r="R13" s="322"/>
      <c r="S13" s="322"/>
    </row>
    <row r="14" spans="1:23" x14ac:dyDescent="0.25">
      <c r="A14" t="str">
        <f>PLANTILLA!D4</f>
        <v>E. Tarrida</v>
      </c>
      <c r="B14">
        <f>PLANTILLA!E4</f>
        <v>23</v>
      </c>
      <c r="C14" s="299">
        <f ca="1">PLANTILLA!F4</f>
        <v>79</v>
      </c>
      <c r="D14" t="str">
        <f>PLANTILLA!G4</f>
        <v>RAP</v>
      </c>
      <c r="E14" s="76">
        <f>PLANTILLA!J4</f>
        <v>1.0278026821895256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4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2"/>
      <c r="Q14" s="322"/>
      <c r="R14" s="322"/>
      <c r="S14" s="322"/>
      <c r="T14" s="322"/>
      <c r="U14" s="322"/>
      <c r="V14" s="322"/>
      <c r="W14" s="322"/>
    </row>
    <row r="15" spans="1:23" x14ac:dyDescent="0.25">
      <c r="A15" t="str">
        <f>PLANTILLA!D7</f>
        <v>D. Juliol</v>
      </c>
      <c r="B15">
        <f>PLANTILLA!E7</f>
        <v>20</v>
      </c>
      <c r="C15" s="299">
        <f ca="1">PLANTILLA!F7</f>
        <v>24</v>
      </c>
      <c r="E15" s="76">
        <f>PLANTILLA!J7</f>
        <v>0.80274665510394982</v>
      </c>
      <c r="F15" s="74">
        <f>PLANTILLA!O7</f>
        <v>1.5</v>
      </c>
      <c r="G15" s="74">
        <f>PLANTILLA!W7</f>
        <v>1</v>
      </c>
      <c r="H15" s="74">
        <f>PLANTILLA!X7</f>
        <v>5</v>
      </c>
      <c r="I15" s="74">
        <f>PLANTILLA!Y7</f>
        <v>7.2</v>
      </c>
      <c r="J15" s="74">
        <f>PLANTILLA!Z7</f>
        <v>5</v>
      </c>
      <c r="K15" s="74">
        <f>PLANTILLA!AA7</f>
        <v>2</v>
      </c>
      <c r="L15" s="74">
        <f>PLANTILLA!AB7</f>
        <v>6.25</v>
      </c>
      <c r="M15" s="74">
        <f>PLANTILLA!AC7</f>
        <v>1</v>
      </c>
      <c r="N15" s="76"/>
      <c r="O15" s="76"/>
    </row>
    <row r="16" spans="1:23" x14ac:dyDescent="0.25">
      <c r="A16" t="str">
        <f>PLANTILLA!D6</f>
        <v>M. Teixé</v>
      </c>
      <c r="B16">
        <f>PLANTILLA!E6</f>
        <v>31</v>
      </c>
      <c r="C16" s="299">
        <f ca="1">PLANTILLA!F6</f>
        <v>108</v>
      </c>
      <c r="E16" s="76">
        <f>PLANTILLA!J6</f>
        <v>1.1267973866856758</v>
      </c>
      <c r="F16" s="74">
        <f>PLANTILLA!O6</f>
        <v>1.5</v>
      </c>
      <c r="G16" s="74">
        <f>PLANTILLA!W6</f>
        <v>0</v>
      </c>
      <c r="H16" s="74">
        <f>PLANTILLA!X6</f>
        <v>6</v>
      </c>
      <c r="I16" s="74">
        <f>PLANTILLA!Y6</f>
        <v>3.2</v>
      </c>
      <c r="J16" s="74">
        <f>PLANTILLA!Z6</f>
        <v>5</v>
      </c>
      <c r="K16" s="74">
        <f>PLANTILLA!AA6</f>
        <v>3</v>
      </c>
      <c r="L16" s="74">
        <f>PLANTILLA!AB6</f>
        <v>2</v>
      </c>
      <c r="M16" s="74">
        <f>PLANTILLA!AC6</f>
        <v>4</v>
      </c>
      <c r="N16" s="76"/>
      <c r="O16" s="76"/>
    </row>
    <row r="17" spans="1:15" x14ac:dyDescent="0.25">
      <c r="A17" t="str">
        <f>PLANTILLA!D8</f>
        <v>J-L. Grellier</v>
      </c>
      <c r="B17">
        <f>PLANTILLA!E8</f>
        <v>33</v>
      </c>
      <c r="C17" s="299">
        <f ca="1">PLANTILLA!F8</f>
        <v>111</v>
      </c>
      <c r="E17" s="76">
        <f>PLANTILLA!J8</f>
        <v>1.1894594702539738</v>
      </c>
      <c r="F17" s="74">
        <f>PLANTILLA!O8</f>
        <v>1.5</v>
      </c>
      <c r="G17" s="74">
        <f>PLANTILLA!W8</f>
        <v>0</v>
      </c>
      <c r="H17" s="74">
        <f>PLANTILLA!X8</f>
        <v>5</v>
      </c>
      <c r="I17" s="74">
        <f>PLANTILLA!Y8</f>
        <v>5</v>
      </c>
      <c r="J17" s="74">
        <f>PLANTILLA!Z8</f>
        <v>1</v>
      </c>
      <c r="K17" s="74">
        <f>PLANTILLA!AA8</f>
        <v>0</v>
      </c>
      <c r="L17" s="74">
        <f>PLANTILLA!AB8</f>
        <v>1</v>
      </c>
      <c r="M17" s="74">
        <f>PLANTILLA!AC8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299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PLANTILLA!D16</f>
        <v>T. Lebon</v>
      </c>
      <c r="B19">
        <f>PLANTILLA!E16</f>
        <v>20</v>
      </c>
      <c r="C19" s="299">
        <f ca="1">PLANTILLA!F16</f>
        <v>47</v>
      </c>
      <c r="D19" t="str">
        <f>PLANTILLA!G16</f>
        <v>TEC</v>
      </c>
      <c r="E19" s="76">
        <f>PLANTILLA!J16</f>
        <v>0.75760229875599328</v>
      </c>
      <c r="F19" s="74">
        <f>PLANTILLA!O16</f>
        <v>1.5</v>
      </c>
      <c r="G19" s="74">
        <f>PLANTILLA!W16</f>
        <v>0</v>
      </c>
      <c r="H19" s="74">
        <f>PLANTILLA!X16</f>
        <v>4</v>
      </c>
      <c r="I19" s="74">
        <f>PLANTILLA!Y16</f>
        <v>11.375</v>
      </c>
      <c r="J19" s="74">
        <f>PLANTILLA!Z16</f>
        <v>5</v>
      </c>
      <c r="K19" s="74">
        <f>PLANTILLA!AA16</f>
        <v>4.333333333333333</v>
      </c>
      <c r="L19" s="74">
        <f>PLANTILLA!AB16</f>
        <v>6</v>
      </c>
      <c r="M19" s="74">
        <f>PLANTILLA!AC16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299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e">
        <f>PLANTILLA!#REF!</f>
        <v>#REF!</v>
      </c>
      <c r="B21" t="e">
        <f>PLANTILLA!#REF!</f>
        <v>#REF!</v>
      </c>
      <c r="C21" s="299" t="e">
        <f>PLANTILLA!#REF!</f>
        <v>#REF!</v>
      </c>
      <c r="D21" t="e">
        <f>PLANTILLA!#REF!</f>
        <v>#REF!</v>
      </c>
      <c r="E21" s="76" t="e">
        <f>PLANTILLA!#REF!</f>
        <v>#REF!</v>
      </c>
      <c r="F21" s="74" t="e">
        <f>PLANTILLA!#REF!</f>
        <v>#REF!</v>
      </c>
      <c r="G21" s="74" t="e">
        <f>PLANTILLA!#REF!</f>
        <v>#REF!</v>
      </c>
      <c r="H21" s="74" t="e">
        <f>PLANTILLA!#REF!</f>
        <v>#REF!</v>
      </c>
      <c r="I21" s="74" t="e">
        <f>PLANTILLA!#REF!</f>
        <v>#REF!</v>
      </c>
      <c r="J21" s="74" t="e">
        <f>PLANTILLA!#REF!</f>
        <v>#REF!</v>
      </c>
      <c r="K21" s="74" t="e">
        <f>PLANTILLA!#REF!</f>
        <v>#REF!</v>
      </c>
      <c r="L21" s="74" t="e">
        <f>PLANTILLA!#REF!</f>
        <v>#REF!</v>
      </c>
      <c r="M21" s="74" t="e">
        <f>PLANTILLA!#REF!</f>
        <v>#REF!</v>
      </c>
      <c r="N21" s="76"/>
      <c r="O21" s="76"/>
    </row>
    <row r="22" spans="1:15" x14ac:dyDescent="0.25">
      <c r="A22" t="str">
        <f>PLANTILLA!D25</f>
        <v>I. Velayo</v>
      </c>
      <c r="B22">
        <f>PLANTILLA!E25</f>
        <v>21</v>
      </c>
      <c r="C22" s="299">
        <f ca="1">PLANTILLA!F25</f>
        <v>106</v>
      </c>
      <c r="E22" s="76">
        <f>PLANTILLA!J25</f>
        <v>0.8836771089087655</v>
      </c>
      <c r="F22" s="74">
        <f>PLANTILLA!O25</f>
        <v>1.5</v>
      </c>
      <c r="G22" s="74">
        <f>PLANTILLA!W25</f>
        <v>0</v>
      </c>
      <c r="H22" s="74">
        <f>PLANTILLA!X25</f>
        <v>4</v>
      </c>
      <c r="I22" s="74">
        <f>PLANTILLA!Y25</f>
        <v>8</v>
      </c>
      <c r="J22" s="74">
        <f>PLANTILLA!Z25</f>
        <v>3</v>
      </c>
      <c r="K22" s="74">
        <f>PLANTILLA!AA25</f>
        <v>4</v>
      </c>
      <c r="L22" s="74">
        <f>PLANTILLA!AB25</f>
        <v>9</v>
      </c>
      <c r="M22" s="74">
        <f>PLANTILLA!AC25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299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18" t="s">
        <v>49</v>
      </c>
      <c r="B5" s="319" t="s">
        <v>50</v>
      </c>
      <c r="C5" s="319" t="s">
        <v>51</v>
      </c>
      <c r="D5" s="319" t="s">
        <v>52</v>
      </c>
      <c r="E5" s="319" t="s">
        <v>55</v>
      </c>
      <c r="F5" s="319" t="s">
        <v>60</v>
      </c>
      <c r="G5" s="319" t="s">
        <v>68</v>
      </c>
      <c r="H5" s="319" t="s">
        <v>69</v>
      </c>
      <c r="I5" s="319" t="s">
        <v>70</v>
      </c>
      <c r="J5" s="319" t="s">
        <v>71</v>
      </c>
      <c r="K5" s="319" t="s">
        <v>72</v>
      </c>
      <c r="L5" s="319" t="s">
        <v>73</v>
      </c>
      <c r="M5" s="319" t="s">
        <v>52</v>
      </c>
      <c r="N5" s="320" t="s">
        <v>158</v>
      </c>
      <c r="O5" s="320" t="s">
        <v>48</v>
      </c>
      <c r="P5" s="321" t="s">
        <v>391</v>
      </c>
      <c r="Q5" s="321" t="s">
        <v>392</v>
      </c>
      <c r="R5" s="321" t="s">
        <v>393</v>
      </c>
      <c r="S5" s="321" t="s">
        <v>394</v>
      </c>
      <c r="T5" s="321" t="s">
        <v>395</v>
      </c>
      <c r="U5" s="321" t="s">
        <v>396</v>
      </c>
      <c r="V5" s="321" t="s">
        <v>397</v>
      </c>
      <c r="W5" s="321" t="s">
        <v>333</v>
      </c>
    </row>
    <row r="6" spans="1:23" x14ac:dyDescent="0.25">
      <c r="A6" t="str">
        <f>PLANTILLA!D24</f>
        <v>L. Cabistany</v>
      </c>
      <c r="B6">
        <f>PLANTILLA!E24</f>
        <v>18</v>
      </c>
      <c r="C6" s="299">
        <f ca="1">PLANTILLA!F24</f>
        <v>53</v>
      </c>
      <c r="E6" s="76">
        <f>PLANTILLA!J24</f>
        <v>0.48230378135679047</v>
      </c>
      <c r="F6" s="74">
        <f>PLANTILLA!O24</f>
        <v>1.5</v>
      </c>
      <c r="G6" s="74">
        <f>PLANTILLA!W24</f>
        <v>0</v>
      </c>
      <c r="H6" s="74">
        <f>PLANTILLA!X24</f>
        <v>2</v>
      </c>
      <c r="I6" s="74">
        <f>PLANTILLA!Y24</f>
        <v>6.25</v>
      </c>
      <c r="J6" s="74">
        <f>PLANTILLA!Z24</f>
        <v>3</v>
      </c>
      <c r="K6" s="74">
        <f>PLANTILLA!AA24</f>
        <v>6</v>
      </c>
      <c r="L6" s="74">
        <f>PLANTILLA!AB24</f>
        <v>6</v>
      </c>
      <c r="M6" s="74">
        <f>PLANTILLA!AC24</f>
        <v>2</v>
      </c>
      <c r="N6" s="76">
        <f>1/4</f>
        <v>0.25</v>
      </c>
      <c r="O6" s="76" t="s">
        <v>13</v>
      </c>
      <c r="P6" s="322"/>
      <c r="Q6" s="322"/>
      <c r="R6" s="322"/>
      <c r="S6" s="322"/>
      <c r="T6" s="322">
        <f>$N6*T$4</f>
        <v>6.5000000000000002E-2</v>
      </c>
      <c r="U6" s="322">
        <f>$N6*U$4</f>
        <v>0.25</v>
      </c>
      <c r="V6" s="322">
        <f>$N6*V$4</f>
        <v>6.5000000000000002E-2</v>
      </c>
      <c r="W6" s="324">
        <f>V6+U6+T6</f>
        <v>0.38</v>
      </c>
    </row>
    <row r="7" spans="1:23" x14ac:dyDescent="0.25">
      <c r="A7" t="str">
        <f>PLANTILLA!D18</f>
        <v>A. Balsebre</v>
      </c>
      <c r="B7">
        <f>PLANTILLA!E18</f>
        <v>19</v>
      </c>
      <c r="C7" s="299">
        <f ca="1">PLANTILLA!F18</f>
        <v>45</v>
      </c>
      <c r="E7" s="76">
        <f>PLANTILLA!J18</f>
        <v>0.63616167295954995</v>
      </c>
      <c r="F7" s="74">
        <f>PLANTILLA!O18</f>
        <v>1.5</v>
      </c>
      <c r="G7" s="74">
        <f>PLANTILLA!W18</f>
        <v>0</v>
      </c>
      <c r="H7" s="74">
        <f>PLANTILLA!X18</f>
        <v>4</v>
      </c>
      <c r="I7" s="74">
        <f>PLANTILLA!Y18</f>
        <v>12.111111111111111</v>
      </c>
      <c r="J7" s="74">
        <f>PLANTILLA!Z18</f>
        <v>2</v>
      </c>
      <c r="K7" s="74">
        <f>PLANTILLA!AA18</f>
        <v>5</v>
      </c>
      <c r="L7" s="74">
        <f>PLANTILLA!AB18</f>
        <v>3.3333333333333335</v>
      </c>
      <c r="M7" s="74">
        <f>PLANTILLA!AC18</f>
        <v>4</v>
      </c>
      <c r="N7" s="76">
        <f>1/3</f>
        <v>0.33333333333333331</v>
      </c>
      <c r="O7" s="76" t="s">
        <v>98</v>
      </c>
      <c r="P7" s="322"/>
      <c r="Q7" s="322"/>
      <c r="R7" s="322"/>
      <c r="S7" s="322"/>
      <c r="T7" s="322">
        <f>$N7*T$3</f>
        <v>0</v>
      </c>
      <c r="U7" s="322">
        <f>$N7*U$3</f>
        <v>0.10333333333333333</v>
      </c>
      <c r="V7" s="322">
        <f>$N7*V$3</f>
        <v>0</v>
      </c>
      <c r="W7" s="324">
        <f>V7+U7+T7</f>
        <v>0.10333333333333333</v>
      </c>
    </row>
    <row r="8" spans="1:23" x14ac:dyDescent="0.25">
      <c r="A8" t="str">
        <f>PLANTILLA!D19</f>
        <v>L. Grière</v>
      </c>
      <c r="B8">
        <f>PLANTILLA!E19</f>
        <v>19</v>
      </c>
      <c r="C8" s="299">
        <f ca="1">PLANTILLA!F19</f>
        <v>66</v>
      </c>
      <c r="E8" s="76">
        <f>PLANTILLA!J19</f>
        <v>0.69135191983718325</v>
      </c>
      <c r="F8" s="74">
        <f>PLANTILLA!O19</f>
        <v>1.5</v>
      </c>
      <c r="G8" s="74">
        <f>PLANTILLA!W19</f>
        <v>0</v>
      </c>
      <c r="H8" s="74">
        <f>PLANTILLA!X19</f>
        <v>4</v>
      </c>
      <c r="I8" s="74">
        <f>PLANTILLA!Y19</f>
        <v>10.285714285714286</v>
      </c>
      <c r="J8" s="74">
        <f>PLANTILLA!Z19</f>
        <v>6</v>
      </c>
      <c r="K8" s="74">
        <f>PLANTILLA!AA19</f>
        <v>2</v>
      </c>
      <c r="L8" s="74">
        <f>PLANTILLA!AB19</f>
        <v>5</v>
      </c>
      <c r="M8" s="74">
        <f>PLANTILLA!AC19</f>
        <v>0</v>
      </c>
      <c r="N8" s="76"/>
      <c r="O8" s="76"/>
      <c r="P8" s="322"/>
      <c r="Q8" s="322"/>
      <c r="R8" s="322"/>
      <c r="S8" s="322"/>
      <c r="T8" s="322"/>
      <c r="U8" s="322"/>
      <c r="V8" s="322"/>
      <c r="W8" s="324"/>
    </row>
    <row r="9" spans="1:23" x14ac:dyDescent="0.25">
      <c r="A9" t="str">
        <f>PLANTILLA!D16</f>
        <v>T. Lebon</v>
      </c>
      <c r="B9">
        <f>PLANTILLA!E16</f>
        <v>20</v>
      </c>
      <c r="C9" s="299">
        <f ca="1">PLANTILLA!F16</f>
        <v>47</v>
      </c>
      <c r="D9" t="str">
        <f>PLANTILLA!G16</f>
        <v>TEC</v>
      </c>
      <c r="E9" s="76">
        <f>PLANTILLA!J16</f>
        <v>0.75760229875599328</v>
      </c>
      <c r="F9" s="74">
        <f>PLANTILLA!O16</f>
        <v>1.5</v>
      </c>
      <c r="G9" s="74">
        <f>PLANTILLA!W16</f>
        <v>0</v>
      </c>
      <c r="H9" s="74">
        <f>PLANTILLA!X16</f>
        <v>4</v>
      </c>
      <c r="I9" s="74">
        <f>PLANTILLA!Y16</f>
        <v>11.375</v>
      </c>
      <c r="J9" s="74">
        <f>PLANTILLA!Z16</f>
        <v>5</v>
      </c>
      <c r="K9" s="74">
        <f>PLANTILLA!AA16</f>
        <v>4.333333333333333</v>
      </c>
      <c r="L9" s="74">
        <f>PLANTILLA!AB16</f>
        <v>6</v>
      </c>
      <c r="M9" s="74">
        <f>PLANTILLA!AC16</f>
        <v>2</v>
      </c>
      <c r="N9" s="76"/>
      <c r="O9" s="76"/>
      <c r="P9" s="322"/>
      <c r="Q9" s="322"/>
      <c r="R9" s="322"/>
      <c r="S9" s="322"/>
      <c r="T9" s="322"/>
      <c r="U9" s="322"/>
      <c r="V9" s="322"/>
      <c r="W9" s="324"/>
    </row>
    <row r="10" spans="1:23" x14ac:dyDescent="0.25">
      <c r="A10" t="str">
        <f>PLANTILLA!D13</f>
        <v>I. Escuder</v>
      </c>
      <c r="B10">
        <f>PLANTILLA!E13</f>
        <v>28</v>
      </c>
      <c r="C10" s="299">
        <f ca="1">PLANTILLA!F13</f>
        <v>51</v>
      </c>
      <c r="E10" s="76">
        <f>PLANTILLA!J13</f>
        <v>0.98715025265899181</v>
      </c>
      <c r="F10" s="74">
        <f>PLANTILLA!O13</f>
        <v>1.5</v>
      </c>
      <c r="G10" s="74">
        <f>PLANTILLA!W13</f>
        <v>0</v>
      </c>
      <c r="H10" s="74">
        <f>PLANTILLA!X13</f>
        <v>5</v>
      </c>
      <c r="I10" s="74">
        <f>PLANTILLA!Y13</f>
        <v>7.2</v>
      </c>
      <c r="J10" s="74">
        <f>PLANTILLA!Z13</f>
        <v>2</v>
      </c>
      <c r="K10" s="74">
        <f>PLANTILLA!AA13</f>
        <v>3</v>
      </c>
      <c r="L10" s="74">
        <f>PLANTILLA!AB13</f>
        <v>2</v>
      </c>
      <c r="M10" s="74">
        <f>PLANTILLA!AC13</f>
        <v>4</v>
      </c>
      <c r="N10" s="76"/>
      <c r="O10" s="76"/>
      <c r="P10" s="322"/>
      <c r="Q10" s="322"/>
      <c r="R10" s="322"/>
      <c r="S10" s="322"/>
      <c r="T10" s="322"/>
      <c r="U10" s="322"/>
      <c r="V10" s="322"/>
      <c r="W10" s="324"/>
    </row>
    <row r="11" spans="1:23" x14ac:dyDescent="0.25">
      <c r="A11" t="e">
        <f>#REF!</f>
        <v>#REF!</v>
      </c>
      <c r="B11" t="e">
        <f>#REF!</f>
        <v>#REF!</v>
      </c>
      <c r="C11" s="299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2"/>
      <c r="Q11" s="322"/>
      <c r="R11" s="322"/>
      <c r="S11" s="322"/>
      <c r="T11" s="322"/>
      <c r="U11" s="322"/>
      <c r="V11" s="322"/>
      <c r="W11" s="324"/>
    </row>
    <row r="12" spans="1:23" x14ac:dyDescent="0.25">
      <c r="A12" t="str">
        <f>PLANTILLA!D5</f>
        <v>S. Candela</v>
      </c>
      <c r="B12">
        <f>PLANTILLA!E5</f>
        <v>26</v>
      </c>
      <c r="C12" s="299">
        <f ca="1">PLANTILLA!F5</f>
        <v>70</v>
      </c>
      <c r="D12" t="str">
        <f>PLANTILLA!G5</f>
        <v>CAB</v>
      </c>
      <c r="E12" s="76">
        <f>PLANTILLA!J5</f>
        <v>0.8309990538638673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2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2"/>
      <c r="Q12" s="322"/>
      <c r="R12" s="322"/>
      <c r="S12" s="322"/>
      <c r="T12" s="322"/>
      <c r="U12" s="322"/>
      <c r="V12" s="322"/>
    </row>
    <row r="13" spans="1:23" x14ac:dyDescent="0.25">
      <c r="A13" t="str">
        <f>PLANTILLA!D4</f>
        <v>E. Tarrida</v>
      </c>
      <c r="B13">
        <f>PLANTILLA!E4</f>
        <v>23</v>
      </c>
      <c r="C13" s="299">
        <f ca="1">PLANTILLA!F4</f>
        <v>79</v>
      </c>
      <c r="D13" t="str">
        <f>PLANTILLA!G4</f>
        <v>RAP</v>
      </c>
      <c r="E13" s="76">
        <f>PLANTILLA!J4</f>
        <v>1.0278026821895256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4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2"/>
      <c r="Q13" s="322"/>
      <c r="R13" s="322"/>
      <c r="S13" s="322"/>
      <c r="T13" s="322"/>
      <c r="U13" s="322"/>
      <c r="V13" s="322"/>
    </row>
    <row r="14" spans="1:23" x14ac:dyDescent="0.25">
      <c r="A14" t="str">
        <f>PLANTILLA!D20</f>
        <v>A. Aguilella</v>
      </c>
      <c r="B14">
        <f>PLANTILLA!E20</f>
        <v>26</v>
      </c>
      <c r="C14" s="299">
        <f ca="1">PLANTILLA!F20</f>
        <v>25</v>
      </c>
      <c r="E14" s="76">
        <f>PLANTILLA!J20</f>
        <v>0.84462460743944867</v>
      </c>
      <c r="F14" s="74">
        <f>PLANTILLA!O20</f>
        <v>1.5</v>
      </c>
      <c r="G14" s="74">
        <f>PLANTILLA!W20</f>
        <v>0</v>
      </c>
      <c r="H14" s="74">
        <f>PLANTILLA!X20</f>
        <v>4</v>
      </c>
      <c r="I14" s="74">
        <f>PLANTILLA!Y20</f>
        <v>6</v>
      </c>
      <c r="J14" s="74">
        <f>PLANTILLA!Z20</f>
        <v>5</v>
      </c>
      <c r="K14" s="74">
        <f>PLANTILLA!AA20</f>
        <v>4</v>
      </c>
      <c r="L14" s="74">
        <f>PLANTILLA!AB20</f>
        <v>2.5</v>
      </c>
      <c r="M14" s="74">
        <f>PLANTILLA!AC20</f>
        <v>4</v>
      </c>
      <c r="N14" s="76"/>
      <c r="O14" s="76"/>
      <c r="P14" s="322"/>
      <c r="Q14" s="322"/>
      <c r="R14" s="322"/>
      <c r="S14" s="322"/>
      <c r="T14" s="322"/>
      <c r="U14" s="322"/>
      <c r="V14" s="322"/>
    </row>
    <row r="15" spans="1:23" x14ac:dyDescent="0.25">
      <c r="A15" t="str">
        <f>PLANTILLA!D21</f>
        <v>T. Averous</v>
      </c>
      <c r="B15">
        <f>PLANTILLA!E21</f>
        <v>28</v>
      </c>
      <c r="C15" s="299">
        <f ca="1">PLANTILLA!F21</f>
        <v>7</v>
      </c>
      <c r="E15" s="76">
        <f>PLANTILLA!J21</f>
        <v>0.98715025265899181</v>
      </c>
      <c r="F15" s="74">
        <f>PLANTILLA!O21</f>
        <v>1.5</v>
      </c>
      <c r="G15" s="74">
        <f>PLANTILLA!W21</f>
        <v>0</v>
      </c>
      <c r="H15" s="74">
        <f>PLANTILLA!X21</f>
        <v>3</v>
      </c>
      <c r="I15" s="74">
        <f>PLANTILLA!Y21</f>
        <v>6</v>
      </c>
      <c r="J15" s="74">
        <f>PLANTILLA!Z21</f>
        <v>6</v>
      </c>
      <c r="K15" s="74">
        <f>PLANTILLA!AA21</f>
        <v>5</v>
      </c>
      <c r="L15" s="74">
        <f>PLANTILLA!AB21</f>
        <v>3</v>
      </c>
      <c r="M15" s="74">
        <f>PLANTILLA!AC21</f>
        <v>4</v>
      </c>
      <c r="N15" s="76"/>
      <c r="O15" s="76"/>
      <c r="P15" s="322"/>
      <c r="Q15" s="322"/>
      <c r="R15" s="322"/>
      <c r="S15" s="322"/>
      <c r="T15" s="322"/>
      <c r="U15" s="322"/>
      <c r="V15" s="322"/>
    </row>
    <row r="16" spans="1:23" x14ac:dyDescent="0.25">
      <c r="A16" t="str">
        <f>PLANTILLA!D7</f>
        <v>D. Juliol</v>
      </c>
      <c r="B16">
        <f>PLANTILLA!E7</f>
        <v>20</v>
      </c>
      <c r="C16" s="299">
        <f ca="1">PLANTILLA!F7</f>
        <v>24</v>
      </c>
      <c r="E16" s="76">
        <f>PLANTILLA!J7</f>
        <v>0.80274665510394982</v>
      </c>
      <c r="F16" s="74">
        <f>PLANTILLA!O7</f>
        <v>1.5</v>
      </c>
      <c r="G16" s="74">
        <f>PLANTILLA!W7</f>
        <v>1</v>
      </c>
      <c r="H16" s="74">
        <f>PLANTILLA!X7</f>
        <v>5</v>
      </c>
      <c r="I16" s="74">
        <f>PLANTILLA!Y7</f>
        <v>7.2</v>
      </c>
      <c r="J16" s="74">
        <f>PLANTILLA!Z7</f>
        <v>5</v>
      </c>
      <c r="K16" s="74">
        <f>PLANTILLA!AA7</f>
        <v>2</v>
      </c>
      <c r="L16" s="74">
        <f>PLANTILLA!AB7</f>
        <v>6.25</v>
      </c>
      <c r="M16" s="74">
        <f>PLANTILLA!AC7</f>
        <v>1</v>
      </c>
      <c r="N16" s="76"/>
      <c r="O16" s="76"/>
      <c r="P16" s="322"/>
      <c r="Q16" s="322"/>
      <c r="R16" s="322"/>
      <c r="S16" s="322"/>
      <c r="T16" s="322"/>
      <c r="U16" s="322"/>
      <c r="V16" s="322"/>
    </row>
    <row r="17" spans="1:22" x14ac:dyDescent="0.25">
      <c r="A17" t="str">
        <f>PLANTILLA!D6</f>
        <v>M. Teixé</v>
      </c>
      <c r="B17">
        <f>PLANTILLA!E6</f>
        <v>31</v>
      </c>
      <c r="C17" s="299">
        <f ca="1">PLANTILLA!F6</f>
        <v>108</v>
      </c>
      <c r="E17" s="76">
        <f>PLANTILLA!J6</f>
        <v>1.1267973866856758</v>
      </c>
      <c r="F17" s="74">
        <f>PLANTILLA!O6</f>
        <v>1.5</v>
      </c>
      <c r="G17" s="74">
        <f>PLANTILLA!W6</f>
        <v>0</v>
      </c>
      <c r="H17" s="74">
        <f>PLANTILLA!X6</f>
        <v>6</v>
      </c>
      <c r="I17" s="74">
        <f>PLANTILLA!Y6</f>
        <v>3.2</v>
      </c>
      <c r="J17" s="74">
        <f>PLANTILLA!Z6</f>
        <v>5</v>
      </c>
      <c r="K17" s="74">
        <f>PLANTILLA!AA6</f>
        <v>3</v>
      </c>
      <c r="L17" s="74">
        <f>PLANTILLA!AB6</f>
        <v>2</v>
      </c>
      <c r="M17" s="74">
        <f>PLANTILLA!AC6</f>
        <v>4</v>
      </c>
      <c r="N17" s="76"/>
      <c r="O17" s="76"/>
      <c r="P17" s="322"/>
      <c r="Q17" s="322"/>
      <c r="R17" s="322"/>
      <c r="S17" s="322"/>
      <c r="T17" s="322"/>
      <c r="U17" s="322"/>
      <c r="V17" s="322"/>
    </row>
    <row r="18" spans="1:22" x14ac:dyDescent="0.25">
      <c r="A18" t="str">
        <f>PLANTILLA!D8</f>
        <v>J-L. Grellier</v>
      </c>
      <c r="B18">
        <f>PLANTILLA!E8</f>
        <v>33</v>
      </c>
      <c r="C18" s="299">
        <f ca="1">PLANTILLA!F8</f>
        <v>111</v>
      </c>
      <c r="E18" s="76">
        <f>PLANTILLA!J8</f>
        <v>1.1894594702539738</v>
      </c>
      <c r="F18" s="74">
        <f>PLANTILLA!O8</f>
        <v>1.5</v>
      </c>
      <c r="G18" s="74">
        <f>PLANTILLA!W8</f>
        <v>0</v>
      </c>
      <c r="H18" s="74">
        <f>PLANTILLA!X8</f>
        <v>5</v>
      </c>
      <c r="I18" s="74">
        <f>PLANTILLA!Y8</f>
        <v>5</v>
      </c>
      <c r="J18" s="74">
        <f>PLANTILLA!Z8</f>
        <v>1</v>
      </c>
      <c r="K18" s="74">
        <f>PLANTILLA!AA8</f>
        <v>0</v>
      </c>
      <c r="L18" s="74">
        <f>PLANTILLA!AB8</f>
        <v>1</v>
      </c>
      <c r="M18" s="74">
        <f>PLANTILLA!AC8</f>
        <v>3</v>
      </c>
      <c r="N18" s="76"/>
      <c r="O18" s="76"/>
      <c r="P18" s="322"/>
      <c r="Q18" s="322"/>
      <c r="R18" s="322"/>
      <c r="S18" s="322"/>
      <c r="T18" s="322"/>
      <c r="U18" s="322"/>
      <c r="V18" s="322"/>
    </row>
    <row r="19" spans="1:22" x14ac:dyDescent="0.25">
      <c r="A19" t="e">
        <f>#REF!</f>
        <v>#REF!</v>
      </c>
      <c r="B19" t="e">
        <f>#REF!</f>
        <v>#REF!</v>
      </c>
      <c r="C19" s="299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2"/>
      <c r="Q19" s="322"/>
      <c r="R19" s="322"/>
      <c r="S19" s="322"/>
      <c r="T19" s="322"/>
      <c r="U19" s="322"/>
      <c r="V19" s="322"/>
    </row>
    <row r="20" spans="1:22" x14ac:dyDescent="0.25">
      <c r="A20" t="e">
        <f>PLANTILLA!#REF!</f>
        <v>#REF!</v>
      </c>
      <c r="B20" t="e">
        <f>PLANTILLA!#REF!</f>
        <v>#REF!</v>
      </c>
      <c r="C20" s="299" t="e">
        <f>PLANTILLA!#REF!</f>
        <v>#REF!</v>
      </c>
      <c r="D20" t="e">
        <f>PLANTILLA!#REF!</f>
        <v>#REF!</v>
      </c>
      <c r="E20" s="76" t="e">
        <f>PLANTILLA!#REF!</f>
        <v>#REF!</v>
      </c>
      <c r="F20" s="74" t="e">
        <f>PLANTILLA!#REF!</f>
        <v>#REF!</v>
      </c>
      <c r="G20" s="74" t="e">
        <f>PLANTILLA!#REF!</f>
        <v>#REF!</v>
      </c>
      <c r="H20" s="74" t="e">
        <f>PLANTILLA!#REF!</f>
        <v>#REF!</v>
      </c>
      <c r="I20" s="74" t="e">
        <f>PLANTILLA!#REF!</f>
        <v>#REF!</v>
      </c>
      <c r="J20" s="74" t="e">
        <f>PLANTILLA!#REF!</f>
        <v>#REF!</v>
      </c>
      <c r="K20" s="74" t="e">
        <f>PLANTILLA!#REF!</f>
        <v>#REF!</v>
      </c>
      <c r="L20" s="74" t="e">
        <f>PLANTILLA!#REF!</f>
        <v>#REF!</v>
      </c>
      <c r="M20" s="74" t="e">
        <f>PLANTILLA!#REF!</f>
        <v>#REF!</v>
      </c>
      <c r="N20" s="76"/>
      <c r="O20" s="76"/>
      <c r="P20" s="322"/>
      <c r="Q20" s="322"/>
      <c r="R20" s="322"/>
      <c r="S20" s="322"/>
      <c r="T20" s="322"/>
      <c r="U20" s="322"/>
      <c r="V20" s="322"/>
    </row>
    <row r="21" spans="1:22" x14ac:dyDescent="0.25">
      <c r="A21" t="str">
        <f>PLANTILLA!D25</f>
        <v>I. Velayo</v>
      </c>
      <c r="B21">
        <f>PLANTILLA!E25</f>
        <v>21</v>
      </c>
      <c r="C21" s="299">
        <f ca="1">PLANTILLA!F25</f>
        <v>106</v>
      </c>
      <c r="E21" s="76">
        <f>PLANTILLA!J25</f>
        <v>0.8836771089087655</v>
      </c>
      <c r="F21" s="74">
        <f>PLANTILLA!O25</f>
        <v>1.5</v>
      </c>
      <c r="G21" s="74">
        <f>PLANTILLA!W25</f>
        <v>0</v>
      </c>
      <c r="H21" s="74">
        <f>PLANTILLA!X25</f>
        <v>4</v>
      </c>
      <c r="I21" s="74">
        <f>PLANTILLA!Y25</f>
        <v>8</v>
      </c>
      <c r="J21" s="74">
        <f>PLANTILLA!Z25</f>
        <v>3</v>
      </c>
      <c r="K21" s="74">
        <f>PLANTILLA!AA25</f>
        <v>4</v>
      </c>
      <c r="L21" s="74">
        <f>PLANTILLA!AB25</f>
        <v>9</v>
      </c>
      <c r="M21" s="74">
        <f>PLANTILLA!AC25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299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U8" sqref="U8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44245</v>
      </c>
      <c r="E1" s="452">
        <v>43637</v>
      </c>
      <c r="F1" s="452"/>
      <c r="G1" s="452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AVERAGE(I4:I25)</f>
        <v>3.1909090909090905</v>
      </c>
      <c r="J2" s="26"/>
      <c r="K2" s="26"/>
      <c r="L2" s="20"/>
      <c r="M2" s="29">
        <f>AVERAGE(M4:M25)</f>
        <v>5.3590909090909093</v>
      </c>
      <c r="N2" s="26"/>
      <c r="O2" s="26"/>
      <c r="P2" s="29">
        <f t="shared" ref="P2:U2" si="0">AVERAGE(P4:P25)</f>
        <v>5.7727272727272725</v>
      </c>
      <c r="Q2" s="30">
        <f t="shared" si="0"/>
        <v>0.90361406725508686</v>
      </c>
      <c r="R2" s="30">
        <f t="shared" si="0"/>
        <v>0.96078922612013107</v>
      </c>
      <c r="S2" s="31">
        <f t="shared" si="0"/>
        <v>15418.636363636364</v>
      </c>
      <c r="T2" s="31">
        <f t="shared" si="0"/>
        <v>3084.5454545454545</v>
      </c>
      <c r="U2" s="31">
        <f t="shared" si="0"/>
        <v>2710.4545454545455</v>
      </c>
      <c r="V2" s="32"/>
      <c r="W2" s="32"/>
      <c r="X2" s="32"/>
      <c r="Y2" s="32"/>
      <c r="Z2" s="32"/>
      <c r="AA2" s="32"/>
      <c r="AB2" s="32"/>
      <c r="AC2" s="32"/>
      <c r="AD2" s="33">
        <f>AVERAGE(AD4:AD25)</f>
        <v>618.77272727272725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444" t="s">
        <v>105</v>
      </c>
      <c r="E4" s="44">
        <v>23</v>
      </c>
      <c r="F4" s="45">
        <f ca="1">$D$1-43606-112-112-112-112-112</f>
        <v>79</v>
      </c>
      <c r="G4" s="46" t="s">
        <v>106</v>
      </c>
      <c r="H4" s="47">
        <v>2</v>
      </c>
      <c r="I4" s="48">
        <v>4.9000000000000004</v>
      </c>
      <c r="J4" s="49">
        <f t="shared" ref="J4:J25" si="1">LOG(I4+1)*4/3</f>
        <v>1.0278026821895256</v>
      </c>
      <c r="K4" s="50">
        <f t="shared" ref="K4:K25" si="2">(H4)*(H4)*(I4)</f>
        <v>19.600000000000001</v>
      </c>
      <c r="L4" s="50">
        <f t="shared" ref="L4:L25" si="3">(H4+1)*(H4+1)*I4</f>
        <v>44.1</v>
      </c>
      <c r="M4" s="51">
        <v>6.6</v>
      </c>
      <c r="N4" s="52">
        <f t="shared" ref="N4:N25" si="4">M4*10+19</f>
        <v>85</v>
      </c>
      <c r="O4" s="53">
        <v>1.5</v>
      </c>
      <c r="P4" s="52">
        <v>7</v>
      </c>
      <c r="Q4" s="54">
        <f t="shared" ref="Q4:Q25" si="5">(P4/7)^0.5</f>
        <v>1</v>
      </c>
      <c r="R4" s="54">
        <f t="shared" ref="R4:R25" si="6">IF(P4=7,1,((P4+0.99)/7)^0.5)</f>
        <v>1</v>
      </c>
      <c r="S4" s="387">
        <v>40990</v>
      </c>
      <c r="T4" s="56">
        <f t="shared" ref="T4:T25" si="7">S4-BI4</f>
        <v>-5170</v>
      </c>
      <c r="U4" s="55">
        <v>14630</v>
      </c>
      <c r="V4" s="57">
        <f t="shared" ref="V4:V26" si="8">S4/U4</f>
        <v>2.801777170198223</v>
      </c>
      <c r="W4" s="365">
        <f>13+2/7</f>
        <v>13.285714285714286</v>
      </c>
      <c r="X4" s="365">
        <v>6</v>
      </c>
      <c r="Y4" s="365">
        <f>4+0/3</f>
        <v>4</v>
      </c>
      <c r="Z4" s="365">
        <v>2</v>
      </c>
      <c r="AA4" s="365">
        <v>4</v>
      </c>
      <c r="AB4" s="365">
        <v>3</v>
      </c>
      <c r="AC4" s="365">
        <v>4</v>
      </c>
      <c r="AD4" s="33">
        <v>813</v>
      </c>
      <c r="AE4" s="33">
        <v>1418</v>
      </c>
      <c r="AF4" s="58">
        <f t="shared" ref="AF4:AF25" si="9">(Y4+O4+J4)*(P4/7)^0.5</f>
        <v>6.5278026821895256</v>
      </c>
      <c r="AG4" s="58">
        <f t="shared" ref="AG4:AG25" si="10">(Y4+O4+J4)*(IF(P4=7,(P4/7)^0.5,((P4+1)/7)^0.5))</f>
        <v>6.5278026821895256</v>
      </c>
      <c r="AH4" s="59">
        <f t="shared" ref="AH4:AH25" si="11">(AC4+O4+(LOG(I4)*4/3))*(P4/7)^0.5</f>
        <v>6.4202614400380185</v>
      </c>
      <c r="AI4" s="59">
        <f t="shared" ref="AI4:AI25" si="12">(AC4+O4+(LOG(I4)*4/3))*(IF(P4=7,(P4/7)^0.5,((P4+1)/7)^0.5))</f>
        <v>6.4202614400380185</v>
      </c>
      <c r="AJ4" s="57">
        <f t="shared" ref="AJ4:AJ25" si="13">(((X4+O4+J4)+(AA4+O4+J4)*2)/8)*(P4/7)^0.5</f>
        <v>2.6979260058210723</v>
      </c>
      <c r="AK4" s="57">
        <f t="shared" ref="AK4:AK25" si="14">((AC4+J4+O4)*0.7+(AB4+J4+O4)*0.3)*(P4/7)^0.5</f>
        <v>6.2278026821895249</v>
      </c>
      <c r="AL4" s="52">
        <v>0</v>
      </c>
      <c r="AM4" s="52">
        <v>0</v>
      </c>
      <c r="AN4" s="54">
        <f t="shared" ref="AN4:AN25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5" si="16">SUM(AP4:AV4)</f>
        <v>66.5</v>
      </c>
      <c r="AP4" s="61">
        <v>38.5</v>
      </c>
      <c r="AQ4" s="61">
        <v>14</v>
      </c>
      <c r="AR4" s="61">
        <v>6</v>
      </c>
      <c r="AS4" s="61">
        <v>0</v>
      </c>
      <c r="AT4" s="61">
        <v>4</v>
      </c>
      <c r="AU4" s="61">
        <v>2</v>
      </c>
      <c r="AV4" s="61">
        <v>2</v>
      </c>
      <c r="AW4" s="62">
        <f t="shared" ref="AW4:AW25" si="17">AP4+AQ4*0.33+AV4</f>
        <v>45.12</v>
      </c>
      <c r="AX4" s="62">
        <f t="shared" ref="AX4:AX25" si="18">AQ4+AR4*0.25+AV4</f>
        <v>17.5</v>
      </c>
      <c r="AY4" s="62">
        <f t="shared" ref="AY4:AY25" si="19">AQ4+AS4*0.33+AV4</f>
        <v>16</v>
      </c>
      <c r="AZ4" s="62">
        <f t="shared" ref="AZ4:AZ25" si="20">AQ4+AS4/1.5+AV4</f>
        <v>16</v>
      </c>
      <c r="BA4" s="62">
        <f t="shared" ref="BA4:BA25" si="21">AR4+AQ4*0.6+AT4*0.17+AV4+AU4*0.12</f>
        <v>17.319999999999997</v>
      </c>
      <c r="BB4" s="62">
        <f t="shared" ref="BB4:BB25" si="22">AR4+AQ4*0.4+AT4*0.3+AV4+AU4*0.21</f>
        <v>15.22</v>
      </c>
      <c r="BC4" s="62">
        <f t="shared" ref="BC4:BC25" si="23">AR4+AQ4*0.16+AT4*0.5+AV4+AU4*0.31</f>
        <v>12.86</v>
      </c>
      <c r="BD4" s="62">
        <f t="shared" ref="BD4:BD25" si="24">AS4+AR4*0.45+AQ4*0.25+AT4*0.25+AV4</f>
        <v>9.1999999999999993</v>
      </c>
      <c r="BE4" s="62">
        <f t="shared" ref="BE4:BE25" si="25">AS4+AR4*0.63+AQ4*0.25+AT4*0.17+AV4</f>
        <v>9.9600000000000009</v>
      </c>
      <c r="BF4" s="62">
        <f t="shared" ref="BF4:BF25" si="26">AU4*0.6+AR4*0.4+AS4*0.15+AT4*0.5+AV4</f>
        <v>7.6000000000000005</v>
      </c>
      <c r="BG4" s="62">
        <f t="shared" ref="BG4:BG25" si="27">AU4+AR4*0.25+AS4*0.22+AT4*0.35+AV4</f>
        <v>6.9</v>
      </c>
      <c r="BH4" s="63">
        <v>43637</v>
      </c>
      <c r="BI4" s="55">
        <v>46160</v>
      </c>
    </row>
    <row r="5" spans="1:61" x14ac:dyDescent="0.25">
      <c r="A5" s="42" t="s">
        <v>403</v>
      </c>
      <c r="B5" s="42">
        <v>26</v>
      </c>
      <c r="C5" s="43" t="s">
        <v>11</v>
      </c>
      <c r="D5" s="388" t="s">
        <v>107</v>
      </c>
      <c r="E5" s="44">
        <v>26</v>
      </c>
      <c r="F5" s="45">
        <f ca="1">$D$1-43615-112-112-112-112-112</f>
        <v>70</v>
      </c>
      <c r="G5" s="46" t="s">
        <v>108</v>
      </c>
      <c r="H5" s="64">
        <v>6</v>
      </c>
      <c r="I5" s="48">
        <v>3.2</v>
      </c>
      <c r="J5" s="49">
        <f t="shared" si="1"/>
        <v>0.8309990538638673</v>
      </c>
      <c r="K5" s="50">
        <f t="shared" si="2"/>
        <v>115.2</v>
      </c>
      <c r="L5" s="50">
        <f t="shared" si="3"/>
        <v>156.80000000000001</v>
      </c>
      <c r="M5" s="51">
        <v>6</v>
      </c>
      <c r="N5" s="52">
        <f t="shared" si="4"/>
        <v>79</v>
      </c>
      <c r="O5" s="53">
        <v>1.5</v>
      </c>
      <c r="P5" s="52">
        <v>6</v>
      </c>
      <c r="Q5" s="54">
        <f t="shared" si="5"/>
        <v>0.92582009977255142</v>
      </c>
      <c r="R5" s="54">
        <f t="shared" si="6"/>
        <v>0.99928545900129484</v>
      </c>
      <c r="S5" s="55">
        <v>38590</v>
      </c>
      <c r="T5" s="56">
        <f t="shared" si="7"/>
        <v>-1310</v>
      </c>
      <c r="U5" s="55">
        <v>11530</v>
      </c>
      <c r="V5" s="57">
        <f t="shared" si="8"/>
        <v>3.346921075455334</v>
      </c>
      <c r="W5" s="365">
        <f>12+3/6</f>
        <v>12.5</v>
      </c>
      <c r="X5" s="365">
        <v>2</v>
      </c>
      <c r="Y5" s="365">
        <v>2</v>
      </c>
      <c r="Z5" s="365">
        <v>0</v>
      </c>
      <c r="AA5" s="365">
        <v>0</v>
      </c>
      <c r="AB5" s="365">
        <v>1</v>
      </c>
      <c r="AC5" s="365">
        <v>4</v>
      </c>
      <c r="AD5" s="33">
        <v>414</v>
      </c>
      <c r="AE5" s="33">
        <v>672</v>
      </c>
      <c r="AF5" s="58">
        <f t="shared" si="9"/>
        <v>4.0097259761630717</v>
      </c>
      <c r="AG5" s="58">
        <f t="shared" si="10"/>
        <v>4.3309990538638674</v>
      </c>
      <c r="AH5" s="59">
        <f t="shared" si="11"/>
        <v>5.71558121985335</v>
      </c>
      <c r="AI5" s="59">
        <f t="shared" si="12"/>
        <v>6.1735333044265417</v>
      </c>
      <c r="AJ5" s="57">
        <f t="shared" si="13"/>
        <v>1.0407371911748762</v>
      </c>
      <c r="AK5" s="57">
        <f t="shared" si="14"/>
        <v>5.0281280859128774</v>
      </c>
      <c r="AL5" s="52">
        <v>3</v>
      </c>
      <c r="AM5" s="52">
        <v>4</v>
      </c>
      <c r="AN5" s="54">
        <f t="shared" si="15"/>
        <v>0.1158</v>
      </c>
      <c r="AO5" s="60">
        <f t="shared" si="16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7"/>
        <v>35.5</v>
      </c>
      <c r="AX5" s="62">
        <f t="shared" si="18"/>
        <v>2</v>
      </c>
      <c r="AY5" s="62">
        <f t="shared" si="19"/>
        <v>2</v>
      </c>
      <c r="AZ5" s="62">
        <f t="shared" si="20"/>
        <v>2</v>
      </c>
      <c r="BA5" s="62">
        <f t="shared" si="21"/>
        <v>2</v>
      </c>
      <c r="BB5" s="62">
        <f t="shared" si="22"/>
        <v>2</v>
      </c>
      <c r="BC5" s="62">
        <f t="shared" si="23"/>
        <v>2</v>
      </c>
      <c r="BD5" s="62">
        <f t="shared" si="24"/>
        <v>2</v>
      </c>
      <c r="BE5" s="62">
        <f t="shared" si="25"/>
        <v>2</v>
      </c>
      <c r="BF5" s="62">
        <f t="shared" si="26"/>
        <v>2</v>
      </c>
      <c r="BG5" s="62">
        <f t="shared" si="27"/>
        <v>2</v>
      </c>
      <c r="BH5" s="63">
        <v>43637</v>
      </c>
      <c r="BI5" s="55">
        <v>39900</v>
      </c>
    </row>
    <row r="6" spans="1:61" x14ac:dyDescent="0.25">
      <c r="A6" s="66" t="s">
        <v>142</v>
      </c>
      <c r="B6" s="66">
        <v>21</v>
      </c>
      <c r="C6" s="43" t="s">
        <v>109</v>
      </c>
      <c r="D6" s="388" t="s">
        <v>112</v>
      </c>
      <c r="E6" s="44">
        <v>31</v>
      </c>
      <c r="F6" s="45">
        <f ca="1">$D$1-43577-112-112-112-112-112</f>
        <v>108</v>
      </c>
      <c r="G6" s="46"/>
      <c r="H6" s="47">
        <v>3</v>
      </c>
      <c r="I6" s="48">
        <v>6</v>
      </c>
      <c r="J6" s="49">
        <f>LOG(I6+1)*4/3</f>
        <v>1.1267973866856758</v>
      </c>
      <c r="K6" s="50">
        <f>(H6)*(H6)*(I6)</f>
        <v>54</v>
      </c>
      <c r="L6" s="50">
        <f>(H6+1)*(H6+1)*I6</f>
        <v>96</v>
      </c>
      <c r="M6" s="51">
        <v>5.2</v>
      </c>
      <c r="N6" s="52">
        <f>M6*10+19</f>
        <v>71</v>
      </c>
      <c r="O6" s="53">
        <v>1.5</v>
      </c>
      <c r="P6" s="52">
        <v>6</v>
      </c>
      <c r="Q6" s="54">
        <f>(P6/7)^0.5</f>
        <v>0.92582009977255142</v>
      </c>
      <c r="R6" s="54">
        <f>IF(P6=7,1,((P6+0.99)/7)^0.5)</f>
        <v>0.99928545900129484</v>
      </c>
      <c r="S6" s="431">
        <v>740</v>
      </c>
      <c r="T6" s="56">
        <f>S6-BI6</f>
        <v>10</v>
      </c>
      <c r="U6" s="55">
        <v>350</v>
      </c>
      <c r="V6" s="57">
        <f>S6/U6</f>
        <v>2.1142857142857143</v>
      </c>
      <c r="W6" s="365">
        <v>0</v>
      </c>
      <c r="X6" s="365">
        <v>6</v>
      </c>
      <c r="Y6" s="365">
        <v>3.2</v>
      </c>
      <c r="Z6" s="365">
        <v>5</v>
      </c>
      <c r="AA6" s="365">
        <v>3</v>
      </c>
      <c r="AB6" s="365">
        <v>2</v>
      </c>
      <c r="AC6" s="365">
        <v>4</v>
      </c>
      <c r="AD6" s="33">
        <v>417</v>
      </c>
      <c r="AE6" s="33">
        <f>AD6</f>
        <v>417</v>
      </c>
      <c r="AF6" s="58">
        <f>(Y6+O6+J6)*(P6/7)^0.5</f>
        <v>5.394566137895775</v>
      </c>
      <c r="AG6" s="58">
        <f>(Y6+O6+J6)*(IF(P6=7,(P6/7)^0.5,((P6+1)/7)^0.5))</f>
        <v>5.8267973866856764</v>
      </c>
      <c r="AH6" s="59">
        <f>(AC6+O6+(LOG(I6)*4/3))*(P6/7)^0.5</f>
        <v>6.0525813064401275</v>
      </c>
      <c r="AI6" s="59">
        <f>(AC6+O6+(LOG(I6)*4/3))*(IF(P6=7,(P6/7)^0.5,((P6+1)/7)^0.5))</f>
        <v>6.5375350005115251</v>
      </c>
      <c r="AJ6" s="57">
        <f>(((X6+O6+J6)+(AA6+O6+J6)*2)/8)*(P6/7)^0.5</f>
        <v>2.3007083316426806</v>
      </c>
      <c r="AK6" s="57">
        <f>((AC6+J6+O6)*0.7+(AB6+J6+O6)*0.3)*(P6/7)^0.5</f>
        <v>5.5797301578502836</v>
      </c>
      <c r="AL6" s="52">
        <v>2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6.1499999999999999E-2</v>
      </c>
      <c r="AO6" s="60">
        <f>SUM(AP6:AV6)</f>
        <v>24.5</v>
      </c>
      <c r="AP6" s="61">
        <v>0</v>
      </c>
      <c r="AQ6" s="61">
        <v>14</v>
      </c>
      <c r="AR6" s="61">
        <v>1</v>
      </c>
      <c r="AS6" s="61">
        <v>5.5</v>
      </c>
      <c r="AT6" s="61">
        <v>2</v>
      </c>
      <c r="AU6" s="61">
        <v>0</v>
      </c>
      <c r="AV6" s="61">
        <v>2</v>
      </c>
      <c r="AW6" s="62">
        <f>AP6+AQ6*0.33+AV6</f>
        <v>6.62</v>
      </c>
      <c r="AX6" s="62">
        <f>AQ6+AR6*0.25+AV6</f>
        <v>16.25</v>
      </c>
      <c r="AY6" s="62">
        <f>AQ6+AS6*0.33+AV6</f>
        <v>17.814999999999998</v>
      </c>
      <c r="AZ6" s="62">
        <f>AQ6+AS6/1.5+AV6</f>
        <v>19.666666666666668</v>
      </c>
      <c r="BA6" s="62">
        <f>AR6+AQ6*0.6+AT6*0.17+AV6+AU6*0.12</f>
        <v>11.74</v>
      </c>
      <c r="BB6" s="62">
        <f>AR6+AQ6*0.4+AT6*0.3+AV6+AU6*0.21</f>
        <v>9.1999999999999993</v>
      </c>
      <c r="BC6" s="62">
        <f>AR6+AQ6*0.16+AT6*0.5+AV6+AU6*0.31</f>
        <v>6.24</v>
      </c>
      <c r="BD6" s="62">
        <f>AS6+AR6*0.45+AQ6*0.25+AT6*0.25+AV6</f>
        <v>11.95</v>
      </c>
      <c r="BE6" s="62">
        <f>AS6+AR6*0.63+AQ6*0.25+AT6*0.17+AV6</f>
        <v>11.969999999999999</v>
      </c>
      <c r="BF6" s="62">
        <f>AU6*0.6+AR6*0.4+AS6*0.15+AT6*0.5+AV6</f>
        <v>4.2249999999999996</v>
      </c>
      <c r="BG6" s="62">
        <f>AU6+AR6*0.25+AS6*0.22+AT6*0.35+AV6</f>
        <v>4.16</v>
      </c>
      <c r="BH6" s="63">
        <v>43637</v>
      </c>
      <c r="BI6" s="431">
        <v>730</v>
      </c>
    </row>
    <row r="7" spans="1:61" x14ac:dyDescent="0.25">
      <c r="A7" s="42" t="s">
        <v>136</v>
      </c>
      <c r="B7" s="42">
        <v>33</v>
      </c>
      <c r="C7" s="43" t="s">
        <v>109</v>
      </c>
      <c r="D7" s="388" t="s">
        <v>110</v>
      </c>
      <c r="E7" s="44">
        <v>20</v>
      </c>
      <c r="F7" s="45">
        <f ca="1">$D$1-43885-112-112-112</f>
        <v>24</v>
      </c>
      <c r="G7" s="46"/>
      <c r="H7" s="65">
        <v>5</v>
      </c>
      <c r="I7" s="48">
        <v>3</v>
      </c>
      <c r="J7" s="49">
        <f>LOG(I7+1)*4/3</f>
        <v>0.80274665510394982</v>
      </c>
      <c r="K7" s="50">
        <f>(H7)*(H7)*(I7)</f>
        <v>75</v>
      </c>
      <c r="L7" s="50">
        <f>(H7+1)*(H7+1)*I7</f>
        <v>108</v>
      </c>
      <c r="M7" s="51">
        <v>5.3</v>
      </c>
      <c r="N7" s="52">
        <f>M7*10+19</f>
        <v>72</v>
      </c>
      <c r="O7" s="53">
        <v>1.5</v>
      </c>
      <c r="P7" s="52">
        <v>6</v>
      </c>
      <c r="Q7" s="54">
        <f>(P7/7)^0.5</f>
        <v>0.92582009977255142</v>
      </c>
      <c r="R7" s="54">
        <f>IF(P7=7,1,((P7+0.99)/7)^0.5)</f>
        <v>0.99928545900129484</v>
      </c>
      <c r="S7" s="55">
        <v>5430</v>
      </c>
      <c r="T7" s="56">
        <f>S7-BI7</f>
        <v>1520</v>
      </c>
      <c r="U7" s="55">
        <v>630</v>
      </c>
      <c r="V7" s="57">
        <f>S7/U7</f>
        <v>8.6190476190476186</v>
      </c>
      <c r="W7" s="365">
        <v>1</v>
      </c>
      <c r="X7" s="365">
        <v>5</v>
      </c>
      <c r="Y7" s="365">
        <f>7+1/5</f>
        <v>7.2</v>
      </c>
      <c r="Z7" s="365">
        <v>5</v>
      </c>
      <c r="AA7" s="365">
        <v>2</v>
      </c>
      <c r="AB7" s="365">
        <f>6+1/4</f>
        <v>6.25</v>
      </c>
      <c r="AC7" s="365">
        <v>1</v>
      </c>
      <c r="AD7" s="33">
        <v>596</v>
      </c>
      <c r="AE7" s="33">
        <v>1730</v>
      </c>
      <c r="AF7" s="58">
        <f>(Y7+O7+J7)*(P7/7)^0.5</f>
        <v>8.7978338563416187</v>
      </c>
      <c r="AG7" s="58">
        <f>(Y7+O7+J7)*(IF(P7=7,(P7/7)^0.5,((P7+1)/7)^0.5))</f>
        <v>9.5027466551039499</v>
      </c>
      <c r="AH7" s="59">
        <f>(AC7+O7+(LOG(I7)*4/3))*(P7/7)^0.5</f>
        <v>2.903521512962262</v>
      </c>
      <c r="AI7" s="59">
        <f>(AC7+O7+(LOG(I7)*4/3))*(IF(P7=7,(P7/7)^0.5,((P7+1)/7)^0.5))</f>
        <v>3.1361616729595498</v>
      </c>
      <c r="AJ7" s="57">
        <f>(((X7+O7+J7)+(AA7+O7+J7)*2)/8)*(P7/7)^0.5</f>
        <v>1.8410210389863384</v>
      </c>
      <c r="AK7" s="57">
        <f>((AC7+J7+O7)*0.7+(AB7+J7+O7)*0.3)*(P7/7)^0.5</f>
        <v>4.5159158948935678</v>
      </c>
      <c r="AL7" s="52">
        <v>4</v>
      </c>
      <c r="AM7" s="52">
        <v>3</v>
      </c>
      <c r="AN7" s="54">
        <f>IF(AL7=4,IF(AM7=0,0.137+0.0697,0.137+0.02),IF(AL7=3,IF(AM7=0,0.0958+0.0697,0.0958+0.02),IF(AL7=2,IF(AM7=0,0.0415+0.0697,0.0415+0.02),IF(AL7=1,IF(AM7=0,0.0294+0.0697,0.0294+0.02),IF(AL7=0,IF(AM7=0,0.0063+0.0697,0.0063+0.02))))))</f>
        <v>0.157</v>
      </c>
      <c r="AO7" s="60">
        <f>SUM(AP7:AV7)</f>
        <v>44.5</v>
      </c>
      <c r="AP7" s="61">
        <v>0</v>
      </c>
      <c r="AQ7" s="61">
        <v>10</v>
      </c>
      <c r="AR7" s="61">
        <v>17</v>
      </c>
      <c r="AS7" s="61">
        <v>5.5</v>
      </c>
      <c r="AT7" s="61">
        <v>0</v>
      </c>
      <c r="AU7" s="61">
        <v>13</v>
      </c>
      <c r="AV7" s="61">
        <v>-1</v>
      </c>
      <c r="AW7" s="62">
        <f>AP7+AQ7*0.33+AV7</f>
        <v>2.3000000000000003</v>
      </c>
      <c r="AX7" s="62">
        <f>AQ7+AR7*0.25+AV7</f>
        <v>13.25</v>
      </c>
      <c r="AY7" s="62">
        <f>AQ7+AS7*0.33+AV7</f>
        <v>10.815</v>
      </c>
      <c r="AZ7" s="62">
        <f>AQ7+AS7/1.5+AV7</f>
        <v>12.666666666666666</v>
      </c>
      <c r="BA7" s="62">
        <f>AR7+AQ7*0.6+AT7*0.17+AV7+AU7*0.12</f>
        <v>23.56</v>
      </c>
      <c r="BB7" s="62">
        <f>AR7+AQ7*0.4+AT7*0.3+AV7+AU7*0.21</f>
        <v>22.73</v>
      </c>
      <c r="BC7" s="62">
        <f>AR7+AQ7*0.16+AT7*0.5+AV7+AU7*0.31</f>
        <v>21.630000000000003</v>
      </c>
      <c r="BD7" s="62">
        <f>AS7+AR7*0.45+AQ7*0.25+AT7*0.25+AV7</f>
        <v>14.65</v>
      </c>
      <c r="BE7" s="62">
        <f>AS7+AR7*0.63+AQ7*0.25+AT7*0.17+AV7</f>
        <v>17.71</v>
      </c>
      <c r="BF7" s="62">
        <f>AU7*0.6+AR7*0.4+AS7*0.15+AT7*0.5+AV7</f>
        <v>14.425000000000001</v>
      </c>
      <c r="BG7" s="62">
        <f>AU7+AR7*0.25+AS7*0.22+AT7*0.35+AV7</f>
        <v>17.46</v>
      </c>
      <c r="BH7" s="63" t="s">
        <v>111</v>
      </c>
      <c r="BI7" s="55">
        <v>3910</v>
      </c>
    </row>
    <row r="8" spans="1:61" x14ac:dyDescent="0.25">
      <c r="A8" s="42" t="s">
        <v>406</v>
      </c>
      <c r="B8" s="42">
        <v>19</v>
      </c>
      <c r="C8" s="43" t="s">
        <v>113</v>
      </c>
      <c r="D8" s="388" t="s">
        <v>120</v>
      </c>
      <c r="E8" s="44">
        <v>33</v>
      </c>
      <c r="F8" s="45">
        <f ca="1">$D$1-43574-112-112-112-112-112</f>
        <v>111</v>
      </c>
      <c r="G8" s="46"/>
      <c r="H8" s="47">
        <v>5</v>
      </c>
      <c r="I8" s="48">
        <v>6.8</v>
      </c>
      <c r="J8" s="49">
        <f>LOG(I8+1)*4/3</f>
        <v>1.1894594702539738</v>
      </c>
      <c r="K8" s="50">
        <f>(H8)*(H8)*(I8)</f>
        <v>170</v>
      </c>
      <c r="L8" s="50">
        <f>(H8+1)*(H8+1)*I8</f>
        <v>244.79999999999998</v>
      </c>
      <c r="M8" s="51">
        <v>4.7</v>
      </c>
      <c r="N8" s="52">
        <f>M8*10+19</f>
        <v>66</v>
      </c>
      <c r="O8" s="53">
        <v>1.5</v>
      </c>
      <c r="P8" s="52">
        <v>7</v>
      </c>
      <c r="Q8" s="54">
        <f>(P8/7)^0.5</f>
        <v>1</v>
      </c>
      <c r="R8" s="54">
        <f>IF(P8=7,1,((P8+0.99)/7)^0.5)</f>
        <v>1</v>
      </c>
      <c r="S8" s="55">
        <v>140</v>
      </c>
      <c r="T8" s="56">
        <f>S8-BI8</f>
        <v>20</v>
      </c>
      <c r="U8" s="55">
        <v>280</v>
      </c>
      <c r="V8" s="57">
        <f>S8/U8</f>
        <v>0.5</v>
      </c>
      <c r="W8" s="365">
        <v>0</v>
      </c>
      <c r="X8" s="365">
        <v>5</v>
      </c>
      <c r="Y8" s="365">
        <v>5</v>
      </c>
      <c r="Z8" s="365">
        <v>1</v>
      </c>
      <c r="AA8" s="365">
        <v>0</v>
      </c>
      <c r="AB8" s="365">
        <v>1</v>
      </c>
      <c r="AC8" s="365">
        <v>3</v>
      </c>
      <c r="AD8" s="33">
        <v>291</v>
      </c>
      <c r="AE8" s="33">
        <f>AD8</f>
        <v>291</v>
      </c>
      <c r="AF8" s="58">
        <f>(Y8+O8+J8)*(P8/7)^0.5</f>
        <v>7.6894594702539738</v>
      </c>
      <c r="AG8" s="58">
        <f>(Y8+O8+J8)*(IF(P8=7,(P8/7)^0.5,((P8+1)/7)^0.5))</f>
        <v>7.6894594702539738</v>
      </c>
      <c r="AH8" s="59">
        <f>(AC8+O8+(LOG(I8)*4/3))*(P8/7)^0.5</f>
        <v>5.6100118836083155</v>
      </c>
      <c r="AI8" s="59">
        <f>(AC8+O8+(LOG(I8)*4/3))*(IF(P8=7,(P8/7)^0.5,((P8+1)/7)^0.5))</f>
        <v>5.6100118836083155</v>
      </c>
      <c r="AJ8" s="57">
        <f>(((X8+O8+J8)+(AA8+O8+J8)*2)/8)*(P8/7)^0.5</f>
        <v>1.6335473013452402</v>
      </c>
      <c r="AK8" s="57">
        <f>((AC8+J8+O8)*0.7+(AB8+J8+O8)*0.3)*(P8/7)^0.5</f>
        <v>5.0894594702539733</v>
      </c>
      <c r="AL8" s="52">
        <v>0</v>
      </c>
      <c r="AM8" s="52">
        <v>4</v>
      </c>
      <c r="AN8" s="54">
        <f>IF(AL8=4,IF(AM8=0,0.137+0.0697,0.137+0.02),IF(AL8=3,IF(AM8=0,0.0958+0.0697,0.0958+0.02),IF(AL8=2,IF(AM8=0,0.0415+0.0697,0.0415+0.02),IF(AL8=1,IF(AM8=0,0.0294+0.0697,0.0294+0.02),IF(AL8=0,IF(AM8=0,0.0063+0.0697,0.0063+0.02))))))</f>
        <v>2.63E-2</v>
      </c>
      <c r="AO8" s="60">
        <f>SUM(AP8:AV8)</f>
        <v>17</v>
      </c>
      <c r="AP8" s="61">
        <v>0</v>
      </c>
      <c r="AQ8" s="61">
        <v>10</v>
      </c>
      <c r="AR8" s="61">
        <v>9</v>
      </c>
      <c r="AS8" s="61">
        <v>0</v>
      </c>
      <c r="AT8" s="61">
        <v>-1.5</v>
      </c>
      <c r="AU8" s="61">
        <v>-1.5</v>
      </c>
      <c r="AV8" s="61">
        <v>1</v>
      </c>
      <c r="AW8" s="62">
        <f>AP8+AQ8*0.33+AV8</f>
        <v>4.3000000000000007</v>
      </c>
      <c r="AX8" s="62">
        <f>AQ8+AR8*0.25+AV8</f>
        <v>13.25</v>
      </c>
      <c r="AY8" s="62">
        <f>AQ8+AS8*0.33+AV8</f>
        <v>11</v>
      </c>
      <c r="AZ8" s="62">
        <f>AQ8+AS8/1.5+AV8</f>
        <v>11</v>
      </c>
      <c r="BA8" s="62">
        <f>AR8+AQ8*0.6+AT8*0.17+AV8+AU8*0.12</f>
        <v>15.565</v>
      </c>
      <c r="BB8" s="62">
        <f>AR8+AQ8*0.4+AT8*0.3+AV8+AU8*0.21</f>
        <v>13.235000000000001</v>
      </c>
      <c r="BC8" s="62">
        <f>AR8+AQ8*0.16+AT8*0.5+AV8+AU8*0.31</f>
        <v>10.385</v>
      </c>
      <c r="BD8" s="62">
        <f>AS8+AR8*0.45+AQ8*0.25+AT8*0.25+AV8</f>
        <v>7.1749999999999998</v>
      </c>
      <c r="BE8" s="62">
        <f>AS8+AR8*0.63+AQ8*0.25+AT8*0.17+AV8</f>
        <v>8.9149999999999991</v>
      </c>
      <c r="BF8" s="62">
        <f>AU8*0.6+AR8*0.4+AS8*0.15+AT8*0.5+AV8</f>
        <v>2.95</v>
      </c>
      <c r="BG8" s="62">
        <f>AU8+AR8*0.25+AS8*0.22+AT8*0.35+AV8</f>
        <v>1.2250000000000001</v>
      </c>
      <c r="BH8" s="63">
        <v>43637</v>
      </c>
      <c r="BI8" s="55">
        <v>120</v>
      </c>
    </row>
    <row r="9" spans="1:61" x14ac:dyDescent="0.25">
      <c r="A9" s="432" t="s">
        <v>449</v>
      </c>
      <c r="B9" s="366">
        <v>34</v>
      </c>
      <c r="C9" s="367" t="s">
        <v>113</v>
      </c>
      <c r="D9" s="388" t="s">
        <v>168</v>
      </c>
      <c r="E9" s="368">
        <v>19</v>
      </c>
      <c r="F9" s="369">
        <f ca="1">$D$1-43887-112-112-112</f>
        <v>22</v>
      </c>
      <c r="G9" s="370"/>
      <c r="H9" s="433">
        <v>5</v>
      </c>
      <c r="I9" s="372">
        <v>1</v>
      </c>
      <c r="J9" s="49">
        <f>LOG(I9+1)*4/3</f>
        <v>0.40137332755197491</v>
      </c>
      <c r="K9" s="50">
        <f>(H9)*(H9)*(I9)</f>
        <v>25</v>
      </c>
      <c r="L9" s="50">
        <f>(H9+1)*(H9+1)*I9</f>
        <v>36</v>
      </c>
      <c r="M9" s="375">
        <v>3.5</v>
      </c>
      <c r="N9" s="52">
        <f>M9*10+19</f>
        <v>54</v>
      </c>
      <c r="O9" s="377">
        <v>1.5</v>
      </c>
      <c r="P9" s="376">
        <v>4</v>
      </c>
      <c r="Q9" s="54">
        <f>(P9/7)^0.5</f>
        <v>0.7559289460184544</v>
      </c>
      <c r="R9" s="54">
        <f>IF(P9=7,1,((P9+0.99)/7)^0.5)</f>
        <v>0.84430867747355465</v>
      </c>
      <c r="S9" s="379">
        <v>850</v>
      </c>
      <c r="T9" s="56">
        <f>S9-BI9</f>
        <v>-160</v>
      </c>
      <c r="U9" s="379">
        <v>330</v>
      </c>
      <c r="V9" s="57">
        <f>S9/U9</f>
        <v>2.5757575757575757</v>
      </c>
      <c r="W9" s="365">
        <v>0</v>
      </c>
      <c r="X9" s="365">
        <v>5</v>
      </c>
      <c r="Y9" s="365">
        <v>5</v>
      </c>
      <c r="Z9" s="365">
        <v>4</v>
      </c>
      <c r="AA9" s="365">
        <v>3</v>
      </c>
      <c r="AB9" s="365">
        <v>2</v>
      </c>
      <c r="AC9" s="365">
        <v>2</v>
      </c>
      <c r="AD9" s="382">
        <v>402</v>
      </c>
      <c r="AE9" s="382">
        <v>1695</v>
      </c>
      <c r="AF9" s="58">
        <f>(Y9+O9+J9)*(P9/7)^0.5</f>
        <v>5.2169478655762385</v>
      </c>
      <c r="AG9" s="58">
        <f>(Y9+O9+J9)*(IF(P9=7,(P9/7)^0.5,((P9+1)/7)^0.5))</f>
        <v>5.8327250312504519</v>
      </c>
      <c r="AH9" s="59">
        <f>(AC9+O9+(LOG(I9)*4/3))*(P9/7)^0.5</f>
        <v>2.6457513110645903</v>
      </c>
      <c r="AI9" s="59">
        <f>(AC9+O9+(LOG(I9)*4/3))*(IF(P9=7,(P9/7)^0.5,((P9+1)/7)^0.5))</f>
        <v>2.9580398915498081</v>
      </c>
      <c r="AJ9" s="57">
        <f>(((X9+O9+J9)+(AA9+O9+J9)*2)/8)*(P9/7)^0.5</f>
        <v>1.578390976581862</v>
      </c>
      <c r="AK9" s="57">
        <f>((AC9+J9+O9)*0.7+(AB9+J9+O9)*0.3)*(P9/7)^0.5</f>
        <v>2.9491610275208746</v>
      </c>
      <c r="AL9" s="376">
        <v>1</v>
      </c>
      <c r="AM9" s="376">
        <v>3</v>
      </c>
      <c r="AN9" s="54">
        <f>IF(AL9=4,IF(AM9=0,0.137+0.0697,0.137+0.02),IF(AL9=3,IF(AM9=0,0.0958+0.0697,0.0958+0.02),IF(AL9=2,IF(AM9=0,0.0415+0.0697,0.0415+0.02),IF(AL9=1,IF(AM9=0,0.0294+0.0697,0.0294+0.02),IF(AL9=0,IF(AM9=0,0.0063+0.0697,0.0063+0.02))))))</f>
        <v>4.9399999999999999E-2</v>
      </c>
      <c r="AO9" s="60">
        <f>SUM(AP9:AV9)</f>
        <v>24.5</v>
      </c>
      <c r="AP9" s="385"/>
      <c r="AQ9" s="385">
        <v>10</v>
      </c>
      <c r="AR9" s="385">
        <v>9</v>
      </c>
      <c r="AS9" s="385">
        <v>3.5</v>
      </c>
      <c r="AT9" s="385">
        <v>2</v>
      </c>
      <c r="AU9" s="385">
        <v>0</v>
      </c>
      <c r="AV9" s="385">
        <v>0</v>
      </c>
      <c r="AW9" s="350">
        <f>AP9+AQ9*0.33+AV9</f>
        <v>3.3000000000000003</v>
      </c>
      <c r="AX9" s="350">
        <f>AQ9+AR9*0.25+AV9</f>
        <v>12.25</v>
      </c>
      <c r="AY9" s="350">
        <f>AQ9+AS9*0.33+AV9</f>
        <v>11.154999999999999</v>
      </c>
      <c r="AZ9" s="350">
        <f>AQ9+AS9/1.5+AV9</f>
        <v>12.333333333333334</v>
      </c>
      <c r="BA9" s="350">
        <f>AR9+AQ9*0.6+AT9*0.17+AV9+AU9*0.12</f>
        <v>15.34</v>
      </c>
      <c r="BB9" s="350">
        <f>AR9+AQ9*0.4+AT9*0.3+AV9+AU9*0.21</f>
        <v>13.6</v>
      </c>
      <c r="BC9" s="350">
        <f>AR9+AQ9*0.16+AT9*0.5+AV9+AU9*0.31</f>
        <v>11.6</v>
      </c>
      <c r="BD9" s="350">
        <f>AS9+AR9*0.45+AQ9*0.25+AT9*0.25+AV9</f>
        <v>10.55</v>
      </c>
      <c r="BE9" s="350">
        <f>AS9+AR9*0.63+AQ9*0.25+AT9*0.17+AV9</f>
        <v>12.01</v>
      </c>
      <c r="BF9" s="350">
        <f>AU9*0.6+AR9*0.4+AS9*0.15+AT9*0.5+AV9</f>
        <v>5.125</v>
      </c>
      <c r="BG9" s="350">
        <f>AU9+AR9*0.25+AS9*0.22+AT9*0.35+AV9</f>
        <v>3.7199999999999998</v>
      </c>
      <c r="BH9" s="386" t="s">
        <v>450</v>
      </c>
      <c r="BI9" s="379">
        <v>1010</v>
      </c>
    </row>
    <row r="10" spans="1:61" x14ac:dyDescent="0.25">
      <c r="A10" s="66" t="s">
        <v>404</v>
      </c>
      <c r="B10" s="66">
        <v>32</v>
      </c>
      <c r="C10" s="43" t="s">
        <v>113</v>
      </c>
      <c r="D10" s="388" t="s">
        <v>118</v>
      </c>
      <c r="E10" s="44">
        <v>20</v>
      </c>
      <c r="F10" s="45">
        <f ca="1">$D$1-43815-112-112-112</f>
        <v>94</v>
      </c>
      <c r="G10" s="46" t="s">
        <v>119</v>
      </c>
      <c r="H10" s="47">
        <v>3</v>
      </c>
      <c r="I10" s="48">
        <v>2.5</v>
      </c>
      <c r="J10" s="49">
        <f t="shared" si="1"/>
        <v>0.72542405913370089</v>
      </c>
      <c r="K10" s="50">
        <f t="shared" si="2"/>
        <v>22.5</v>
      </c>
      <c r="L10" s="50">
        <f t="shared" si="3"/>
        <v>40</v>
      </c>
      <c r="M10" s="51">
        <v>5</v>
      </c>
      <c r="N10" s="52">
        <f t="shared" si="4"/>
        <v>69</v>
      </c>
      <c r="O10" s="53">
        <v>1.5</v>
      </c>
      <c r="P10" s="52">
        <v>6</v>
      </c>
      <c r="Q10" s="54">
        <f t="shared" si="5"/>
        <v>0.92582009977255142</v>
      </c>
      <c r="R10" s="54">
        <f t="shared" si="6"/>
        <v>0.99928545900129484</v>
      </c>
      <c r="S10" s="55">
        <v>7490</v>
      </c>
      <c r="T10" s="56">
        <f t="shared" si="7"/>
        <v>2300</v>
      </c>
      <c r="U10" s="55">
        <v>930</v>
      </c>
      <c r="V10" s="57">
        <f t="shared" si="8"/>
        <v>8.0537634408602159</v>
      </c>
      <c r="W10" s="365">
        <v>0</v>
      </c>
      <c r="X10" s="365">
        <v>5</v>
      </c>
      <c r="Y10" s="365">
        <f>9+2/7</f>
        <v>9.2857142857142865</v>
      </c>
      <c r="Z10" s="365">
        <v>2</v>
      </c>
      <c r="AA10" s="365">
        <v>3</v>
      </c>
      <c r="AB10" s="365">
        <v>4</v>
      </c>
      <c r="AC10" s="365">
        <v>2</v>
      </c>
      <c r="AD10" s="33">
        <v>586</v>
      </c>
      <c r="AE10" s="33">
        <v>1623</v>
      </c>
      <c r="AF10" s="58">
        <f t="shared" si="9"/>
        <v>10.657243250922805</v>
      </c>
      <c r="AG10" s="58">
        <f t="shared" si="10"/>
        <v>11.511138344847987</v>
      </c>
      <c r="AH10" s="59">
        <f t="shared" si="11"/>
        <v>3.7315981605802442</v>
      </c>
      <c r="AI10" s="59">
        <f t="shared" si="12"/>
        <v>4.0305866782293833</v>
      </c>
      <c r="AJ10" s="57">
        <f t="shared" si="13"/>
        <v>2.045631008861033</v>
      </c>
      <c r="AK10" s="57">
        <f t="shared" si="14"/>
        <v>4.4674745838720327</v>
      </c>
      <c r="AL10" s="52">
        <v>2</v>
      </c>
      <c r="AM10" s="52">
        <v>3</v>
      </c>
      <c r="AN10" s="54">
        <f t="shared" si="15"/>
        <v>6.1499999999999999E-2</v>
      </c>
      <c r="AO10" s="60">
        <f t="shared" si="16"/>
        <v>45</v>
      </c>
      <c r="AP10" s="61">
        <v>0</v>
      </c>
      <c r="AQ10" s="61">
        <v>10</v>
      </c>
      <c r="AR10" s="61">
        <v>28</v>
      </c>
      <c r="AS10" s="61">
        <v>0</v>
      </c>
      <c r="AT10" s="61">
        <v>2</v>
      </c>
      <c r="AU10" s="61">
        <v>5</v>
      </c>
      <c r="AV10" s="61">
        <v>0</v>
      </c>
      <c r="AW10" s="62">
        <f t="shared" si="17"/>
        <v>3.3000000000000003</v>
      </c>
      <c r="AX10" s="62">
        <f t="shared" si="18"/>
        <v>17</v>
      </c>
      <c r="AY10" s="62">
        <f t="shared" si="19"/>
        <v>10</v>
      </c>
      <c r="AZ10" s="62">
        <f t="shared" si="20"/>
        <v>10</v>
      </c>
      <c r="BA10" s="62">
        <f t="shared" si="21"/>
        <v>34.940000000000005</v>
      </c>
      <c r="BB10" s="62">
        <f t="shared" si="22"/>
        <v>33.65</v>
      </c>
      <c r="BC10" s="62">
        <f t="shared" si="23"/>
        <v>32.15</v>
      </c>
      <c r="BD10" s="62">
        <f t="shared" si="24"/>
        <v>15.6</v>
      </c>
      <c r="BE10" s="62">
        <f t="shared" si="25"/>
        <v>20.48</v>
      </c>
      <c r="BF10" s="62">
        <f t="shared" si="26"/>
        <v>15.200000000000001</v>
      </c>
      <c r="BG10" s="62">
        <f t="shared" si="27"/>
        <v>12.7</v>
      </c>
      <c r="BH10" s="63">
        <v>44037</v>
      </c>
      <c r="BI10" s="55">
        <v>5190</v>
      </c>
    </row>
    <row r="11" spans="1:61" x14ac:dyDescent="0.25">
      <c r="A11" s="42" t="s">
        <v>138</v>
      </c>
      <c r="B11" s="42">
        <v>32</v>
      </c>
      <c r="C11" s="43" t="s">
        <v>113</v>
      </c>
      <c r="D11" s="388" t="s">
        <v>464</v>
      </c>
      <c r="E11" s="44">
        <v>18</v>
      </c>
      <c r="F11" s="45">
        <f ca="1">$D$1-44216</f>
        <v>29</v>
      </c>
      <c r="G11" s="46" t="s">
        <v>119</v>
      </c>
      <c r="H11" s="47">
        <v>3</v>
      </c>
      <c r="I11" s="48">
        <v>2</v>
      </c>
      <c r="J11" s="49">
        <f>LOG(I11+1)*4/3</f>
        <v>0.63616167295954995</v>
      </c>
      <c r="K11" s="50">
        <f>(H11)*(H11)*(I11)</f>
        <v>18</v>
      </c>
      <c r="L11" s="50">
        <f>(H11+1)*(H11+1)*I11</f>
        <v>32</v>
      </c>
      <c r="M11" s="51">
        <v>3.5</v>
      </c>
      <c r="N11" s="52">
        <f>M11*10+19</f>
        <v>54</v>
      </c>
      <c r="O11" s="53">
        <v>1.5</v>
      </c>
      <c r="P11" s="52">
        <v>5</v>
      </c>
      <c r="Q11" s="54">
        <f>(P11/7)^0.5</f>
        <v>0.84515425472851657</v>
      </c>
      <c r="R11" s="54">
        <f>IF(P11=7,1,((P11+0.99)/7)^0.5)</f>
        <v>0.92504826128926143</v>
      </c>
      <c r="S11" s="55">
        <v>600</v>
      </c>
      <c r="T11" s="56">
        <f>S11-BI11</f>
        <v>-620</v>
      </c>
      <c r="U11" s="55">
        <v>290</v>
      </c>
      <c r="V11" s="57">
        <f>S11/U11</f>
        <v>2.0689655172413794</v>
      </c>
      <c r="W11" s="365">
        <v>0</v>
      </c>
      <c r="X11" s="365">
        <v>2</v>
      </c>
      <c r="Y11" s="365">
        <v>5</v>
      </c>
      <c r="Z11" s="365">
        <v>5</v>
      </c>
      <c r="AA11" s="365">
        <v>3</v>
      </c>
      <c r="AB11" s="365">
        <v>3</v>
      </c>
      <c r="AC11" s="365">
        <v>2</v>
      </c>
      <c r="AD11" s="33">
        <v>351</v>
      </c>
      <c r="AE11" s="33">
        <v>1793</v>
      </c>
      <c r="AF11" s="58">
        <f>(Y11+O11+J11)*(P11/7)^0.5</f>
        <v>6.0311574003323321</v>
      </c>
      <c r="AG11" s="58">
        <f>(Y11+O11+J11)*(IF(P11=7,(P11/7)^0.5,((P11+1)/7)^0.5))</f>
        <v>6.6068019120524681</v>
      </c>
      <c r="AH11" s="59">
        <f>(AC11+O11+(LOG(I11)*4/3))*(P11/7)^0.5</f>
        <v>3.2972622670649021</v>
      </c>
      <c r="AI11" s="59">
        <f>(AC11+O11+(LOG(I11)*4/3))*(IF(P11=7,(P11/7)^0.5,((P11+1)/7)^0.5))</f>
        <v>3.6119698433641405</v>
      </c>
      <c r="AJ11" s="57">
        <f>(((X11+O11+J11)+(AA11+O11+J11)*2)/8)*(P11/7)^0.5</f>
        <v>1.5221740522371727</v>
      </c>
      <c r="AK11" s="57">
        <f>((AC11+J11+O11)*0.7+(AB11+J11+O11)*0.3)*(P11/7)^0.5</f>
        <v>3.7492409125653374</v>
      </c>
      <c r="AL11" s="52">
        <v>2</v>
      </c>
      <c r="AM11" s="52">
        <v>2</v>
      </c>
      <c r="AN11" s="54">
        <f>IF(AL11=4,IF(AM11=0,0.137+0.0697,0.137+0.02),IF(AL11=3,IF(AM11=0,0.0958+0.0697,0.0958+0.02),IF(AL11=2,IF(AM11=0,0.0415+0.0697,0.0415+0.02),IF(AL11=1,IF(AM11=0,0.0294+0.0697,0.0294+0.02),IF(AL11=0,IF(AM11=0,0.0063+0.0697,0.0063+0.02))))))</f>
        <v>6.1499999999999999E-2</v>
      </c>
      <c r="AO11" s="60">
        <f>SUM(AP11:AV11)</f>
        <v>18.5</v>
      </c>
      <c r="AP11" s="61">
        <v>0</v>
      </c>
      <c r="AQ11" s="61">
        <v>0</v>
      </c>
      <c r="AR11" s="61">
        <v>9</v>
      </c>
      <c r="AS11" s="61">
        <v>5.5</v>
      </c>
      <c r="AT11" s="61">
        <v>2</v>
      </c>
      <c r="AU11" s="61">
        <v>2</v>
      </c>
      <c r="AV11" s="61">
        <v>0</v>
      </c>
      <c r="AW11" s="62">
        <f>AP11+AQ11*0.33+AV11</f>
        <v>0</v>
      </c>
      <c r="AX11" s="62">
        <f>AQ11+AR11*0.25+AV11</f>
        <v>2.25</v>
      </c>
      <c r="AY11" s="62">
        <f>AQ11+AS11*0.33+AV11</f>
        <v>1.8150000000000002</v>
      </c>
      <c r="AZ11" s="62">
        <f>AQ11+AS11/1.5+AV11</f>
        <v>3.6666666666666665</v>
      </c>
      <c r="BA11" s="62">
        <f>AR11+AQ11*0.6+AT11*0.17+AV11+AU11*0.12</f>
        <v>9.58</v>
      </c>
      <c r="BB11" s="62">
        <f>AR11+AQ11*0.4+AT11*0.3+AV11+AU11*0.21</f>
        <v>10.02</v>
      </c>
      <c r="BC11" s="62">
        <f>AR11+AQ11*0.16+AT11*0.5+AV11+AU11*0.31</f>
        <v>10.62</v>
      </c>
      <c r="BD11" s="62">
        <f>AS11+AR11*0.45+AQ11*0.25+AT11*0.25+AV11</f>
        <v>10.050000000000001</v>
      </c>
      <c r="BE11" s="62">
        <f>AS11+AR11*0.63+AQ11*0.25+AT11*0.17+AV11</f>
        <v>11.51</v>
      </c>
      <c r="BF11" s="62">
        <f>AU11*0.6+AR11*0.4+AS11*0.15+AT11*0.5+AV11</f>
        <v>6.625</v>
      </c>
      <c r="BG11" s="62">
        <f>AU11+AR11*0.25+AS11*0.22+AT11*0.35+AV11</f>
        <v>6.16</v>
      </c>
      <c r="BH11" s="63" t="s">
        <v>130</v>
      </c>
      <c r="BI11" s="55">
        <v>1220</v>
      </c>
    </row>
    <row r="12" spans="1:61" x14ac:dyDescent="0.25">
      <c r="A12" s="432" t="s">
        <v>463</v>
      </c>
      <c r="B12" s="432">
        <v>33</v>
      </c>
      <c r="C12" s="367" t="s">
        <v>113</v>
      </c>
      <c r="D12" s="388" t="s">
        <v>454</v>
      </c>
      <c r="E12" s="368">
        <v>17</v>
      </c>
      <c r="F12" s="369">
        <f ca="1">$D$1-44172</f>
        <v>73</v>
      </c>
      <c r="G12" s="370"/>
      <c r="H12" s="433">
        <v>0</v>
      </c>
      <c r="I12" s="372">
        <v>0.5</v>
      </c>
      <c r="J12" s="373">
        <f>LOG(I12+1)*4/3</f>
        <v>0.23478834540757498</v>
      </c>
      <c r="K12" s="374">
        <f>(H12)*(H12)*(I12)</f>
        <v>0</v>
      </c>
      <c r="L12" s="374">
        <f>(H12+1)*(H12+1)*I12</f>
        <v>0.5</v>
      </c>
      <c r="M12" s="375">
        <v>4</v>
      </c>
      <c r="N12" s="376">
        <f>M12*10+19</f>
        <v>59</v>
      </c>
      <c r="O12" s="377">
        <v>1.5</v>
      </c>
      <c r="P12" s="376">
        <v>5</v>
      </c>
      <c r="Q12" s="378">
        <f>(P12/7)^0.5</f>
        <v>0.84515425472851657</v>
      </c>
      <c r="R12" s="378">
        <f>IF(P12=7,1,((P12+0.99)/7)^0.5)</f>
        <v>0.92504826128926143</v>
      </c>
      <c r="S12" s="379">
        <v>1080</v>
      </c>
      <c r="T12" s="380">
        <f>S12-BI12</f>
        <v>0</v>
      </c>
      <c r="U12" s="379">
        <v>350</v>
      </c>
      <c r="V12" s="381">
        <f>S12/U12</f>
        <v>3.0857142857142859</v>
      </c>
      <c r="W12" s="365">
        <v>0</v>
      </c>
      <c r="X12" s="365">
        <v>6</v>
      </c>
      <c r="Y12" s="365">
        <v>3</v>
      </c>
      <c r="Z12" s="365">
        <v>2</v>
      </c>
      <c r="AA12" s="365">
        <v>4</v>
      </c>
      <c r="AB12" s="365">
        <v>4</v>
      </c>
      <c r="AC12" s="365">
        <v>2</v>
      </c>
      <c r="AD12" s="382">
        <v>427</v>
      </c>
      <c r="AE12" s="382">
        <v>1966</v>
      </c>
      <c r="AF12" s="58">
        <f>(Y12+O12+J12)*(P12/7)^0.5</f>
        <v>4.0016265153602051</v>
      </c>
      <c r="AG12" s="58">
        <f>(Y12+O12+J12)*(IF(P12=7,(P12/7)^0.5,((P12+1)/7)^0.5))</f>
        <v>4.3835622183471541</v>
      </c>
      <c r="AH12" s="383">
        <f>(AC12+O12+(LOG(I12)*4/3))*(P12/7)^0.5</f>
        <v>2.618817516034714</v>
      </c>
      <c r="AI12" s="383">
        <f>(AC12+O12+(LOG(I12)*4/3))*(IF(P12=7,(P12/7)^0.5,((P12+1)/7)^0.5))</f>
        <v>2.8687708550437194</v>
      </c>
      <c r="AJ12" s="381">
        <f>(((X12+O12+J12)+(AA12+O12+J12)*2)/8)*(P12/7)^0.5</f>
        <v>2.0288313524653998</v>
      </c>
      <c r="AK12" s="57">
        <f>((AC12+J12+O12)*0.7+(AB12+J12+O12)*0.3)*(P12/7)^0.5</f>
        <v>3.6635648134687986</v>
      </c>
      <c r="AL12" s="376">
        <v>3</v>
      </c>
      <c r="AM12" s="376">
        <v>3</v>
      </c>
      <c r="AN12" s="378">
        <f>IF(AL12=4,IF(AM12=0,0.137+0.0697,0.137+0.02),IF(AL12=3,IF(AM12=0,0.0958+0.0697,0.0958+0.02),IF(AL12=2,IF(AM12=0,0.0415+0.0697,0.0415+0.02),IF(AL12=1,IF(AM12=0,0.0294+0.0697,0.0294+0.02),IF(AL12=0,IF(AM12=0,0.0063+0.0697,0.0063+0.02))))))</f>
        <v>0.1158</v>
      </c>
      <c r="AO12" s="60">
        <f>SUM(AP12:AV12)</f>
        <v>26</v>
      </c>
      <c r="AP12" s="385">
        <v>0</v>
      </c>
      <c r="AQ12" s="385">
        <v>14</v>
      </c>
      <c r="AR12" s="385">
        <v>3</v>
      </c>
      <c r="AS12" s="385">
        <v>0</v>
      </c>
      <c r="AT12" s="385">
        <v>4</v>
      </c>
      <c r="AU12" s="385">
        <v>5</v>
      </c>
      <c r="AV12" s="385">
        <v>0</v>
      </c>
      <c r="AW12" s="350">
        <f>AP12+AQ12*0.33+AV12</f>
        <v>4.62</v>
      </c>
      <c r="AX12" s="350">
        <f>AQ12+AR12*0.25+AV12</f>
        <v>14.75</v>
      </c>
      <c r="AY12" s="350">
        <f>AQ12+AS12*0.33+AV12</f>
        <v>14</v>
      </c>
      <c r="AZ12" s="350">
        <f>AQ12+AS12/1.5+AV12</f>
        <v>14</v>
      </c>
      <c r="BA12" s="350">
        <f>AR12+AQ12*0.6+AT12*0.17+AV12+AU12*0.12</f>
        <v>12.68</v>
      </c>
      <c r="BB12" s="350">
        <f>AR12+AQ12*0.4+AT12*0.3+AV12+AU12*0.21</f>
        <v>10.850000000000001</v>
      </c>
      <c r="BC12" s="350">
        <f>AR12+AQ12*0.16+AT12*0.5+AV12+AU12*0.31</f>
        <v>8.7900000000000009</v>
      </c>
      <c r="BD12" s="350">
        <f>AS12+AR12*0.45+AQ12*0.25+AT12*0.25+AV12</f>
        <v>5.85</v>
      </c>
      <c r="BE12" s="350">
        <f>AS12+AR12*0.63+AQ12*0.25+AT12*0.17+AV12</f>
        <v>6.07</v>
      </c>
      <c r="BF12" s="350">
        <f>AU12*0.6+AR12*0.4+AS12*0.15+AT12*0.5+AV12</f>
        <v>6.2</v>
      </c>
      <c r="BG12" s="350">
        <f>AU12+AR12*0.25+AS12*0.22+AT12*0.35+AV12</f>
        <v>7.15</v>
      </c>
      <c r="BH12" s="386" t="s">
        <v>451</v>
      </c>
      <c r="BI12" s="379">
        <v>1080</v>
      </c>
    </row>
    <row r="13" spans="1:61" x14ac:dyDescent="0.25">
      <c r="A13" s="42" t="s">
        <v>405</v>
      </c>
      <c r="B13" s="42">
        <v>24</v>
      </c>
      <c r="C13" s="43" t="s">
        <v>113</v>
      </c>
      <c r="D13" s="388" t="s">
        <v>132</v>
      </c>
      <c r="E13" s="44">
        <v>28</v>
      </c>
      <c r="F13" s="45">
        <f ca="1">$D$1-43746-112-112-112-112</f>
        <v>51</v>
      </c>
      <c r="G13" s="46"/>
      <c r="H13" s="47">
        <v>5</v>
      </c>
      <c r="I13" s="48">
        <v>4.5</v>
      </c>
      <c r="J13" s="49">
        <f>LOG(I13+1)*4/3</f>
        <v>0.98715025265899181</v>
      </c>
      <c r="K13" s="50">
        <f>(H13)*(H13)*(I13)</f>
        <v>112.5</v>
      </c>
      <c r="L13" s="50">
        <f>(H13+1)*(H13+1)*I13</f>
        <v>162</v>
      </c>
      <c r="M13" s="51">
        <v>5.9</v>
      </c>
      <c r="N13" s="52">
        <f>M13*10+19</f>
        <v>78</v>
      </c>
      <c r="O13" s="53">
        <v>1.5</v>
      </c>
      <c r="P13" s="52">
        <v>7</v>
      </c>
      <c r="Q13" s="54">
        <f>(P13/7)^0.5</f>
        <v>1</v>
      </c>
      <c r="R13" s="54">
        <f>IF(P13=7,1,((P13+0.99)/7)^0.5)</f>
        <v>1</v>
      </c>
      <c r="S13" s="55">
        <v>2140</v>
      </c>
      <c r="T13" s="56">
        <f>S13-BI13</f>
        <v>-20</v>
      </c>
      <c r="U13" s="55">
        <v>530</v>
      </c>
      <c r="V13" s="57">
        <f>S13/U13</f>
        <v>4.0377358490566042</v>
      </c>
      <c r="W13" s="365">
        <v>0</v>
      </c>
      <c r="X13" s="365">
        <v>5</v>
      </c>
      <c r="Y13" s="365">
        <f>7+1/5</f>
        <v>7.2</v>
      </c>
      <c r="Z13" s="365">
        <v>2</v>
      </c>
      <c r="AA13" s="365">
        <v>3</v>
      </c>
      <c r="AB13" s="365">
        <v>2</v>
      </c>
      <c r="AC13" s="365">
        <v>4</v>
      </c>
      <c r="AD13" s="33">
        <v>453</v>
      </c>
      <c r="AE13" s="33">
        <f>AD13</f>
        <v>453</v>
      </c>
      <c r="AF13" s="58">
        <f>(Y13+O13+J13)*(P13/7)^0.5</f>
        <v>9.6871502526589914</v>
      </c>
      <c r="AG13" s="58">
        <f>(Y13+O13+J13)*(IF(P13=7,(P13/7)^0.5,((P13+1)/7)^0.5))</f>
        <v>9.6871502526589914</v>
      </c>
      <c r="AH13" s="59">
        <f>(AC13+O13+(LOG(I13)*4/3))*(P13/7)^0.5</f>
        <v>6.3709500183671253</v>
      </c>
      <c r="AI13" s="59">
        <f>(AC13+O13+(LOG(I13)*4/3))*(IF(P13=7,(P13/7)^0.5,((P13+1)/7)^0.5))</f>
        <v>6.3709500183671253</v>
      </c>
      <c r="AJ13" s="57">
        <f>(((X13+O13+J13)+(AA13+O13+J13)*2)/8)*(P13/7)^0.5</f>
        <v>2.3076813447471221</v>
      </c>
      <c r="AK13" s="57">
        <f>((AC13+J13+O13)*0.7+(AB13+J13+O13)*0.3)*(P13/7)^0.5</f>
        <v>5.8871502526589916</v>
      </c>
      <c r="AL13" s="52">
        <v>3</v>
      </c>
      <c r="AM13" s="52">
        <v>4</v>
      </c>
      <c r="AN13" s="54">
        <f>IF(AL13=4,IF(AM13=0,0.137+0.0697,0.137+0.02),IF(AL13=3,IF(AM13=0,0.0958+0.0697,0.0958+0.02),IF(AL13=2,IF(AM13=0,0.0415+0.0697,0.0415+0.02),IF(AL13=1,IF(AM13=0,0.0294+0.0697,0.0294+0.02),IF(AL13=0,IF(AM13=0,0.0063+0.0697,0.0063+0.02))))))</f>
        <v>0.1158</v>
      </c>
      <c r="AO13" s="60">
        <f>SUM(AP13:AV13)</f>
        <v>29.5</v>
      </c>
      <c r="AP13" s="61">
        <v>0</v>
      </c>
      <c r="AQ13" s="61">
        <v>10</v>
      </c>
      <c r="AR13" s="61">
        <v>17</v>
      </c>
      <c r="AS13" s="61">
        <v>0</v>
      </c>
      <c r="AT13" s="61">
        <v>2</v>
      </c>
      <c r="AU13" s="61">
        <v>-1.5</v>
      </c>
      <c r="AV13" s="61">
        <v>2</v>
      </c>
      <c r="AW13" s="62">
        <f>AP13+AQ13*0.33+AV13</f>
        <v>5.3000000000000007</v>
      </c>
      <c r="AX13" s="62">
        <f>AQ13+AR13*0.25+AV13</f>
        <v>16.25</v>
      </c>
      <c r="AY13" s="62">
        <f>AQ13+AS13*0.33+AV13</f>
        <v>12</v>
      </c>
      <c r="AZ13" s="62">
        <f>AQ13+AS13/1.5+AV13</f>
        <v>12</v>
      </c>
      <c r="BA13" s="62">
        <f>AR13+AQ13*0.6+AT13*0.17+AV13+AU13*0.12</f>
        <v>25.16</v>
      </c>
      <c r="BB13" s="62">
        <f>AR13+AQ13*0.4+AT13*0.3+AV13+AU13*0.21</f>
        <v>23.285</v>
      </c>
      <c r="BC13" s="62">
        <f>AR13+AQ13*0.16+AT13*0.5+AV13+AU13*0.31</f>
        <v>21.135000000000002</v>
      </c>
      <c r="BD13" s="62">
        <f>AS13+AR13*0.45+AQ13*0.25+AT13*0.25+AV13</f>
        <v>12.65</v>
      </c>
      <c r="BE13" s="62">
        <f>AS13+AR13*0.63+AQ13*0.25+AT13*0.17+AV13</f>
        <v>15.55</v>
      </c>
      <c r="BF13" s="62">
        <f>AU13*0.6+AR13*0.4+AS13*0.15+AT13*0.5+AV13</f>
        <v>8.9</v>
      </c>
      <c r="BG13" s="62">
        <f>AU13+AR13*0.25+AS13*0.22+AT13*0.35+AV13</f>
        <v>5.45</v>
      </c>
      <c r="BH13" s="63">
        <v>43637</v>
      </c>
      <c r="BI13" s="55">
        <v>2160</v>
      </c>
    </row>
    <row r="14" spans="1:61" x14ac:dyDescent="0.25">
      <c r="A14" s="66" t="s">
        <v>114</v>
      </c>
      <c r="B14" s="66">
        <v>31</v>
      </c>
      <c r="C14" s="43" t="s">
        <v>24</v>
      </c>
      <c r="D14" s="388" t="s">
        <v>115</v>
      </c>
      <c r="E14" s="44">
        <v>21</v>
      </c>
      <c r="F14" s="45">
        <f ca="1">$D$1-43855-112-112-112</f>
        <v>54</v>
      </c>
      <c r="G14" s="46" t="s">
        <v>106</v>
      </c>
      <c r="H14" s="47">
        <v>2</v>
      </c>
      <c r="I14" s="48">
        <v>3.8</v>
      </c>
      <c r="J14" s="49">
        <f>LOG(I14+1)*4/3</f>
        <v>0.90832164983411623</v>
      </c>
      <c r="K14" s="50">
        <f>(H14)*(H14)*(I14)</f>
        <v>15.2</v>
      </c>
      <c r="L14" s="50">
        <f>(H14+1)*(H14+1)*I14</f>
        <v>34.199999999999996</v>
      </c>
      <c r="M14" s="51">
        <v>6</v>
      </c>
      <c r="N14" s="52">
        <f>M14*10+19</f>
        <v>79</v>
      </c>
      <c r="O14" s="53">
        <v>1.5</v>
      </c>
      <c r="P14" s="52">
        <v>7</v>
      </c>
      <c r="Q14" s="54">
        <f>(P14/7)^0.5</f>
        <v>1</v>
      </c>
      <c r="R14" s="54">
        <f>IF(P14=7,1,((P14+0.99)/7)^0.5)</f>
        <v>1</v>
      </c>
      <c r="S14" s="55">
        <v>35250</v>
      </c>
      <c r="T14" s="56">
        <f>S14-BI14</f>
        <v>11710</v>
      </c>
      <c r="U14" s="55">
        <v>3010</v>
      </c>
      <c r="V14" s="57">
        <f>S14/U14</f>
        <v>11.710963455149502</v>
      </c>
      <c r="W14" s="365">
        <v>0</v>
      </c>
      <c r="X14" s="365">
        <v>6</v>
      </c>
      <c r="Y14" s="365">
        <f>10+6/7</f>
        <v>10.857142857142858</v>
      </c>
      <c r="Z14" s="365">
        <v>2</v>
      </c>
      <c r="AA14" s="365">
        <f>6+1/4</f>
        <v>6.25</v>
      </c>
      <c r="AB14" s="365">
        <f>7+0/4</f>
        <v>7</v>
      </c>
      <c r="AC14" s="365">
        <v>1</v>
      </c>
      <c r="AD14" s="33">
        <v>879</v>
      </c>
      <c r="AE14" s="33">
        <v>1817</v>
      </c>
      <c r="AF14" s="58">
        <f>(Y14+O14+J14)*(P14/7)^0.5</f>
        <v>13.265464506976974</v>
      </c>
      <c r="AG14" s="58">
        <f>(Y14+O14+J14)*(IF(P14=7,(P14/7)^0.5,((P14+1)/7)^0.5))</f>
        <v>13.265464506976974</v>
      </c>
      <c r="AH14" s="59">
        <f>(AC14+O14+(LOG(I14)*4/3))*(P14/7)^0.5</f>
        <v>3.27304479548908</v>
      </c>
      <c r="AI14" s="59">
        <f>(AC14+O14+(LOG(I14)*4/3))*(IF(P14=7,(P14/7)^0.5,((P14+1)/7)^0.5))</f>
        <v>3.27304479548908</v>
      </c>
      <c r="AJ14" s="57">
        <f>(((X14+O14+J14)+(AA14+O14+J14)*2)/8)*(P14/7)^0.5</f>
        <v>3.2156206186877938</v>
      </c>
      <c r="AK14" s="57">
        <f>((AC14+J14+O14)*0.7+(AB14+J14+O14)*0.3)*(P14/7)^0.5</f>
        <v>5.2083216498341161</v>
      </c>
      <c r="AL14" s="52">
        <v>0</v>
      </c>
      <c r="AM14" s="52">
        <v>1</v>
      </c>
      <c r="AN14" s="54">
        <f>IF(AL14=4,IF(AM14=0,0.137+0.0697,0.137+0.02),IF(AL14=3,IF(AM14=0,0.0958+0.0697,0.0958+0.02),IF(AL14=2,IF(AM14=0,0.0415+0.0697,0.0415+0.02),IF(AL14=1,IF(AM14=0,0.0294+0.0697,0.0294+0.02),IF(AL14=0,IF(AM14=0,0.0063+0.0697,0.0063+0.02))))))</f>
        <v>2.63E-2</v>
      </c>
      <c r="AO14" s="60">
        <f>SUM(AP14:AV14)</f>
        <v>78</v>
      </c>
      <c r="AP14" s="61">
        <v>0</v>
      </c>
      <c r="AQ14" s="61">
        <v>14</v>
      </c>
      <c r="AR14" s="61">
        <f>33+6</f>
        <v>39</v>
      </c>
      <c r="AS14" s="61">
        <v>0</v>
      </c>
      <c r="AT14" s="61">
        <v>11</v>
      </c>
      <c r="AU14" s="61">
        <v>15</v>
      </c>
      <c r="AV14" s="61">
        <v>-1</v>
      </c>
      <c r="AW14" s="62">
        <f>AP14+AQ14*0.33+AV14</f>
        <v>3.62</v>
      </c>
      <c r="AX14" s="62">
        <f>AQ14+AR14*0.25+AV14</f>
        <v>22.75</v>
      </c>
      <c r="AY14" s="62">
        <f>AQ14+AS14*0.33+AV14</f>
        <v>13</v>
      </c>
      <c r="AZ14" s="62">
        <f>AQ14+AS14/1.5+AV14</f>
        <v>13</v>
      </c>
      <c r="BA14" s="62">
        <f>AR14+AQ14*0.6+AT14*0.17+AV14+AU14*0.12</f>
        <v>50.069999999999993</v>
      </c>
      <c r="BB14" s="62">
        <f>AR14+AQ14*0.4+AT14*0.3+AV14+AU14*0.21</f>
        <v>50.05</v>
      </c>
      <c r="BC14" s="62">
        <f>AR14+AQ14*0.16+AT14*0.5+AV14+AU14*0.31</f>
        <v>50.39</v>
      </c>
      <c r="BD14" s="62">
        <f>AS14+AR14*0.45+AQ14*0.25+AT14*0.25+AV14</f>
        <v>22.8</v>
      </c>
      <c r="BE14" s="62">
        <f>AS14+AR14*0.63+AQ14*0.25+AT14*0.17+AV14</f>
        <v>28.94</v>
      </c>
      <c r="BF14" s="62">
        <f>AU14*0.6+AR14*0.4+AS14*0.15+AT14*0.5+AV14</f>
        <v>29.1</v>
      </c>
      <c r="BG14" s="62">
        <f>AU14+AR14*0.25+AS14*0.22+AT14*0.35+AV14</f>
        <v>27.6</v>
      </c>
      <c r="BH14" s="63" t="s">
        <v>116</v>
      </c>
      <c r="BI14" s="55">
        <v>23540</v>
      </c>
    </row>
    <row r="15" spans="1:61" x14ac:dyDescent="0.25">
      <c r="A15" s="42" t="s">
        <v>409</v>
      </c>
      <c r="B15" s="42">
        <v>31</v>
      </c>
      <c r="C15" s="43" t="s">
        <v>24</v>
      </c>
      <c r="D15" s="388" t="s">
        <v>121</v>
      </c>
      <c r="E15" s="44">
        <v>21</v>
      </c>
      <c r="F15" s="45">
        <f ca="1">$D$1-43822-112-112-112</f>
        <v>87</v>
      </c>
      <c r="G15" s="46" t="s">
        <v>108</v>
      </c>
      <c r="H15" s="47">
        <v>2</v>
      </c>
      <c r="I15" s="48">
        <v>3.6</v>
      </c>
      <c r="J15" s="49">
        <f t="shared" si="1"/>
        <v>0.8836771089087655</v>
      </c>
      <c r="K15" s="50">
        <f t="shared" si="2"/>
        <v>14.4</v>
      </c>
      <c r="L15" s="50">
        <f t="shared" si="3"/>
        <v>32.4</v>
      </c>
      <c r="M15" s="51">
        <v>6.2</v>
      </c>
      <c r="N15" s="52">
        <f t="shared" si="4"/>
        <v>81</v>
      </c>
      <c r="O15" s="53">
        <v>1.5</v>
      </c>
      <c r="P15" s="52">
        <v>6</v>
      </c>
      <c r="Q15" s="54">
        <f t="shared" si="5"/>
        <v>0.92582009977255142</v>
      </c>
      <c r="R15" s="54">
        <f t="shared" si="6"/>
        <v>0.99928545900129484</v>
      </c>
      <c r="S15" s="55">
        <v>30250</v>
      </c>
      <c r="T15" s="56">
        <f t="shared" si="7"/>
        <v>9510</v>
      </c>
      <c r="U15" s="55">
        <v>2110</v>
      </c>
      <c r="V15" s="57">
        <f t="shared" si="8"/>
        <v>14.336492890995261</v>
      </c>
      <c r="W15" s="365">
        <v>1</v>
      </c>
      <c r="X15" s="365">
        <v>6</v>
      </c>
      <c r="Y15" s="365">
        <f>11+1/8</f>
        <v>11.125</v>
      </c>
      <c r="Z15" s="365">
        <v>3</v>
      </c>
      <c r="AA15" s="365">
        <v>5</v>
      </c>
      <c r="AB15" s="365">
        <f>6+2/4</f>
        <v>6.5</v>
      </c>
      <c r="AC15" s="365">
        <v>2</v>
      </c>
      <c r="AD15" s="33">
        <v>905</v>
      </c>
      <c r="AE15" s="33">
        <v>1799</v>
      </c>
      <c r="AF15" s="58">
        <f t="shared" si="9"/>
        <v>12.506604788765095</v>
      </c>
      <c r="AG15" s="58">
        <f t="shared" si="10"/>
        <v>13.508677108908765</v>
      </c>
      <c r="AH15" s="59">
        <f t="shared" si="11"/>
        <v>3.9270850648893831</v>
      </c>
      <c r="AI15" s="59">
        <f t="shared" si="12"/>
        <v>4.2417366676897164</v>
      </c>
      <c r="AJ15" s="57">
        <f t="shared" si="13"/>
        <v>2.6792112665934007</v>
      </c>
      <c r="AK15" s="57">
        <f t="shared" si="14"/>
        <v>5.3083535130335067</v>
      </c>
      <c r="AL15" s="52">
        <v>1</v>
      </c>
      <c r="AM15" s="52">
        <v>1</v>
      </c>
      <c r="AN15" s="54">
        <f t="shared" si="15"/>
        <v>4.9399999999999999E-2</v>
      </c>
      <c r="AO15" s="60">
        <f t="shared" si="16"/>
        <v>77.5</v>
      </c>
      <c r="AP15" s="61">
        <v>0</v>
      </c>
      <c r="AQ15" s="61">
        <v>14</v>
      </c>
      <c r="AR15" s="61">
        <v>41</v>
      </c>
      <c r="AS15" s="61">
        <v>1.5</v>
      </c>
      <c r="AT15" s="61">
        <v>7</v>
      </c>
      <c r="AU15" s="61">
        <v>14</v>
      </c>
      <c r="AV15" s="61">
        <v>0</v>
      </c>
      <c r="AW15" s="62">
        <f t="shared" si="17"/>
        <v>4.62</v>
      </c>
      <c r="AX15" s="62">
        <f t="shared" si="18"/>
        <v>24.25</v>
      </c>
      <c r="AY15" s="62">
        <f t="shared" si="19"/>
        <v>14.494999999999999</v>
      </c>
      <c r="AZ15" s="62">
        <f t="shared" si="20"/>
        <v>15</v>
      </c>
      <c r="BA15" s="62">
        <f t="shared" si="21"/>
        <v>52.269999999999996</v>
      </c>
      <c r="BB15" s="62">
        <f t="shared" si="22"/>
        <v>51.64</v>
      </c>
      <c r="BC15" s="62">
        <f t="shared" si="23"/>
        <v>51.08</v>
      </c>
      <c r="BD15" s="62">
        <f t="shared" si="24"/>
        <v>25.2</v>
      </c>
      <c r="BE15" s="62">
        <f t="shared" si="25"/>
        <v>32.020000000000003</v>
      </c>
      <c r="BF15" s="62">
        <f t="shared" si="26"/>
        <v>28.525000000000006</v>
      </c>
      <c r="BG15" s="62">
        <f t="shared" si="27"/>
        <v>27.029999999999998</v>
      </c>
      <c r="BH15" s="63" t="s">
        <v>122</v>
      </c>
      <c r="BI15" s="55">
        <v>20740</v>
      </c>
    </row>
    <row r="16" spans="1:61" x14ac:dyDescent="0.25">
      <c r="A16" s="66" t="s">
        <v>133</v>
      </c>
      <c r="B16" s="66">
        <v>32</v>
      </c>
      <c r="C16" s="43" t="s">
        <v>24</v>
      </c>
      <c r="D16" s="388" t="s">
        <v>123</v>
      </c>
      <c r="E16" s="44">
        <v>20</v>
      </c>
      <c r="F16" s="45">
        <f ca="1">$D$1-43974-112-112</f>
        <v>47</v>
      </c>
      <c r="G16" s="46" t="s">
        <v>124</v>
      </c>
      <c r="H16" s="67">
        <v>1</v>
      </c>
      <c r="I16" s="48">
        <v>2.7</v>
      </c>
      <c r="J16" s="49">
        <f t="shared" si="1"/>
        <v>0.75760229875599328</v>
      </c>
      <c r="K16" s="50">
        <f t="shared" si="2"/>
        <v>2.7</v>
      </c>
      <c r="L16" s="50">
        <f t="shared" si="3"/>
        <v>10.8</v>
      </c>
      <c r="M16" s="51">
        <v>5.6</v>
      </c>
      <c r="N16" s="52">
        <f t="shared" si="4"/>
        <v>75</v>
      </c>
      <c r="O16" s="53">
        <v>1.5</v>
      </c>
      <c r="P16" s="52">
        <v>5</v>
      </c>
      <c r="Q16" s="54">
        <f t="shared" si="5"/>
        <v>0.84515425472851657</v>
      </c>
      <c r="R16" s="54">
        <f t="shared" si="6"/>
        <v>0.92504826128926143</v>
      </c>
      <c r="S16" s="55">
        <v>26240</v>
      </c>
      <c r="T16" s="56">
        <f t="shared" si="7"/>
        <v>5290</v>
      </c>
      <c r="U16" s="55">
        <v>4810</v>
      </c>
      <c r="V16" s="57">
        <f t="shared" si="8"/>
        <v>5.4553014553014556</v>
      </c>
      <c r="W16" s="365">
        <v>0</v>
      </c>
      <c r="X16" s="365">
        <v>4</v>
      </c>
      <c r="Y16" s="365">
        <f>11+3/8</f>
        <v>11.375</v>
      </c>
      <c r="Z16" s="365">
        <v>5</v>
      </c>
      <c r="AA16" s="365">
        <f>4+1/3</f>
        <v>4.333333333333333</v>
      </c>
      <c r="AB16" s="365">
        <f>6+0/3</f>
        <v>6</v>
      </c>
      <c r="AC16" s="365">
        <v>2</v>
      </c>
      <c r="AD16" s="33">
        <v>829</v>
      </c>
      <c r="AE16" s="33">
        <v>1931</v>
      </c>
      <c r="AF16" s="58">
        <f t="shared" si="9"/>
        <v>11.521651835815383</v>
      </c>
      <c r="AG16" s="58">
        <f t="shared" si="10"/>
        <v>12.621337220393787</v>
      </c>
      <c r="AH16" s="59">
        <f t="shared" si="11"/>
        <v>3.4441317857027101</v>
      </c>
      <c r="AI16" s="59">
        <f t="shared" si="12"/>
        <v>3.7728573400998462</v>
      </c>
      <c r="AJ16" s="57">
        <f t="shared" si="13"/>
        <v>2.0536692239245915</v>
      </c>
      <c r="AK16" s="57">
        <f t="shared" si="14"/>
        <v>4.6125158034097602</v>
      </c>
      <c r="AL16" s="52">
        <v>2</v>
      </c>
      <c r="AM16" s="52">
        <v>2</v>
      </c>
      <c r="AN16" s="54">
        <f t="shared" si="15"/>
        <v>6.1499999999999999E-2</v>
      </c>
      <c r="AO16" s="60">
        <f t="shared" si="16"/>
        <v>71.5</v>
      </c>
      <c r="AP16" s="61">
        <v>0</v>
      </c>
      <c r="AQ16" s="61">
        <v>6</v>
      </c>
      <c r="AR16" s="61">
        <v>43</v>
      </c>
      <c r="AS16" s="61">
        <v>5.5</v>
      </c>
      <c r="AT16" s="61">
        <v>5</v>
      </c>
      <c r="AU16" s="61">
        <v>12</v>
      </c>
      <c r="AV16" s="61">
        <v>0</v>
      </c>
      <c r="AW16" s="62">
        <f t="shared" si="17"/>
        <v>1.98</v>
      </c>
      <c r="AX16" s="62">
        <f t="shared" si="18"/>
        <v>16.75</v>
      </c>
      <c r="AY16" s="62">
        <f t="shared" si="19"/>
        <v>7.8150000000000004</v>
      </c>
      <c r="AZ16" s="62">
        <f t="shared" si="20"/>
        <v>9.6666666666666661</v>
      </c>
      <c r="BA16" s="62">
        <f t="shared" si="21"/>
        <v>48.89</v>
      </c>
      <c r="BB16" s="62">
        <f t="shared" si="22"/>
        <v>49.42</v>
      </c>
      <c r="BC16" s="62">
        <f t="shared" si="23"/>
        <v>50.18</v>
      </c>
      <c r="BD16" s="62">
        <f t="shared" si="24"/>
        <v>27.6</v>
      </c>
      <c r="BE16" s="62">
        <f t="shared" si="25"/>
        <v>34.940000000000005</v>
      </c>
      <c r="BF16" s="62">
        <f t="shared" si="26"/>
        <v>27.724999999999998</v>
      </c>
      <c r="BG16" s="62">
        <f t="shared" si="27"/>
        <v>25.71</v>
      </c>
      <c r="BH16" s="63" t="s">
        <v>125</v>
      </c>
      <c r="BI16" s="55">
        <v>20950</v>
      </c>
    </row>
    <row r="17" spans="1:61" x14ac:dyDescent="0.25">
      <c r="A17" s="66" t="s">
        <v>410</v>
      </c>
      <c r="B17" s="366">
        <v>34</v>
      </c>
      <c r="C17" s="367" t="s">
        <v>24</v>
      </c>
      <c r="D17" s="388" t="s">
        <v>162</v>
      </c>
      <c r="E17" s="368">
        <v>18</v>
      </c>
      <c r="F17" s="369">
        <f ca="1">$D$1-44049-112</f>
        <v>84</v>
      </c>
      <c r="G17" s="370"/>
      <c r="H17" s="371">
        <v>3</v>
      </c>
      <c r="I17" s="372">
        <v>1.9</v>
      </c>
      <c r="J17" s="373">
        <f t="shared" si="1"/>
        <v>0.61653066386527478</v>
      </c>
      <c r="K17" s="374">
        <f t="shared" si="2"/>
        <v>17.099999999999998</v>
      </c>
      <c r="L17" s="374">
        <f t="shared" si="3"/>
        <v>30.4</v>
      </c>
      <c r="M17" s="375">
        <v>5.2</v>
      </c>
      <c r="N17" s="376">
        <f t="shared" si="4"/>
        <v>71</v>
      </c>
      <c r="O17" s="377">
        <v>1.5</v>
      </c>
      <c r="P17" s="376">
        <v>7</v>
      </c>
      <c r="Q17" s="378">
        <f t="shared" si="5"/>
        <v>1</v>
      </c>
      <c r="R17" s="378">
        <f t="shared" si="6"/>
        <v>1</v>
      </c>
      <c r="S17" s="379">
        <v>30560</v>
      </c>
      <c r="T17" s="380">
        <f t="shared" si="7"/>
        <v>11580</v>
      </c>
      <c r="U17" s="379">
        <v>3090</v>
      </c>
      <c r="V17" s="381">
        <f t="shared" si="8"/>
        <v>9.8899676375404528</v>
      </c>
      <c r="W17" s="365">
        <v>0</v>
      </c>
      <c r="X17" s="365">
        <v>4</v>
      </c>
      <c r="Y17" s="365">
        <f>11+7/8</f>
        <v>11.875</v>
      </c>
      <c r="Z17" s="365">
        <v>5</v>
      </c>
      <c r="AA17" s="365">
        <v>5</v>
      </c>
      <c r="AB17" s="365">
        <v>4</v>
      </c>
      <c r="AC17" s="365">
        <v>5</v>
      </c>
      <c r="AD17" s="382">
        <v>806</v>
      </c>
      <c r="AE17" s="382">
        <v>2170</v>
      </c>
      <c r="AF17" s="58">
        <f t="shared" ref="AF17" si="28">(Y17+O17+J17)*(P17/7)^0.5</f>
        <v>13.991530663865275</v>
      </c>
      <c r="AG17" s="58">
        <f t="shared" ref="AG17" si="29">(Y17+O17+J17)*(IF(P17=7,(P17/7)^0.5,((P17+1)/7)^0.5))</f>
        <v>13.991530663865275</v>
      </c>
      <c r="AH17" s="383">
        <f t="shared" si="11"/>
        <v>6.8716714679371051</v>
      </c>
      <c r="AI17" s="383">
        <f t="shared" si="12"/>
        <v>6.8716714679371051</v>
      </c>
      <c r="AJ17" s="57">
        <f t="shared" ref="AJ17" si="30">(((X17+O17+J17)+(AA17+O17+J17)*2)/8)*(P17/7)^0.5</f>
        <v>2.5436989989494778</v>
      </c>
      <c r="AK17" s="57">
        <f t="shared" ref="AK17" si="31">((AC17+J17+O17)*0.7+(AB17+J17+O17)*0.3)*(P17/7)^0.5</f>
        <v>6.816530663865275</v>
      </c>
      <c r="AL17" s="376">
        <v>1</v>
      </c>
      <c r="AM17" s="376">
        <v>3</v>
      </c>
      <c r="AN17" s="378">
        <f t="shared" si="15"/>
        <v>4.9399999999999999E-2</v>
      </c>
      <c r="AO17" s="384">
        <f t="shared" si="16"/>
        <v>73.5</v>
      </c>
      <c r="AP17" s="385">
        <v>0</v>
      </c>
      <c r="AQ17" s="385">
        <v>6</v>
      </c>
      <c r="AR17" s="385">
        <v>47</v>
      </c>
      <c r="AS17" s="385">
        <v>5.5</v>
      </c>
      <c r="AT17" s="385">
        <v>7</v>
      </c>
      <c r="AU17" s="385">
        <v>5</v>
      </c>
      <c r="AV17" s="385">
        <v>3</v>
      </c>
      <c r="AW17" s="350">
        <f t="shared" si="17"/>
        <v>4.9800000000000004</v>
      </c>
      <c r="AX17" s="350">
        <f t="shared" si="18"/>
        <v>20.75</v>
      </c>
      <c r="AY17" s="350">
        <f t="shared" si="19"/>
        <v>10.815000000000001</v>
      </c>
      <c r="AZ17" s="350">
        <f t="shared" si="20"/>
        <v>12.666666666666666</v>
      </c>
      <c r="BA17" s="350">
        <f t="shared" si="21"/>
        <v>55.39</v>
      </c>
      <c r="BB17" s="350">
        <f t="shared" si="22"/>
        <v>55.55</v>
      </c>
      <c r="BC17" s="350">
        <f t="shared" si="23"/>
        <v>56.01</v>
      </c>
      <c r="BD17" s="350">
        <f t="shared" si="24"/>
        <v>32.900000000000006</v>
      </c>
      <c r="BE17" s="350">
        <f t="shared" si="25"/>
        <v>40.799999999999997</v>
      </c>
      <c r="BF17" s="350">
        <f t="shared" si="26"/>
        <v>29.125</v>
      </c>
      <c r="BG17" s="350">
        <f t="shared" si="27"/>
        <v>23.41</v>
      </c>
      <c r="BH17" s="386">
        <v>44054</v>
      </c>
      <c r="BI17" s="379">
        <v>18980</v>
      </c>
    </row>
    <row r="18" spans="1:61" x14ac:dyDescent="0.25">
      <c r="A18" s="42" t="s">
        <v>128</v>
      </c>
      <c r="B18" s="42">
        <v>33</v>
      </c>
      <c r="C18" s="43" t="s">
        <v>24</v>
      </c>
      <c r="D18" s="388" t="s">
        <v>129</v>
      </c>
      <c r="E18" s="44">
        <v>19</v>
      </c>
      <c r="F18" s="45">
        <f ca="1">$D$1-43976-112-112</f>
        <v>45</v>
      </c>
      <c r="G18" s="46"/>
      <c r="H18" s="47">
        <v>2</v>
      </c>
      <c r="I18" s="48">
        <v>2</v>
      </c>
      <c r="J18" s="49">
        <f t="shared" si="1"/>
        <v>0.63616167295954995</v>
      </c>
      <c r="K18" s="50">
        <f t="shared" si="2"/>
        <v>8</v>
      </c>
      <c r="L18" s="50">
        <f t="shared" si="3"/>
        <v>18</v>
      </c>
      <c r="M18" s="51">
        <v>5.3</v>
      </c>
      <c r="N18" s="52">
        <f t="shared" si="4"/>
        <v>72</v>
      </c>
      <c r="O18" s="53">
        <v>1.5</v>
      </c>
      <c r="P18" s="52">
        <v>6</v>
      </c>
      <c r="Q18" s="54">
        <f t="shared" si="5"/>
        <v>0.92582009977255142</v>
      </c>
      <c r="R18" s="54">
        <f t="shared" si="6"/>
        <v>0.99928545900129484</v>
      </c>
      <c r="S18" s="55">
        <v>26750</v>
      </c>
      <c r="T18" s="56">
        <f t="shared" si="7"/>
        <v>9590</v>
      </c>
      <c r="U18" s="55">
        <v>6030</v>
      </c>
      <c r="V18" s="57">
        <f t="shared" si="8"/>
        <v>4.436152570480929</v>
      </c>
      <c r="W18" s="365">
        <v>0</v>
      </c>
      <c r="X18" s="365">
        <v>4</v>
      </c>
      <c r="Y18" s="365">
        <f>12+1/9</f>
        <v>12.111111111111111</v>
      </c>
      <c r="Z18" s="365">
        <v>2</v>
      </c>
      <c r="AA18" s="365">
        <v>5</v>
      </c>
      <c r="AB18" s="365">
        <f>3+1/3</f>
        <v>3.3333333333333335</v>
      </c>
      <c r="AC18" s="365">
        <v>4</v>
      </c>
      <c r="AD18" s="33">
        <v>806</v>
      </c>
      <c r="AE18" s="33">
        <v>2067</v>
      </c>
      <c r="AF18" s="58">
        <f t="shared" si="9"/>
        <v>13.190411510435057</v>
      </c>
      <c r="AG18" s="58">
        <f t="shared" si="10"/>
        <v>14.247272784070661</v>
      </c>
      <c r="AH18" s="59">
        <f t="shared" si="11"/>
        <v>5.4636100429092433</v>
      </c>
      <c r="AI18" s="59">
        <f t="shared" si="12"/>
        <v>5.9013733275519753</v>
      </c>
      <c r="AJ18" s="57">
        <f t="shared" si="13"/>
        <v>2.3618232045481067</v>
      </c>
      <c r="AK18" s="57">
        <f t="shared" si="14"/>
        <v>5.4958177923254059</v>
      </c>
      <c r="AL18" s="52">
        <v>3</v>
      </c>
      <c r="AM18" s="52">
        <v>1</v>
      </c>
      <c r="AN18" s="54">
        <f t="shared" si="15"/>
        <v>0.1158</v>
      </c>
      <c r="AO18" s="60">
        <f t="shared" si="16"/>
        <v>67</v>
      </c>
      <c r="AP18" s="61">
        <v>0</v>
      </c>
      <c r="AQ18" s="61">
        <v>6</v>
      </c>
      <c r="AR18" s="61">
        <v>49</v>
      </c>
      <c r="AS18" s="61">
        <v>0</v>
      </c>
      <c r="AT18" s="61">
        <v>7</v>
      </c>
      <c r="AU18" s="61">
        <v>3</v>
      </c>
      <c r="AV18" s="61">
        <v>2</v>
      </c>
      <c r="AW18" s="62">
        <f t="shared" si="17"/>
        <v>3.98</v>
      </c>
      <c r="AX18" s="62">
        <f t="shared" si="18"/>
        <v>20.25</v>
      </c>
      <c r="AY18" s="62">
        <f t="shared" si="19"/>
        <v>8</v>
      </c>
      <c r="AZ18" s="62">
        <f t="shared" si="20"/>
        <v>8</v>
      </c>
      <c r="BA18" s="62">
        <f t="shared" si="21"/>
        <v>56.15</v>
      </c>
      <c r="BB18" s="62">
        <f t="shared" si="22"/>
        <v>56.13</v>
      </c>
      <c r="BC18" s="62">
        <f t="shared" si="23"/>
        <v>56.39</v>
      </c>
      <c r="BD18" s="62">
        <f t="shared" si="24"/>
        <v>27.3</v>
      </c>
      <c r="BE18" s="62">
        <f t="shared" si="25"/>
        <v>35.56</v>
      </c>
      <c r="BF18" s="62">
        <f t="shared" si="26"/>
        <v>26.900000000000002</v>
      </c>
      <c r="BG18" s="62">
        <f t="shared" si="27"/>
        <v>19.7</v>
      </c>
      <c r="BH18" s="63">
        <v>44024</v>
      </c>
      <c r="BI18" s="55">
        <v>17160</v>
      </c>
    </row>
    <row r="19" spans="1:61" x14ac:dyDescent="0.25">
      <c r="A19" s="42" t="s">
        <v>126</v>
      </c>
      <c r="B19" s="42">
        <v>33</v>
      </c>
      <c r="C19" s="43" t="s">
        <v>19</v>
      </c>
      <c r="D19" s="388" t="s">
        <v>127</v>
      </c>
      <c r="E19" s="44">
        <v>19</v>
      </c>
      <c r="F19" s="45">
        <f ca="1">$D$1-43955-112-112</f>
        <v>66</v>
      </c>
      <c r="G19" s="46" t="s">
        <v>124</v>
      </c>
      <c r="H19" s="47">
        <v>2</v>
      </c>
      <c r="I19" s="48">
        <v>2.2999999999999998</v>
      </c>
      <c r="J19" s="49">
        <f>LOG(I19+1)*4/3</f>
        <v>0.69135191983718325</v>
      </c>
      <c r="K19" s="50">
        <f>(H19)*(H19)*(I19)</f>
        <v>9.1999999999999993</v>
      </c>
      <c r="L19" s="50">
        <f>(H19+1)*(H19+1)*I19</f>
        <v>20.7</v>
      </c>
      <c r="M19" s="51">
        <v>5.5</v>
      </c>
      <c r="N19" s="52">
        <f>M19*10+19</f>
        <v>74</v>
      </c>
      <c r="O19" s="53">
        <v>1.5</v>
      </c>
      <c r="P19" s="52">
        <v>6</v>
      </c>
      <c r="Q19" s="54">
        <f>(P19/7)^0.5</f>
        <v>0.92582009977255142</v>
      </c>
      <c r="R19" s="54">
        <f>IF(P19=7,1,((P19+0.99)/7)^0.5)</f>
        <v>0.99928545900129484</v>
      </c>
      <c r="S19" s="55">
        <v>15670</v>
      </c>
      <c r="T19" s="56">
        <f>S19-BI19</f>
        <v>6590</v>
      </c>
      <c r="U19" s="55">
        <v>1590</v>
      </c>
      <c r="V19" s="57">
        <f>S19/U19</f>
        <v>9.8553459119496853</v>
      </c>
      <c r="W19" s="365">
        <v>0</v>
      </c>
      <c r="X19" s="365">
        <v>4</v>
      </c>
      <c r="Y19" s="365">
        <f>10+2/7</f>
        <v>10.285714285714286</v>
      </c>
      <c r="Z19" s="365">
        <v>6</v>
      </c>
      <c r="AA19" s="365">
        <v>2</v>
      </c>
      <c r="AB19" s="365">
        <f>5+0/3</f>
        <v>5</v>
      </c>
      <c r="AC19" s="365">
        <v>0</v>
      </c>
      <c r="AD19" s="33">
        <v>707</v>
      </c>
      <c r="AE19" s="33">
        <v>1939</v>
      </c>
      <c r="AF19" s="58">
        <f>(Y19+O19+J19)*(P19/7)^0.5</f>
        <v>11.551518679292391</v>
      </c>
      <c r="AG19" s="58">
        <f>(Y19+O19+J19)*(IF(P19=7,(P19/7)^0.5,((P19+1)/7)^0.5))</f>
        <v>12.47706620555147</v>
      </c>
      <c r="AH19" s="59">
        <f>(AC19+O19+(LOG(I19)*4/3))*(P19/7)^0.5</f>
        <v>1.8352566846352498</v>
      </c>
      <c r="AI19" s="59">
        <f>(AC19+O19+(LOG(I19)*4/3))*(IF(P19=7,(P19/7)^0.5,((P19+1)/7)^0.5))</f>
        <v>1.9823037813567905</v>
      </c>
      <c r="AJ19" s="57">
        <f>(((X19+O19+J19)+(AA19+O19+J19)*2)/8)*(P19/7)^0.5</f>
        <v>1.6866192196702139</v>
      </c>
      <c r="AK19" s="57">
        <f>((AC19+J19+O19)*0.7+(AB19+J19+O19)*0.3)*(P19/7)^0.5</f>
        <v>3.4175278027192602</v>
      </c>
      <c r="AL19" s="52">
        <v>2</v>
      </c>
      <c r="AM19" s="52">
        <v>1</v>
      </c>
      <c r="AN19" s="54">
        <f>IF(AL19=4,IF(AM19=0,0.137+0.0697,0.137+0.02),IF(AL19=3,IF(AM19=0,0.0958+0.0697,0.0958+0.02),IF(AL19=2,IF(AM19=0,0.0415+0.0697,0.0415+0.02),IF(AL19=1,IF(AM19=0,0.0294+0.0697,0.0294+0.02),IF(AL19=0,IF(AM19=0,0.0063+0.0697,0.0063+0.02))))))</f>
        <v>6.1499999999999999E-2</v>
      </c>
      <c r="AO19" s="60">
        <f>SUM(AP19:AV19)</f>
        <v>55.5</v>
      </c>
      <c r="AP19" s="61">
        <v>0</v>
      </c>
      <c r="AQ19" s="61">
        <v>6</v>
      </c>
      <c r="AR19" s="61">
        <v>35</v>
      </c>
      <c r="AS19" s="61">
        <v>8.5</v>
      </c>
      <c r="AT19" s="61">
        <v>0</v>
      </c>
      <c r="AU19" s="61">
        <v>8</v>
      </c>
      <c r="AV19" s="61">
        <v>-2</v>
      </c>
      <c r="AW19" s="62">
        <f>AP19+AQ19*0.33+AV19</f>
        <v>-2.0000000000000018E-2</v>
      </c>
      <c r="AX19" s="62">
        <f>AQ19+AR19*0.25+AV19</f>
        <v>12.75</v>
      </c>
      <c r="AY19" s="62">
        <f>AQ19+AS19*0.33+AV19</f>
        <v>6.8049999999999997</v>
      </c>
      <c r="AZ19" s="62">
        <f>AQ19+AS19/1.5+AV19</f>
        <v>9.6666666666666679</v>
      </c>
      <c r="BA19" s="62">
        <f>AR19+AQ19*0.6+AT19*0.17+AV19+AU19*0.12</f>
        <v>37.56</v>
      </c>
      <c r="BB19" s="62">
        <f>AR19+AQ19*0.4+AT19*0.3+AV19+AU19*0.21</f>
        <v>37.08</v>
      </c>
      <c r="BC19" s="62">
        <f>AR19+AQ19*0.16+AT19*0.5+AV19+AU19*0.31</f>
        <v>36.44</v>
      </c>
      <c r="BD19" s="62">
        <f>AS19+AR19*0.45+AQ19*0.25+AT19*0.25+AV19</f>
        <v>23.75</v>
      </c>
      <c r="BE19" s="62">
        <f>AS19+AR19*0.63+AQ19*0.25+AT19*0.17+AV19</f>
        <v>30.049999999999997</v>
      </c>
      <c r="BF19" s="62">
        <f>AU19*0.6+AR19*0.4+AS19*0.15+AT19*0.5+AV19</f>
        <v>18.074999999999999</v>
      </c>
      <c r="BG19" s="62">
        <f>AU19+AR19*0.25+AS19*0.22+AT19*0.35+AV19</f>
        <v>16.62</v>
      </c>
      <c r="BH19" s="63">
        <v>43867</v>
      </c>
      <c r="BI19" s="55">
        <v>9080</v>
      </c>
    </row>
    <row r="20" spans="1:61" x14ac:dyDescent="0.25">
      <c r="A20" s="42" t="s">
        <v>407</v>
      </c>
      <c r="B20" s="42">
        <v>27</v>
      </c>
      <c r="C20" s="43" t="s">
        <v>19</v>
      </c>
      <c r="D20" s="388" t="s">
        <v>137</v>
      </c>
      <c r="E20" s="44">
        <v>26</v>
      </c>
      <c r="F20" s="45">
        <f ca="1">$D$1-43548-112-112-112-112-112-112</f>
        <v>25</v>
      </c>
      <c r="G20" s="46"/>
      <c r="H20" s="47">
        <v>5</v>
      </c>
      <c r="I20" s="48">
        <v>3.3</v>
      </c>
      <c r="J20" s="49">
        <f t="shared" si="1"/>
        <v>0.84462460743944867</v>
      </c>
      <c r="K20" s="50">
        <f t="shared" si="2"/>
        <v>82.5</v>
      </c>
      <c r="L20" s="50">
        <f t="shared" si="3"/>
        <v>118.8</v>
      </c>
      <c r="M20" s="51">
        <v>5.7</v>
      </c>
      <c r="N20" s="52">
        <f t="shared" si="4"/>
        <v>76</v>
      </c>
      <c r="O20" s="53">
        <v>1.5</v>
      </c>
      <c r="P20" s="52">
        <v>4</v>
      </c>
      <c r="Q20" s="54">
        <f t="shared" si="5"/>
        <v>0.7559289460184544</v>
      </c>
      <c r="R20" s="54">
        <f t="shared" si="6"/>
        <v>0.84430867747355465</v>
      </c>
      <c r="S20" s="55">
        <v>1700</v>
      </c>
      <c r="T20" s="56">
        <f t="shared" si="7"/>
        <v>160</v>
      </c>
      <c r="U20" s="55">
        <v>370</v>
      </c>
      <c r="V20" s="57">
        <f t="shared" si="8"/>
        <v>4.5945945945945947</v>
      </c>
      <c r="W20" s="365">
        <v>0</v>
      </c>
      <c r="X20" s="365">
        <v>4</v>
      </c>
      <c r="Y20" s="365">
        <v>6</v>
      </c>
      <c r="Z20" s="365">
        <v>5</v>
      </c>
      <c r="AA20" s="365">
        <v>4</v>
      </c>
      <c r="AB20" s="365">
        <v>2.5</v>
      </c>
      <c r="AC20" s="365">
        <v>4</v>
      </c>
      <c r="AD20" s="33">
        <v>457</v>
      </c>
      <c r="AE20" s="33">
        <v>701</v>
      </c>
      <c r="AF20" s="58">
        <f t="shared" si="9"/>
        <v>6.3079432844213619</v>
      </c>
      <c r="AG20" s="58">
        <f t="shared" si="10"/>
        <v>7.0524949910897279</v>
      </c>
      <c r="AH20" s="59">
        <f t="shared" si="11"/>
        <v>4.6802221311918561</v>
      </c>
      <c r="AI20" s="59">
        <f t="shared" si="12"/>
        <v>5.2326474175719646</v>
      </c>
      <c r="AJ20" s="57">
        <f t="shared" si="13"/>
        <v>1.7985320221441696</v>
      </c>
      <c r="AK20" s="57">
        <f t="shared" si="14"/>
        <v>4.4559173666761476</v>
      </c>
      <c r="AL20" s="52">
        <v>1</v>
      </c>
      <c r="AM20" s="52">
        <v>1</v>
      </c>
      <c r="AN20" s="54">
        <f t="shared" si="15"/>
        <v>4.9399999999999999E-2</v>
      </c>
      <c r="AO20" s="60">
        <f t="shared" si="16"/>
        <v>30.5</v>
      </c>
      <c r="AP20" s="61">
        <v>0</v>
      </c>
      <c r="AQ20" s="61">
        <v>6</v>
      </c>
      <c r="AR20" s="61">
        <v>12</v>
      </c>
      <c r="AS20" s="61">
        <v>5.5</v>
      </c>
      <c r="AT20" s="61">
        <v>4</v>
      </c>
      <c r="AU20" s="61">
        <v>1</v>
      </c>
      <c r="AV20" s="61">
        <v>2</v>
      </c>
      <c r="AW20" s="62">
        <f t="shared" si="17"/>
        <v>3.98</v>
      </c>
      <c r="AX20" s="62">
        <f t="shared" si="18"/>
        <v>11</v>
      </c>
      <c r="AY20" s="62">
        <f t="shared" si="19"/>
        <v>9.8150000000000013</v>
      </c>
      <c r="AZ20" s="62">
        <f t="shared" si="20"/>
        <v>11.666666666666666</v>
      </c>
      <c r="BA20" s="62">
        <f t="shared" si="21"/>
        <v>18.400000000000002</v>
      </c>
      <c r="BB20" s="62">
        <f t="shared" si="22"/>
        <v>17.810000000000002</v>
      </c>
      <c r="BC20" s="62">
        <f t="shared" si="23"/>
        <v>17.27</v>
      </c>
      <c r="BD20" s="62">
        <f t="shared" si="24"/>
        <v>15.4</v>
      </c>
      <c r="BE20" s="62">
        <f t="shared" si="25"/>
        <v>17.240000000000002</v>
      </c>
      <c r="BF20" s="62">
        <f t="shared" si="26"/>
        <v>10.225000000000001</v>
      </c>
      <c r="BG20" s="62">
        <f t="shared" si="27"/>
        <v>8.61</v>
      </c>
      <c r="BH20" s="63">
        <v>43637</v>
      </c>
      <c r="BI20" s="55">
        <v>1540</v>
      </c>
    </row>
    <row r="21" spans="1:61" x14ac:dyDescent="0.25">
      <c r="A21" s="42" t="s">
        <v>408</v>
      </c>
      <c r="B21" s="42">
        <v>25</v>
      </c>
      <c r="C21" s="43" t="s">
        <v>19</v>
      </c>
      <c r="D21" s="388" t="s">
        <v>139</v>
      </c>
      <c r="E21" s="44">
        <v>28</v>
      </c>
      <c r="F21" s="45">
        <f ca="1">$D$1-43566-112-112-112-112-112-112</f>
        <v>7</v>
      </c>
      <c r="G21" s="46"/>
      <c r="H21" s="47">
        <v>1</v>
      </c>
      <c r="I21" s="48">
        <v>4.5</v>
      </c>
      <c r="J21" s="49">
        <f t="shared" si="1"/>
        <v>0.98715025265899181</v>
      </c>
      <c r="K21" s="50">
        <f t="shared" si="2"/>
        <v>4.5</v>
      </c>
      <c r="L21" s="50">
        <f t="shared" si="3"/>
        <v>18</v>
      </c>
      <c r="M21" s="51">
        <v>5.8</v>
      </c>
      <c r="N21" s="52">
        <f t="shared" si="4"/>
        <v>77</v>
      </c>
      <c r="O21" s="53">
        <v>1.5</v>
      </c>
      <c r="P21" s="52">
        <v>3</v>
      </c>
      <c r="Q21" s="54">
        <f t="shared" si="5"/>
        <v>0.65465367070797709</v>
      </c>
      <c r="R21" s="54">
        <f t="shared" si="6"/>
        <v>0.75498344352707503</v>
      </c>
      <c r="S21" s="431">
        <v>2250</v>
      </c>
      <c r="T21" s="56">
        <f t="shared" si="7"/>
        <v>-1000</v>
      </c>
      <c r="U21" s="55">
        <v>410</v>
      </c>
      <c r="V21" s="57">
        <f t="shared" si="8"/>
        <v>5.4878048780487809</v>
      </c>
      <c r="W21" s="365">
        <v>0</v>
      </c>
      <c r="X21" s="365">
        <v>3</v>
      </c>
      <c r="Y21" s="365">
        <v>6</v>
      </c>
      <c r="Z21" s="365">
        <v>6</v>
      </c>
      <c r="AA21" s="365">
        <v>5</v>
      </c>
      <c r="AB21" s="365">
        <v>3</v>
      </c>
      <c r="AC21" s="365">
        <v>4</v>
      </c>
      <c r="AD21" s="33">
        <v>500</v>
      </c>
      <c r="AE21" s="33">
        <f>AD21</f>
        <v>500</v>
      </c>
      <c r="AF21" s="58">
        <f t="shared" si="9"/>
        <v>5.5561440667533439</v>
      </c>
      <c r="AG21" s="58">
        <f t="shared" si="10"/>
        <v>6.4156825451927713</v>
      </c>
      <c r="AH21" s="59">
        <f t="shared" si="11"/>
        <v>4.1707658154210927</v>
      </c>
      <c r="AI21" s="59">
        <f t="shared" si="12"/>
        <v>4.8159855325205134</v>
      </c>
      <c r="AJ21" s="57">
        <f t="shared" si="13"/>
        <v>1.6743954808400185</v>
      </c>
      <c r="AK21" s="57">
        <f t="shared" si="14"/>
        <v>4.0504406241249962</v>
      </c>
      <c r="AL21" s="52">
        <v>4</v>
      </c>
      <c r="AM21" s="52">
        <v>0</v>
      </c>
      <c r="AN21" s="54">
        <f t="shared" si="15"/>
        <v>0.20669999999999999</v>
      </c>
      <c r="AO21" s="60">
        <f t="shared" si="16"/>
        <v>34.5</v>
      </c>
      <c r="AP21" s="61">
        <v>0</v>
      </c>
      <c r="AQ21" s="61">
        <v>3</v>
      </c>
      <c r="AR21" s="61">
        <v>12</v>
      </c>
      <c r="AS21" s="61">
        <v>8.5</v>
      </c>
      <c r="AT21" s="61">
        <v>7</v>
      </c>
      <c r="AU21" s="61">
        <v>2</v>
      </c>
      <c r="AV21" s="61">
        <v>2</v>
      </c>
      <c r="AW21" s="62">
        <f t="shared" si="17"/>
        <v>2.99</v>
      </c>
      <c r="AX21" s="62">
        <f t="shared" si="18"/>
        <v>8</v>
      </c>
      <c r="AY21" s="62">
        <f t="shared" si="19"/>
        <v>7.8049999999999997</v>
      </c>
      <c r="AZ21" s="62">
        <f t="shared" si="20"/>
        <v>10.666666666666668</v>
      </c>
      <c r="BA21" s="62">
        <f t="shared" si="21"/>
        <v>17.23</v>
      </c>
      <c r="BB21" s="62">
        <f t="shared" si="22"/>
        <v>17.72</v>
      </c>
      <c r="BC21" s="62">
        <f t="shared" si="23"/>
        <v>18.600000000000001</v>
      </c>
      <c r="BD21" s="62">
        <f t="shared" si="24"/>
        <v>18.399999999999999</v>
      </c>
      <c r="BE21" s="62">
        <f t="shared" si="25"/>
        <v>20.000000000000004</v>
      </c>
      <c r="BF21" s="62">
        <f t="shared" si="26"/>
        <v>12.775</v>
      </c>
      <c r="BG21" s="62">
        <f t="shared" si="27"/>
        <v>11.32</v>
      </c>
      <c r="BH21" s="63">
        <v>43637</v>
      </c>
      <c r="BI21" s="387">
        <v>3250</v>
      </c>
    </row>
    <row r="22" spans="1:61" x14ac:dyDescent="0.25">
      <c r="A22" s="42" t="s">
        <v>117</v>
      </c>
      <c r="B22" s="42">
        <v>33</v>
      </c>
      <c r="C22" s="43" t="s">
        <v>13</v>
      </c>
      <c r="D22" s="388" t="s">
        <v>134</v>
      </c>
      <c r="E22" s="44">
        <v>20</v>
      </c>
      <c r="F22" s="45">
        <f ca="1">$D$1-43890-112-112-112</f>
        <v>19</v>
      </c>
      <c r="G22" s="46" t="s">
        <v>106</v>
      </c>
      <c r="H22" s="47">
        <v>2</v>
      </c>
      <c r="I22" s="48">
        <v>3.4</v>
      </c>
      <c r="J22" s="49">
        <f>LOG(I22+1)*4/3</f>
        <v>0.85793690198158323</v>
      </c>
      <c r="K22" s="50">
        <f>(H22)*(H22)*(I22)</f>
        <v>13.6</v>
      </c>
      <c r="L22" s="50">
        <f>(H22+1)*(H22+1)*I22</f>
        <v>30.599999999999998</v>
      </c>
      <c r="M22" s="51">
        <v>5.7</v>
      </c>
      <c r="N22" s="52">
        <f>M22*10+19</f>
        <v>76</v>
      </c>
      <c r="O22" s="53">
        <v>1.5</v>
      </c>
      <c r="P22" s="52">
        <v>6</v>
      </c>
      <c r="Q22" s="54">
        <f>(P22/7)^0.5</f>
        <v>0.92582009977255142</v>
      </c>
      <c r="R22" s="54">
        <f>IF(P22=7,1,((P22+0.99)/7)^0.5)</f>
        <v>0.99928545900129484</v>
      </c>
      <c r="S22" s="55">
        <v>38510</v>
      </c>
      <c r="T22" s="56">
        <f>S22-BI22</f>
        <v>10630</v>
      </c>
      <c r="U22" s="55">
        <v>4610</v>
      </c>
      <c r="V22" s="57">
        <f>S22/U22</f>
        <v>8.35357917570499</v>
      </c>
      <c r="W22" s="365">
        <v>0</v>
      </c>
      <c r="X22" s="365">
        <v>4</v>
      </c>
      <c r="Y22" s="365">
        <f>10+5/7</f>
        <v>10.714285714285714</v>
      </c>
      <c r="Z22" s="365">
        <v>6</v>
      </c>
      <c r="AA22" s="365">
        <v>5</v>
      </c>
      <c r="AB22" s="365">
        <f>9+1/6</f>
        <v>9.1666666666666661</v>
      </c>
      <c r="AC22" s="365">
        <v>3</v>
      </c>
      <c r="AD22" s="33">
        <v>950</v>
      </c>
      <c r="AE22" s="33">
        <v>2091</v>
      </c>
      <c r="AF22" s="58">
        <f>(Y22+O22+J22)*(P22/7)^0.5</f>
        <v>12.102526446841592</v>
      </c>
      <c r="AG22" s="58">
        <f>(Y22+O22+J22)*(IF(P22=7,(P22/7)^0.5,((P22+1)/7)^0.5))</f>
        <v>13.072222616267297</v>
      </c>
      <c r="AH22" s="59">
        <f>(AC22+O22+(LOG(I22)*4/3))*(P22/7)^0.5</f>
        <v>4.8222622676472389</v>
      </c>
      <c r="AI22" s="59">
        <f>(AC22+O22+(LOG(I22)*4/3))*(IF(P22=7,(P22/7)^0.5,((P22+1)/7)^0.5))</f>
        <v>5.2086385560563402</v>
      </c>
      <c r="AJ22" s="57">
        <f>(((X22+O22+J22)+(AA22+O22+J22)*2)/8)*(P22/7)^0.5</f>
        <v>2.4388196912957039</v>
      </c>
      <c r="AK22" s="57">
        <f>((AC22+J22+O22)*0.7+(AB22+J22+O22)*0.3)*(P22/7)^0.5</f>
        <v>6.6732528617468443</v>
      </c>
      <c r="AL22" s="52">
        <v>1</v>
      </c>
      <c r="AM22" s="52">
        <v>1</v>
      </c>
      <c r="AN22" s="54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60">
        <f>SUM(AP22:AV22)</f>
        <v>88.5</v>
      </c>
      <c r="AP22" s="61">
        <v>0</v>
      </c>
      <c r="AQ22" s="61">
        <v>6</v>
      </c>
      <c r="AR22" s="61">
        <f>33+5</f>
        <v>38</v>
      </c>
      <c r="AS22" s="61">
        <v>8.5</v>
      </c>
      <c r="AT22" s="61">
        <v>7</v>
      </c>
      <c r="AU22" s="61">
        <v>28</v>
      </c>
      <c r="AV22" s="61">
        <v>1</v>
      </c>
      <c r="AW22" s="62">
        <f>AP22+AQ22*0.33+AV22</f>
        <v>2.98</v>
      </c>
      <c r="AX22" s="62">
        <f>AQ22+AR22*0.25+AV22</f>
        <v>16.5</v>
      </c>
      <c r="AY22" s="62">
        <f>AQ22+AS22*0.33+AV22</f>
        <v>9.8049999999999997</v>
      </c>
      <c r="AZ22" s="62">
        <f>AQ22+AS22/1.5+AV22</f>
        <v>12.666666666666668</v>
      </c>
      <c r="BA22" s="62">
        <f>AR22+AQ22*0.6+AT22*0.17+AV22+AU22*0.12</f>
        <v>47.15</v>
      </c>
      <c r="BB22" s="62">
        <f>AR22+AQ22*0.4+AT22*0.3+AV22+AU22*0.21</f>
        <v>49.38</v>
      </c>
      <c r="BC22" s="62">
        <f>AR22+AQ22*0.16+AT22*0.5+AV22+AU22*0.31</f>
        <v>52.14</v>
      </c>
      <c r="BD22" s="62">
        <f>AS22+AR22*0.45+AQ22*0.25+AT22*0.25+AV22</f>
        <v>29.85</v>
      </c>
      <c r="BE22" s="62">
        <f>AS22+AR22*0.63+AQ22*0.25+AT22*0.17+AV22</f>
        <v>36.129999999999995</v>
      </c>
      <c r="BF22" s="62">
        <f>AU22*0.6+AR22*0.4+AS22*0.15+AT22*0.5+AV22</f>
        <v>37.774999999999999</v>
      </c>
      <c r="BG22" s="62">
        <f>AU22+AR22*0.25+AS22*0.22+AT22*0.35+AV22</f>
        <v>42.82</v>
      </c>
      <c r="BH22" s="63">
        <v>44077</v>
      </c>
      <c r="BI22" s="55">
        <v>27880</v>
      </c>
    </row>
    <row r="23" spans="1:61" x14ac:dyDescent="0.25">
      <c r="A23" s="42" t="s">
        <v>135</v>
      </c>
      <c r="B23" s="42">
        <v>32</v>
      </c>
      <c r="C23" s="43" t="s">
        <v>13</v>
      </c>
      <c r="D23" s="388" t="s">
        <v>140</v>
      </c>
      <c r="E23" s="44">
        <v>21</v>
      </c>
      <c r="F23" s="45">
        <f ca="1">$D$1-43569-112-112-112-112-112-112</f>
        <v>4</v>
      </c>
      <c r="G23" s="46" t="s">
        <v>119</v>
      </c>
      <c r="H23" s="47">
        <v>4</v>
      </c>
      <c r="I23" s="48">
        <v>3.4</v>
      </c>
      <c r="J23" s="49">
        <f t="shared" si="1"/>
        <v>0.85793690198158323</v>
      </c>
      <c r="K23" s="50">
        <f t="shared" si="2"/>
        <v>54.4</v>
      </c>
      <c r="L23" s="50">
        <f t="shared" si="3"/>
        <v>85</v>
      </c>
      <c r="M23" s="51">
        <v>6</v>
      </c>
      <c r="N23" s="52">
        <f t="shared" si="4"/>
        <v>79</v>
      </c>
      <c r="O23" s="53">
        <v>1.5</v>
      </c>
      <c r="P23" s="52">
        <v>5</v>
      </c>
      <c r="Q23" s="54">
        <f t="shared" si="5"/>
        <v>0.84515425472851657</v>
      </c>
      <c r="R23" s="54">
        <f t="shared" si="6"/>
        <v>0.92504826128926143</v>
      </c>
      <c r="S23" s="55">
        <v>15530</v>
      </c>
      <c r="T23" s="56">
        <f t="shared" si="7"/>
        <v>3090</v>
      </c>
      <c r="U23" s="55">
        <v>1790</v>
      </c>
      <c r="V23" s="57">
        <f t="shared" si="8"/>
        <v>8.6759776536312856</v>
      </c>
      <c r="W23" s="365">
        <v>0</v>
      </c>
      <c r="X23" s="365">
        <v>5</v>
      </c>
      <c r="Y23" s="365">
        <f>7+4.5/5</f>
        <v>7.9</v>
      </c>
      <c r="Z23" s="365">
        <v>4</v>
      </c>
      <c r="AA23" s="365">
        <f>4+1/3</f>
        <v>4.333333333333333</v>
      </c>
      <c r="AB23" s="365">
        <f>9+0/6</f>
        <v>9</v>
      </c>
      <c r="AC23" s="365">
        <v>1</v>
      </c>
      <c r="AD23" s="33">
        <v>754</v>
      </c>
      <c r="AE23" s="33">
        <v>1761</v>
      </c>
      <c r="AF23" s="58">
        <f t="shared" si="9"/>
        <v>8.6695390174463931</v>
      </c>
      <c r="AG23" s="58">
        <f t="shared" si="10"/>
        <v>9.4970041660531272</v>
      </c>
      <c r="AH23" s="59">
        <f t="shared" si="11"/>
        <v>2.7117945275369797</v>
      </c>
      <c r="AI23" s="59">
        <f t="shared" si="12"/>
        <v>2.970622068102136</v>
      </c>
      <c r="AJ23" s="57">
        <f t="shared" si="13"/>
        <v>2.1911128370703827</v>
      </c>
      <c r="AK23" s="57">
        <f t="shared" si="14"/>
        <v>4.8663448711680681</v>
      </c>
      <c r="AL23" s="52">
        <v>1</v>
      </c>
      <c r="AM23" s="52">
        <v>3</v>
      </c>
      <c r="AN23" s="54">
        <f t="shared" si="15"/>
        <v>4.9399999999999999E-2</v>
      </c>
      <c r="AO23" s="60">
        <f t="shared" si="16"/>
        <v>65</v>
      </c>
      <c r="AP23" s="61">
        <v>0</v>
      </c>
      <c r="AQ23" s="61">
        <v>10</v>
      </c>
      <c r="AR23" s="61">
        <f>16+4.5</f>
        <v>20.5</v>
      </c>
      <c r="AS23" s="61">
        <v>3.5</v>
      </c>
      <c r="AT23" s="61">
        <v>5</v>
      </c>
      <c r="AU23" s="61">
        <v>27</v>
      </c>
      <c r="AV23" s="61">
        <v>-1</v>
      </c>
      <c r="AW23" s="62">
        <f t="shared" si="17"/>
        <v>2.3000000000000003</v>
      </c>
      <c r="AX23" s="62">
        <f t="shared" si="18"/>
        <v>14.125</v>
      </c>
      <c r="AY23" s="62">
        <f t="shared" si="19"/>
        <v>10.154999999999999</v>
      </c>
      <c r="AZ23" s="62">
        <f t="shared" si="20"/>
        <v>11.333333333333334</v>
      </c>
      <c r="BA23" s="62">
        <f t="shared" si="21"/>
        <v>29.59</v>
      </c>
      <c r="BB23" s="62">
        <f t="shared" si="22"/>
        <v>30.67</v>
      </c>
      <c r="BC23" s="62">
        <f t="shared" si="23"/>
        <v>31.97</v>
      </c>
      <c r="BD23" s="62">
        <f t="shared" si="24"/>
        <v>15.475000000000001</v>
      </c>
      <c r="BE23" s="62">
        <f t="shared" si="25"/>
        <v>18.765000000000001</v>
      </c>
      <c r="BF23" s="62">
        <f t="shared" si="26"/>
        <v>26.424999999999997</v>
      </c>
      <c r="BG23" s="62">
        <f t="shared" si="27"/>
        <v>33.645000000000003</v>
      </c>
      <c r="BH23" s="63">
        <v>43892</v>
      </c>
      <c r="BI23" s="55">
        <v>12440</v>
      </c>
    </row>
    <row r="24" spans="1:61" x14ac:dyDescent="0.25">
      <c r="A24" s="42" t="s">
        <v>141</v>
      </c>
      <c r="B24" s="42">
        <v>34</v>
      </c>
      <c r="C24" s="43" t="s">
        <v>13</v>
      </c>
      <c r="D24" s="388" t="s">
        <v>166</v>
      </c>
      <c r="E24" s="44">
        <v>18</v>
      </c>
      <c r="F24" s="45">
        <f ca="1">$D$1-43632-112-112-112-112-112</f>
        <v>53</v>
      </c>
      <c r="G24" s="46"/>
      <c r="H24" s="47">
        <v>2</v>
      </c>
      <c r="I24" s="48">
        <v>1.3</v>
      </c>
      <c r="J24" s="49">
        <f t="shared" si="1"/>
        <v>0.48230378135679047</v>
      </c>
      <c r="K24" s="50">
        <f t="shared" si="2"/>
        <v>5.2</v>
      </c>
      <c r="L24" s="50">
        <f t="shared" si="3"/>
        <v>11.700000000000001</v>
      </c>
      <c r="M24" s="51">
        <v>5</v>
      </c>
      <c r="N24" s="52">
        <f t="shared" si="4"/>
        <v>69</v>
      </c>
      <c r="O24" s="53">
        <v>1.5</v>
      </c>
      <c r="P24" s="52">
        <v>6</v>
      </c>
      <c r="Q24" s="54">
        <f t="shared" si="5"/>
        <v>0.92582009977255142</v>
      </c>
      <c r="R24" s="54">
        <f t="shared" si="6"/>
        <v>0.99928545900129484</v>
      </c>
      <c r="S24" s="55">
        <v>3720</v>
      </c>
      <c r="T24" s="56">
        <f t="shared" si="7"/>
        <v>510</v>
      </c>
      <c r="U24" s="55">
        <v>430</v>
      </c>
      <c r="V24" s="57">
        <f t="shared" si="8"/>
        <v>8.6511627906976738</v>
      </c>
      <c r="W24" s="365">
        <v>0</v>
      </c>
      <c r="X24" s="365">
        <v>2</v>
      </c>
      <c r="Y24" s="365">
        <f>6+1/4</f>
        <v>6.25</v>
      </c>
      <c r="Z24" s="365">
        <v>3</v>
      </c>
      <c r="AA24" s="365">
        <v>6</v>
      </c>
      <c r="AB24" s="365">
        <v>6</v>
      </c>
      <c r="AC24" s="365">
        <v>2</v>
      </c>
      <c r="AD24" s="33">
        <v>530</v>
      </c>
      <c r="AE24" s="33">
        <v>1938</v>
      </c>
      <c r="AF24" s="58">
        <f t="shared" si="9"/>
        <v>7.6216323082136963</v>
      </c>
      <c r="AG24" s="58">
        <f t="shared" si="10"/>
        <v>8.2323037813567908</v>
      </c>
      <c r="AH24" s="59">
        <f t="shared" si="11"/>
        <v>3.381025076938776</v>
      </c>
      <c r="AI24" s="59">
        <f t="shared" si="12"/>
        <v>3.6519244697424491</v>
      </c>
      <c r="AJ24" s="57">
        <f t="shared" si="13"/>
        <v>2.3084064313401838</v>
      </c>
      <c r="AK24" s="57">
        <f t="shared" si="14"/>
        <v>4.7978810039074142</v>
      </c>
      <c r="AL24" s="52">
        <v>2</v>
      </c>
      <c r="AM24" s="52">
        <v>1</v>
      </c>
      <c r="AN24" s="54">
        <f t="shared" si="15"/>
        <v>6.1499999999999999E-2</v>
      </c>
      <c r="AO24" s="60">
        <f t="shared" si="16"/>
        <v>39.5</v>
      </c>
      <c r="AP24" s="61">
        <v>0</v>
      </c>
      <c r="AQ24" s="61">
        <v>-2</v>
      </c>
      <c r="AR24" s="61">
        <v>13</v>
      </c>
      <c r="AS24" s="61">
        <v>1.5</v>
      </c>
      <c r="AT24" s="61">
        <v>4</v>
      </c>
      <c r="AU24" s="61">
        <v>20</v>
      </c>
      <c r="AV24" s="61">
        <v>3</v>
      </c>
      <c r="AW24" s="62">
        <f t="shared" si="17"/>
        <v>2.34</v>
      </c>
      <c r="AX24" s="62">
        <f t="shared" si="18"/>
        <v>4.25</v>
      </c>
      <c r="AY24" s="62">
        <f t="shared" si="19"/>
        <v>1.4950000000000001</v>
      </c>
      <c r="AZ24" s="62">
        <f t="shared" si="20"/>
        <v>2</v>
      </c>
      <c r="BA24" s="62">
        <f t="shared" si="21"/>
        <v>17.88</v>
      </c>
      <c r="BB24" s="62">
        <f t="shared" si="22"/>
        <v>20.599999999999998</v>
      </c>
      <c r="BC24" s="62">
        <f t="shared" si="23"/>
        <v>23.88</v>
      </c>
      <c r="BD24" s="62">
        <f t="shared" si="24"/>
        <v>10.850000000000001</v>
      </c>
      <c r="BE24" s="62">
        <f t="shared" si="25"/>
        <v>12.87</v>
      </c>
      <c r="BF24" s="62">
        <f t="shared" si="26"/>
        <v>22.425000000000001</v>
      </c>
      <c r="BG24" s="62">
        <f t="shared" si="27"/>
        <v>27.979999999999997</v>
      </c>
      <c r="BH24" s="63">
        <v>43637</v>
      </c>
      <c r="BI24" s="55">
        <v>3210</v>
      </c>
    </row>
    <row r="25" spans="1:61" x14ac:dyDescent="0.25">
      <c r="A25" s="42" t="s">
        <v>131</v>
      </c>
      <c r="B25" s="42">
        <v>31</v>
      </c>
      <c r="C25" s="43" t="s">
        <v>13</v>
      </c>
      <c r="D25" s="388" t="s">
        <v>143</v>
      </c>
      <c r="E25" s="44">
        <v>21</v>
      </c>
      <c r="F25" s="45">
        <f ca="1">$D$1-43579-112-112-112-112-112</f>
        <v>106</v>
      </c>
      <c r="G25" s="46" t="s">
        <v>106</v>
      </c>
      <c r="H25" s="47">
        <v>5</v>
      </c>
      <c r="I25" s="48">
        <v>3.6</v>
      </c>
      <c r="J25" s="49">
        <f t="shared" si="1"/>
        <v>0.8836771089087655</v>
      </c>
      <c r="K25" s="50">
        <f t="shared" si="2"/>
        <v>90</v>
      </c>
      <c r="L25" s="50">
        <f t="shared" si="3"/>
        <v>129.6</v>
      </c>
      <c r="M25" s="51">
        <v>6.2</v>
      </c>
      <c r="N25" s="52">
        <f t="shared" si="4"/>
        <v>81</v>
      </c>
      <c r="O25" s="53">
        <v>1.5</v>
      </c>
      <c r="P25" s="52">
        <v>7</v>
      </c>
      <c r="Q25" s="54">
        <f t="shared" si="5"/>
        <v>1</v>
      </c>
      <c r="R25" s="54">
        <f t="shared" si="6"/>
        <v>1</v>
      </c>
      <c r="S25" s="55">
        <v>14730</v>
      </c>
      <c r="T25" s="56">
        <f t="shared" si="7"/>
        <v>3630</v>
      </c>
      <c r="U25" s="55">
        <v>1530</v>
      </c>
      <c r="V25" s="57">
        <f t="shared" si="8"/>
        <v>9.6274509803921564</v>
      </c>
      <c r="W25" s="365">
        <v>0</v>
      </c>
      <c r="X25" s="365">
        <v>4</v>
      </c>
      <c r="Y25" s="365">
        <f>8+0/5</f>
        <v>8</v>
      </c>
      <c r="Z25" s="365">
        <v>3</v>
      </c>
      <c r="AA25" s="365">
        <v>4</v>
      </c>
      <c r="AB25" s="365">
        <f>9+0/6</f>
        <v>9</v>
      </c>
      <c r="AC25" s="365">
        <v>1</v>
      </c>
      <c r="AD25" s="33">
        <v>740</v>
      </c>
      <c r="AE25" s="33">
        <v>1608</v>
      </c>
      <c r="AF25" s="58">
        <f t="shared" si="9"/>
        <v>10.383677108908765</v>
      </c>
      <c r="AG25" s="58">
        <f t="shared" si="10"/>
        <v>10.383677108908765</v>
      </c>
      <c r="AH25" s="59">
        <f t="shared" si="11"/>
        <v>3.2417366676897164</v>
      </c>
      <c r="AI25" s="59">
        <f t="shared" si="12"/>
        <v>3.2417366676897164</v>
      </c>
      <c r="AJ25" s="57">
        <f t="shared" si="13"/>
        <v>2.3938789158407872</v>
      </c>
      <c r="AK25" s="57">
        <f t="shared" si="14"/>
        <v>5.7836771089087655</v>
      </c>
      <c r="AL25" s="52">
        <v>1</v>
      </c>
      <c r="AM25" s="52">
        <v>2</v>
      </c>
      <c r="AN25" s="54">
        <f t="shared" si="15"/>
        <v>4.9399999999999999E-2</v>
      </c>
      <c r="AO25" s="60">
        <f t="shared" si="16"/>
        <v>58.5</v>
      </c>
      <c r="AP25" s="61">
        <v>0</v>
      </c>
      <c r="AQ25" s="61">
        <v>6</v>
      </c>
      <c r="AR25" s="61">
        <f>16+5</f>
        <v>21</v>
      </c>
      <c r="AS25" s="61">
        <v>1.5</v>
      </c>
      <c r="AT25" s="61">
        <v>4</v>
      </c>
      <c r="AU25" s="61">
        <v>27</v>
      </c>
      <c r="AV25" s="61">
        <v>-1</v>
      </c>
      <c r="AW25" s="62">
        <f t="shared" si="17"/>
        <v>0.98</v>
      </c>
      <c r="AX25" s="62">
        <f t="shared" si="18"/>
        <v>10.25</v>
      </c>
      <c r="AY25" s="62">
        <f t="shared" si="19"/>
        <v>5.4950000000000001</v>
      </c>
      <c r="AZ25" s="62">
        <f t="shared" si="20"/>
        <v>6</v>
      </c>
      <c r="BA25" s="62">
        <f t="shared" si="21"/>
        <v>27.52</v>
      </c>
      <c r="BB25" s="62">
        <f t="shared" si="22"/>
        <v>29.269999999999996</v>
      </c>
      <c r="BC25" s="62">
        <f t="shared" si="23"/>
        <v>31.33</v>
      </c>
      <c r="BD25" s="62">
        <f t="shared" si="24"/>
        <v>12.450000000000001</v>
      </c>
      <c r="BE25" s="62">
        <f t="shared" si="25"/>
        <v>15.91</v>
      </c>
      <c r="BF25" s="62">
        <f t="shared" si="26"/>
        <v>25.825000000000003</v>
      </c>
      <c r="BG25" s="62">
        <f t="shared" si="27"/>
        <v>32.979999999999997</v>
      </c>
      <c r="BH25" s="63" t="s">
        <v>144</v>
      </c>
      <c r="BI25" s="55">
        <v>11100</v>
      </c>
    </row>
    <row r="26" spans="1:61" x14ac:dyDescent="0.25">
      <c r="D26" s="68"/>
      <c r="G26" s="9"/>
      <c r="I26" s="2"/>
      <c r="J26" s="2"/>
      <c r="M26" s="2"/>
      <c r="N26" s="2"/>
      <c r="O26" s="2"/>
      <c r="P26" s="2"/>
      <c r="Q26" s="2"/>
      <c r="R26" s="2"/>
      <c r="S26" s="69">
        <f>SUM(S4:S25)</f>
        <v>339210</v>
      </c>
      <c r="T26" s="69">
        <f>SUM(T4:T25)</f>
        <v>67860</v>
      </c>
      <c r="U26" s="69">
        <f>SUM(U4:U25)</f>
        <v>59630</v>
      </c>
      <c r="V26" s="70">
        <f t="shared" si="8"/>
        <v>5.6885795740399132</v>
      </c>
      <c r="AC26" s="2"/>
      <c r="AD26" s="69"/>
      <c r="AE26" s="69"/>
      <c r="AH26" s="69"/>
      <c r="AI26" s="69"/>
      <c r="AJ26" s="69"/>
      <c r="AK26" s="69"/>
      <c r="BH26" s="2"/>
    </row>
    <row r="27" spans="1:61" x14ac:dyDescent="0.25">
      <c r="D27" s="68"/>
      <c r="G27" s="2"/>
      <c r="H27" s="20"/>
      <c r="K27" s="2"/>
      <c r="M27" s="2"/>
      <c r="N27" s="2"/>
      <c r="O27" s="2"/>
      <c r="P27" s="2"/>
      <c r="Q27" s="2"/>
      <c r="R27" s="2"/>
      <c r="S27" s="71"/>
      <c r="T27" s="71"/>
      <c r="U27" s="71"/>
      <c r="V27" s="32"/>
      <c r="W27" s="72"/>
      <c r="AD27" s="32"/>
      <c r="AE27" s="32"/>
      <c r="AH27" s="32"/>
      <c r="AI27" s="32"/>
      <c r="AJ27" s="32"/>
      <c r="AK27" s="32"/>
      <c r="BH27" s="2"/>
    </row>
    <row r="28" spans="1:61" x14ac:dyDescent="0.25">
      <c r="D28" s="68"/>
      <c r="G28" s="2"/>
      <c r="H28" s="20"/>
      <c r="I28" s="73"/>
      <c r="K28" s="2"/>
      <c r="M28" s="2"/>
      <c r="N28" s="2"/>
      <c r="O28" s="2"/>
      <c r="P28" s="2"/>
      <c r="Q28" s="2"/>
      <c r="R28" s="2"/>
      <c r="U28" s="78"/>
      <c r="V28" s="72"/>
      <c r="W28" s="72"/>
      <c r="X28" s="74"/>
      <c r="AD28" s="72"/>
      <c r="AE28" s="72"/>
      <c r="AH28" s="72"/>
      <c r="AI28" s="72"/>
      <c r="AJ28" s="72"/>
      <c r="BH28" s="2"/>
    </row>
    <row r="29" spans="1:61" x14ac:dyDescent="0.25">
      <c r="D29" s="75"/>
      <c r="G29" s="2"/>
      <c r="H29" s="20"/>
      <c r="I29" s="73"/>
      <c r="K29" s="2"/>
      <c r="M29" s="2"/>
      <c r="N29" s="2"/>
      <c r="O29" s="76"/>
      <c r="P29" s="2"/>
      <c r="Q29" s="2"/>
      <c r="R29" s="2"/>
      <c r="U29" s="72"/>
      <c r="V29" s="72"/>
      <c r="W29" s="72"/>
      <c r="X29" s="74"/>
      <c r="AD29" s="77"/>
      <c r="AE29" s="77"/>
      <c r="AH29" s="72"/>
      <c r="AI29" s="72"/>
      <c r="AJ29" s="72"/>
      <c r="BH29" s="2"/>
    </row>
    <row r="30" spans="1:61" x14ac:dyDescent="0.25">
      <c r="D30" s="75"/>
      <c r="G30" s="2"/>
      <c r="H30" s="20"/>
      <c r="I30" s="73"/>
      <c r="K30" s="2"/>
      <c r="M30" s="2"/>
      <c r="N30" s="2"/>
      <c r="O30" s="76"/>
      <c r="P30" s="2"/>
      <c r="Q30" s="2"/>
      <c r="R30" s="2"/>
      <c r="U30" s="78"/>
      <c r="V30" s="72"/>
      <c r="W30" s="72"/>
      <c r="X30" s="74"/>
      <c r="AD30" s="72"/>
      <c r="AE30" s="72"/>
      <c r="AH30" s="72"/>
      <c r="AI30" s="72"/>
      <c r="AJ30" s="72"/>
      <c r="BH30" s="2"/>
    </row>
    <row r="31" spans="1:61" x14ac:dyDescent="0.25">
      <c r="D31" s="2"/>
      <c r="G31" s="2"/>
      <c r="H31" s="20"/>
      <c r="I31" s="73"/>
      <c r="K31" s="2"/>
      <c r="M31" s="2"/>
      <c r="N31" s="2"/>
      <c r="O31" s="2"/>
      <c r="P31" s="2"/>
      <c r="Q31" s="2"/>
      <c r="R31" s="2"/>
      <c r="U31" s="78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68"/>
      <c r="G32" s="2"/>
      <c r="H32" s="20"/>
      <c r="I32" s="73"/>
      <c r="K32" s="2"/>
      <c r="M32" s="2"/>
      <c r="N32" s="2"/>
      <c r="O32" s="2"/>
      <c r="P32" s="2"/>
      <c r="Q32" s="2"/>
      <c r="R32" s="2"/>
      <c r="U32" s="72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8"/>
      <c r="V33" s="72"/>
      <c r="W33" s="72"/>
      <c r="X33" s="74"/>
      <c r="AD33" s="72"/>
      <c r="AE33" s="72"/>
      <c r="AH33" s="72"/>
      <c r="AI33" s="72"/>
      <c r="AJ33" s="72"/>
      <c r="BH33" s="2"/>
    </row>
    <row r="34" spans="4:60" x14ac:dyDescent="0.25">
      <c r="D34" s="68"/>
      <c r="G34" s="2"/>
      <c r="H34" s="20"/>
      <c r="I34" s="73"/>
      <c r="K34" s="2"/>
      <c r="M34" s="2"/>
      <c r="N34" s="2"/>
      <c r="O34" s="2"/>
      <c r="P34" s="2"/>
      <c r="Q34" s="2"/>
      <c r="R34" s="2"/>
      <c r="U34" s="72"/>
      <c r="V34" s="72"/>
      <c r="W34" s="72"/>
      <c r="X34" s="74"/>
      <c r="AD34" s="72"/>
      <c r="AE34" s="72"/>
      <c r="AH34" s="72"/>
      <c r="AI34" s="72"/>
      <c r="AJ34" s="72"/>
      <c r="BH34" s="2"/>
    </row>
  </sheetData>
  <autoFilter ref="A1:BI26" xr:uid="{CA633510-BFAE-421C-B4B5-C6A14AA4D1B9}">
    <filterColumn colId="4" showButton="0"/>
    <filterColumn colId="5" showButton="0"/>
  </autoFilter>
  <mergeCells count="1">
    <mergeCell ref="E1:G1"/>
  </mergeCells>
  <conditionalFormatting sqref="N4:N25">
    <cfRule type="cellIs" dxfId="53" priority="11" operator="lessThan">
      <formula>70</formula>
    </cfRule>
  </conditionalFormatting>
  <conditionalFormatting sqref="N4:N25">
    <cfRule type="cellIs" dxfId="52" priority="12" operator="between">
      <formula>70</formula>
      <formula>80</formula>
    </cfRule>
  </conditionalFormatting>
  <conditionalFormatting sqref="N4:N25">
    <cfRule type="cellIs" dxfId="51" priority="13" operator="greaterThan">
      <formula>80</formula>
    </cfRule>
  </conditionalFormatting>
  <conditionalFormatting sqref="AN4:AN25">
    <cfRule type="cellIs" dxfId="50" priority="14" operator="lessThan">
      <formula>0.07</formula>
    </cfRule>
  </conditionalFormatting>
  <conditionalFormatting sqref="AN4:AN25">
    <cfRule type="cellIs" dxfId="49" priority="15" operator="greaterThan">
      <formula>0.1</formula>
    </cfRule>
  </conditionalFormatting>
  <conditionalFormatting sqref="W4:AC25">
    <cfRule type="colorScale" priority="874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5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8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8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8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5">
    <cfRule type="colorScale" priority="896">
      <colorScale>
        <cfvo type="min"/>
        <cfvo type="max"/>
        <color rgb="FFFCFCFF"/>
        <color rgb="FFF8696B"/>
      </colorScale>
    </cfRule>
  </conditionalFormatting>
  <conditionalFormatting sqref="T4:T25">
    <cfRule type="dataBar" priority="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9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5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9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5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{96B7DCE8-4445-4607-B721-5DF2F1AE6DD0}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96B7DCE8-4445-4607-B721-5DF2F1AE6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1"/>
  <sheetViews>
    <sheetView zoomScale="120" zoomScaleNormal="120" workbookViewId="0">
      <selection activeCell="H9" sqref="H9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PLANTILLA!A22</f>
        <v>#9</v>
      </c>
      <c r="B2" s="43" t="str">
        <f>PLANTILLA!C22</f>
        <v>DAV</v>
      </c>
      <c r="C2" s="390" t="str">
        <f>PLANTILLA!D22</f>
        <v>A. Baldoví</v>
      </c>
      <c r="D2" s="44">
        <f>PLANTILLA!E22</f>
        <v>20</v>
      </c>
      <c r="E2" s="45">
        <f ca="1">PLANTILLA!F22</f>
        <v>19</v>
      </c>
      <c r="F2" s="46" t="str">
        <f>PLANTILLA!G22</f>
        <v>RAP</v>
      </c>
      <c r="G2" s="47">
        <f>PLANTILLA!H22</f>
        <v>2</v>
      </c>
      <c r="H2" s="48">
        <f>PLANTILLA!I22</f>
        <v>3.4</v>
      </c>
      <c r="I2" s="60">
        <f>PLANTILLA!AO22</f>
        <v>88.5</v>
      </c>
      <c r="J2" s="61">
        <f>PLANTILLA!AP22</f>
        <v>0</v>
      </c>
      <c r="K2" s="61">
        <f>PLANTILLA!AQ22</f>
        <v>6</v>
      </c>
      <c r="L2" s="61">
        <f>PLANTILLA!AR22</f>
        <v>38</v>
      </c>
      <c r="M2" s="61">
        <f>PLANTILLA!AS22</f>
        <v>8.5</v>
      </c>
      <c r="N2" s="61">
        <f>PLANTILLA!AT22</f>
        <v>7</v>
      </c>
      <c r="O2" s="61">
        <f>PLANTILLA!AU22</f>
        <v>28</v>
      </c>
      <c r="P2" s="61">
        <f>PLANTILLA!AV22</f>
        <v>1</v>
      </c>
      <c r="Q2" s="391">
        <f>PLANTILLA!AW22</f>
        <v>2.98</v>
      </c>
      <c r="R2" s="391">
        <f>PLANTILLA!AX22</f>
        <v>16.5</v>
      </c>
      <c r="S2" s="391">
        <f>PLANTILLA!AY22</f>
        <v>9.8049999999999997</v>
      </c>
      <c r="T2" s="391">
        <f>PLANTILLA!AZ22</f>
        <v>12.666666666666668</v>
      </c>
      <c r="U2" s="391">
        <f>PLANTILLA!BA22</f>
        <v>47.15</v>
      </c>
      <c r="V2" s="391">
        <f>PLANTILLA!BB22</f>
        <v>49.38</v>
      </c>
      <c r="W2" s="391">
        <f>PLANTILLA!BC22</f>
        <v>52.14</v>
      </c>
      <c r="X2" s="391">
        <f>PLANTILLA!BD22</f>
        <v>29.85</v>
      </c>
      <c r="Y2" s="391">
        <f>PLANTILLA!BE22</f>
        <v>36.129999999999995</v>
      </c>
      <c r="Z2" s="391">
        <f>PLANTILLA!BF22</f>
        <v>37.774999999999999</v>
      </c>
      <c r="AA2" s="391">
        <f>PLANTILLA!BG22</f>
        <v>42.82</v>
      </c>
    </row>
    <row r="3" spans="1:27" x14ac:dyDescent="0.25">
      <c r="A3" t="str">
        <f>PLANTILLA!A15</f>
        <v>#8</v>
      </c>
      <c r="B3" s="43" t="str">
        <f>PLANTILLA!C15</f>
        <v>MED</v>
      </c>
      <c r="C3" s="390" t="str">
        <f>PLANTILLA!D15</f>
        <v>T. Orozco</v>
      </c>
      <c r="D3" s="44">
        <f>PLANTILLA!E15</f>
        <v>21</v>
      </c>
      <c r="E3" s="45">
        <f ca="1">PLANTILLA!F15</f>
        <v>87</v>
      </c>
      <c r="F3" s="46" t="str">
        <f>PLANTILLA!G15</f>
        <v>CAB</v>
      </c>
      <c r="G3" s="47">
        <f>PLANTILLA!H15</f>
        <v>2</v>
      </c>
      <c r="H3" s="48">
        <f>PLANTILLA!I15</f>
        <v>3.6</v>
      </c>
      <c r="I3" s="60">
        <f>PLANTILLA!AO15</f>
        <v>77.5</v>
      </c>
      <c r="J3" s="61">
        <f>PLANTILLA!AP15</f>
        <v>0</v>
      </c>
      <c r="K3" s="61">
        <f>PLANTILLA!AQ15</f>
        <v>14</v>
      </c>
      <c r="L3" s="61">
        <f>PLANTILLA!AR15</f>
        <v>41</v>
      </c>
      <c r="M3" s="61">
        <f>PLANTILLA!AS15</f>
        <v>1.5</v>
      </c>
      <c r="N3" s="61">
        <f>PLANTILLA!AT15</f>
        <v>7</v>
      </c>
      <c r="O3" s="61">
        <f>PLANTILLA!AU15</f>
        <v>14</v>
      </c>
      <c r="P3" s="61">
        <f>PLANTILLA!AV15</f>
        <v>0</v>
      </c>
      <c r="Q3" s="391">
        <f>PLANTILLA!AW15</f>
        <v>4.62</v>
      </c>
      <c r="R3" s="391">
        <f>PLANTILLA!AX15</f>
        <v>24.25</v>
      </c>
      <c r="S3" s="391">
        <f>PLANTILLA!AY15</f>
        <v>14.494999999999999</v>
      </c>
      <c r="T3" s="391">
        <f>PLANTILLA!AZ15</f>
        <v>15</v>
      </c>
      <c r="U3" s="391">
        <f>PLANTILLA!BA15</f>
        <v>52.269999999999996</v>
      </c>
      <c r="V3" s="391">
        <f>PLANTILLA!BB15</f>
        <v>51.64</v>
      </c>
      <c r="W3" s="391">
        <f>PLANTILLA!BC15</f>
        <v>51.08</v>
      </c>
      <c r="X3" s="391">
        <f>PLANTILLA!BD15</f>
        <v>25.2</v>
      </c>
      <c r="Y3" s="391">
        <f>PLANTILLA!BE15</f>
        <v>32.020000000000003</v>
      </c>
      <c r="Z3" s="391">
        <f>PLANTILLA!BF15</f>
        <v>28.525000000000006</v>
      </c>
      <c r="AA3" s="391">
        <f>PLANTILLA!BG15</f>
        <v>27.029999999999998</v>
      </c>
    </row>
    <row r="4" spans="1:27" x14ac:dyDescent="0.25">
      <c r="A4" t="str">
        <f>PLANTILLA!A14</f>
        <v>#2</v>
      </c>
      <c r="B4" s="43" t="str">
        <f>PLANTILLA!C14</f>
        <v>MED</v>
      </c>
      <c r="C4" s="390" t="str">
        <f>PLANTILLA!D14</f>
        <v>B. Corominola</v>
      </c>
      <c r="D4" s="44">
        <f>PLANTILLA!E14</f>
        <v>21</v>
      </c>
      <c r="E4" s="45">
        <f ca="1">PLANTILLA!F14</f>
        <v>54</v>
      </c>
      <c r="F4" s="46" t="str">
        <f>PLANTILLA!G14</f>
        <v>RAP</v>
      </c>
      <c r="G4" s="47">
        <f>PLANTILLA!H14</f>
        <v>2</v>
      </c>
      <c r="H4" s="48">
        <f>PLANTILLA!I14</f>
        <v>3.8</v>
      </c>
      <c r="I4" s="60">
        <f>PLANTILLA!AO14</f>
        <v>78</v>
      </c>
      <c r="J4" s="61">
        <f>PLANTILLA!AP14</f>
        <v>0</v>
      </c>
      <c r="K4" s="61">
        <f>PLANTILLA!AQ14</f>
        <v>14</v>
      </c>
      <c r="L4" s="61">
        <f>PLANTILLA!AR14</f>
        <v>39</v>
      </c>
      <c r="M4" s="61">
        <f>PLANTILLA!AS14</f>
        <v>0</v>
      </c>
      <c r="N4" s="61">
        <f>PLANTILLA!AT14</f>
        <v>11</v>
      </c>
      <c r="O4" s="61">
        <f>PLANTILLA!AU14</f>
        <v>15</v>
      </c>
      <c r="P4" s="61">
        <f>PLANTILLA!AV14</f>
        <v>-1</v>
      </c>
      <c r="Q4" s="391">
        <f>PLANTILLA!AW14</f>
        <v>3.62</v>
      </c>
      <c r="R4" s="391">
        <f>PLANTILLA!AX14</f>
        <v>22.75</v>
      </c>
      <c r="S4" s="391">
        <f>PLANTILLA!AY14</f>
        <v>13</v>
      </c>
      <c r="T4" s="391">
        <f>PLANTILLA!AZ14</f>
        <v>13</v>
      </c>
      <c r="U4" s="391">
        <f>PLANTILLA!BA14</f>
        <v>50.069999999999993</v>
      </c>
      <c r="V4" s="391">
        <f>PLANTILLA!BB14</f>
        <v>50.05</v>
      </c>
      <c r="W4" s="391">
        <f>PLANTILLA!BC14</f>
        <v>50.39</v>
      </c>
      <c r="X4" s="391">
        <f>PLANTILLA!BD14</f>
        <v>22.8</v>
      </c>
      <c r="Y4" s="391">
        <f>PLANTILLA!BE14</f>
        <v>28.94</v>
      </c>
      <c r="Z4" s="391">
        <f>PLANTILLA!BF14</f>
        <v>29.1</v>
      </c>
      <c r="AA4" s="391">
        <f>PLANTILLA!BG14</f>
        <v>27.6</v>
      </c>
    </row>
    <row r="5" spans="1:27" x14ac:dyDescent="0.25">
      <c r="A5" t="str">
        <f>PLANTILLA!A16</f>
        <v>#7</v>
      </c>
      <c r="B5" s="43" t="str">
        <f>PLANTILLA!C16</f>
        <v>MED</v>
      </c>
      <c r="C5" s="390" t="str">
        <f>PLANTILLA!D16</f>
        <v>T. Lebon</v>
      </c>
      <c r="D5" s="44">
        <f>PLANTILLA!E16</f>
        <v>20</v>
      </c>
      <c r="E5" s="45">
        <f ca="1">PLANTILLA!F16</f>
        <v>47</v>
      </c>
      <c r="F5" s="46" t="str">
        <f>PLANTILLA!G16</f>
        <v>TEC</v>
      </c>
      <c r="G5" s="47">
        <f>PLANTILLA!H16</f>
        <v>1</v>
      </c>
      <c r="H5" s="48">
        <f>PLANTILLA!I16</f>
        <v>2.7</v>
      </c>
      <c r="I5" s="60">
        <f>PLANTILLA!AO16</f>
        <v>71.5</v>
      </c>
      <c r="J5" s="61">
        <f>PLANTILLA!AP16</f>
        <v>0</v>
      </c>
      <c r="K5" s="61">
        <f>PLANTILLA!AQ16</f>
        <v>6</v>
      </c>
      <c r="L5" s="61">
        <f>PLANTILLA!AR16</f>
        <v>43</v>
      </c>
      <c r="M5" s="61">
        <f>PLANTILLA!AS16</f>
        <v>5.5</v>
      </c>
      <c r="N5" s="61">
        <f>PLANTILLA!AT16</f>
        <v>5</v>
      </c>
      <c r="O5" s="61">
        <f>PLANTILLA!AU16</f>
        <v>12</v>
      </c>
      <c r="P5" s="61">
        <f>PLANTILLA!AV16</f>
        <v>0</v>
      </c>
      <c r="Q5" s="391">
        <f>PLANTILLA!AW16</f>
        <v>1.98</v>
      </c>
      <c r="R5" s="391">
        <f>PLANTILLA!AX16</f>
        <v>16.75</v>
      </c>
      <c r="S5" s="391">
        <f>PLANTILLA!AY16</f>
        <v>7.8150000000000004</v>
      </c>
      <c r="T5" s="391">
        <f>PLANTILLA!AZ16</f>
        <v>9.6666666666666661</v>
      </c>
      <c r="U5" s="391">
        <f>PLANTILLA!BA16</f>
        <v>48.89</v>
      </c>
      <c r="V5" s="391">
        <f>PLANTILLA!BB16</f>
        <v>49.42</v>
      </c>
      <c r="W5" s="391">
        <f>PLANTILLA!BC16</f>
        <v>50.18</v>
      </c>
      <c r="X5" s="391">
        <f>PLANTILLA!BD16</f>
        <v>27.6</v>
      </c>
      <c r="Y5" s="391">
        <f>PLANTILLA!BE16</f>
        <v>34.940000000000005</v>
      </c>
      <c r="Z5" s="391">
        <f>PLANTILLA!BF16</f>
        <v>27.724999999999998</v>
      </c>
      <c r="AA5" s="391">
        <f>PLANTILLA!BG16</f>
        <v>25.71</v>
      </c>
    </row>
    <row r="6" spans="1:27" x14ac:dyDescent="0.25">
      <c r="A6" t="str">
        <f>PLANTILLA!A17</f>
        <v>#4</v>
      </c>
      <c r="B6" s="43" t="str">
        <f>PLANTILLA!C17</f>
        <v>MED</v>
      </c>
      <c r="C6" s="390" t="str">
        <f>PLANTILLA!D17</f>
        <v>A. Retegui</v>
      </c>
      <c r="D6" s="44">
        <f>PLANTILLA!E17</f>
        <v>18</v>
      </c>
      <c r="E6" s="45">
        <f ca="1">PLANTILLA!F17</f>
        <v>84</v>
      </c>
      <c r="F6" s="46">
        <f>PLANTILLA!G17</f>
        <v>0</v>
      </c>
      <c r="G6" s="47">
        <f>PLANTILLA!H17</f>
        <v>3</v>
      </c>
      <c r="H6" s="48">
        <f>PLANTILLA!I17</f>
        <v>1.9</v>
      </c>
      <c r="I6" s="60">
        <f>PLANTILLA!AO17</f>
        <v>73.5</v>
      </c>
      <c r="J6" s="61">
        <f>PLANTILLA!AP17</f>
        <v>0</v>
      </c>
      <c r="K6" s="61">
        <f>PLANTILLA!AQ17</f>
        <v>6</v>
      </c>
      <c r="L6" s="61">
        <f>PLANTILLA!AR17</f>
        <v>47</v>
      </c>
      <c r="M6" s="61">
        <f>PLANTILLA!AS17</f>
        <v>5.5</v>
      </c>
      <c r="N6" s="61">
        <f>PLANTILLA!AT17</f>
        <v>7</v>
      </c>
      <c r="O6" s="61">
        <f>PLANTILLA!AU17</f>
        <v>5</v>
      </c>
      <c r="P6" s="61">
        <f>PLANTILLA!AV17</f>
        <v>3</v>
      </c>
      <c r="Q6" s="391">
        <f>PLANTILLA!AW17</f>
        <v>4.9800000000000004</v>
      </c>
      <c r="R6" s="391">
        <f>PLANTILLA!AX17</f>
        <v>20.75</v>
      </c>
      <c r="S6" s="391">
        <f>PLANTILLA!AY17</f>
        <v>10.815000000000001</v>
      </c>
      <c r="T6" s="391">
        <f>PLANTILLA!AZ17</f>
        <v>12.666666666666666</v>
      </c>
      <c r="U6" s="391">
        <f>PLANTILLA!BA17</f>
        <v>55.39</v>
      </c>
      <c r="V6" s="391">
        <f>PLANTILLA!BB17</f>
        <v>55.55</v>
      </c>
      <c r="W6" s="391">
        <f>PLANTILLA!BC17</f>
        <v>56.01</v>
      </c>
      <c r="X6" s="391">
        <f>PLANTILLA!BD17</f>
        <v>32.900000000000006</v>
      </c>
      <c r="Y6" s="391">
        <f>PLANTILLA!BE17</f>
        <v>40.799999999999997</v>
      </c>
      <c r="Z6" s="391">
        <f>PLANTILLA!BF17</f>
        <v>29.125</v>
      </c>
      <c r="AA6" s="391">
        <f>PLANTILLA!BG17</f>
        <v>23.41</v>
      </c>
    </row>
    <row r="7" spans="1:27" x14ac:dyDescent="0.25">
      <c r="A7" t="str">
        <f>PLANTILLA!A23</f>
        <v>#14</v>
      </c>
      <c r="B7" s="43" t="str">
        <f>PLANTILLA!C23</f>
        <v>DAV</v>
      </c>
      <c r="C7" s="390" t="str">
        <f>PLANTILLA!D23</f>
        <v>R. Abrain</v>
      </c>
      <c r="D7" s="44">
        <f>PLANTILLA!E23</f>
        <v>21</v>
      </c>
      <c r="E7" s="45">
        <f ca="1">PLANTILLA!F23</f>
        <v>4</v>
      </c>
      <c r="F7" s="46" t="str">
        <f>PLANTILLA!G23</f>
        <v>IMP</v>
      </c>
      <c r="G7" s="47">
        <f>PLANTILLA!H23</f>
        <v>4</v>
      </c>
      <c r="H7" s="48">
        <f>PLANTILLA!I23</f>
        <v>3.4</v>
      </c>
      <c r="I7" s="60">
        <f>PLANTILLA!AO23</f>
        <v>65</v>
      </c>
      <c r="J7" s="61">
        <f>PLANTILLA!AP23</f>
        <v>0</v>
      </c>
      <c r="K7" s="61">
        <f>PLANTILLA!AQ23</f>
        <v>10</v>
      </c>
      <c r="L7" s="61">
        <f>PLANTILLA!AR23</f>
        <v>20.5</v>
      </c>
      <c r="M7" s="61">
        <f>PLANTILLA!AS23</f>
        <v>3.5</v>
      </c>
      <c r="N7" s="61">
        <f>PLANTILLA!AT23</f>
        <v>5</v>
      </c>
      <c r="O7" s="61">
        <f>PLANTILLA!AU23</f>
        <v>27</v>
      </c>
      <c r="P7" s="61">
        <f>PLANTILLA!AV23</f>
        <v>-1</v>
      </c>
      <c r="Q7" s="391">
        <f>PLANTILLA!AW23</f>
        <v>2.3000000000000003</v>
      </c>
      <c r="R7" s="391">
        <f>PLANTILLA!AX23</f>
        <v>14.125</v>
      </c>
      <c r="S7" s="391">
        <f>PLANTILLA!AY23</f>
        <v>10.154999999999999</v>
      </c>
      <c r="T7" s="391">
        <f>PLANTILLA!AZ23</f>
        <v>11.333333333333334</v>
      </c>
      <c r="U7" s="391">
        <f>PLANTILLA!BA23</f>
        <v>29.59</v>
      </c>
      <c r="V7" s="391">
        <f>PLANTILLA!BB23</f>
        <v>30.67</v>
      </c>
      <c r="W7" s="391">
        <f>PLANTILLA!BC23</f>
        <v>31.97</v>
      </c>
      <c r="X7" s="391">
        <f>PLANTILLA!BD23</f>
        <v>15.475000000000001</v>
      </c>
      <c r="Y7" s="391">
        <f>PLANTILLA!BE23</f>
        <v>18.765000000000001</v>
      </c>
      <c r="Z7" s="391">
        <f>PLANTILLA!BF23</f>
        <v>26.424999999999997</v>
      </c>
      <c r="AA7" s="391">
        <f>PLANTILLA!BG23</f>
        <v>33.645000000000003</v>
      </c>
    </row>
    <row r="8" spans="1:27" x14ac:dyDescent="0.25">
      <c r="A8" t="str">
        <f>PLANTILLA!A18</f>
        <v>#5</v>
      </c>
      <c r="B8" s="43" t="str">
        <f>PLANTILLA!C18</f>
        <v>MED</v>
      </c>
      <c r="C8" s="390" t="str">
        <f>PLANTILLA!D18</f>
        <v>A. Balsebre</v>
      </c>
      <c r="D8" s="44">
        <f>PLANTILLA!E18</f>
        <v>19</v>
      </c>
      <c r="E8" s="45">
        <f ca="1">PLANTILLA!F18</f>
        <v>45</v>
      </c>
      <c r="F8" s="46">
        <f>PLANTILLA!G18</f>
        <v>0</v>
      </c>
      <c r="G8" s="47">
        <f>PLANTILLA!H18</f>
        <v>2</v>
      </c>
      <c r="H8" s="48">
        <f>PLANTILLA!I18</f>
        <v>2</v>
      </c>
      <c r="I8" s="60">
        <f>PLANTILLA!AO18</f>
        <v>67</v>
      </c>
      <c r="J8" s="61">
        <f>PLANTILLA!AP18</f>
        <v>0</v>
      </c>
      <c r="K8" s="61">
        <f>PLANTILLA!AQ18</f>
        <v>6</v>
      </c>
      <c r="L8" s="61">
        <f>PLANTILLA!AR18</f>
        <v>49</v>
      </c>
      <c r="M8" s="61">
        <f>PLANTILLA!AS18</f>
        <v>0</v>
      </c>
      <c r="N8" s="61">
        <f>PLANTILLA!AT18</f>
        <v>7</v>
      </c>
      <c r="O8" s="61">
        <f>PLANTILLA!AU18</f>
        <v>3</v>
      </c>
      <c r="P8" s="61">
        <f>PLANTILLA!AV18</f>
        <v>2</v>
      </c>
      <c r="Q8" s="391">
        <f>PLANTILLA!AW18</f>
        <v>3.98</v>
      </c>
      <c r="R8" s="391">
        <f>PLANTILLA!AX18</f>
        <v>20.25</v>
      </c>
      <c r="S8" s="391">
        <f>PLANTILLA!AY18</f>
        <v>8</v>
      </c>
      <c r="T8" s="391">
        <f>PLANTILLA!AZ18</f>
        <v>8</v>
      </c>
      <c r="U8" s="391">
        <f>PLANTILLA!BA18</f>
        <v>56.15</v>
      </c>
      <c r="V8" s="391">
        <f>PLANTILLA!BB18</f>
        <v>56.13</v>
      </c>
      <c r="W8" s="391">
        <f>PLANTILLA!BC18</f>
        <v>56.39</v>
      </c>
      <c r="X8" s="391">
        <f>PLANTILLA!BD18</f>
        <v>27.3</v>
      </c>
      <c r="Y8" s="391">
        <f>PLANTILLA!BE18</f>
        <v>35.56</v>
      </c>
      <c r="Z8" s="391">
        <f>PLANTILLA!BF18</f>
        <v>26.900000000000002</v>
      </c>
      <c r="AA8" s="391">
        <f>PLANTILLA!BG18</f>
        <v>19.7</v>
      </c>
    </row>
    <row r="9" spans="1:27" x14ac:dyDescent="0.25">
      <c r="A9" t="str">
        <f>PLANTILLA!A4</f>
        <v>#1</v>
      </c>
      <c r="B9" s="43" t="str">
        <f>PLANTILLA!C4</f>
        <v>POR</v>
      </c>
      <c r="C9" s="389" t="str">
        <f>PLANTILLA!D4</f>
        <v>E. Tarrida</v>
      </c>
      <c r="D9" s="44">
        <f>PLANTILLA!E4</f>
        <v>23</v>
      </c>
      <c r="E9" s="45">
        <f ca="1">PLANTILLA!F4</f>
        <v>79</v>
      </c>
      <c r="F9" s="46" t="str">
        <f>PLANTILLA!G4</f>
        <v>RAP</v>
      </c>
      <c r="G9" s="47">
        <f>PLANTILLA!H4</f>
        <v>2</v>
      </c>
      <c r="H9" s="48">
        <f>PLANTILLA!I4</f>
        <v>4.9000000000000004</v>
      </c>
      <c r="I9" s="60">
        <f>PLANTILLA!AO4</f>
        <v>66.5</v>
      </c>
      <c r="J9" s="61">
        <f>PLANTILLA!AP4</f>
        <v>38.5</v>
      </c>
      <c r="K9" s="61">
        <f>PLANTILLA!AQ4</f>
        <v>14</v>
      </c>
      <c r="L9" s="61">
        <f>PLANTILLA!AR4</f>
        <v>6</v>
      </c>
      <c r="M9" s="61">
        <f>PLANTILLA!AS4</f>
        <v>0</v>
      </c>
      <c r="N9" s="61">
        <f>PLANTILLA!AT4</f>
        <v>4</v>
      </c>
      <c r="O9" s="61">
        <f>PLANTILLA!AU4</f>
        <v>2</v>
      </c>
      <c r="P9" s="61">
        <f>PLANTILLA!AV4</f>
        <v>2</v>
      </c>
      <c r="Q9" s="391">
        <f>PLANTILLA!AW4</f>
        <v>45.12</v>
      </c>
      <c r="R9" s="391">
        <f>PLANTILLA!AX4</f>
        <v>17.5</v>
      </c>
      <c r="S9" s="391">
        <f>PLANTILLA!AY4</f>
        <v>16</v>
      </c>
      <c r="T9" s="391">
        <f>PLANTILLA!AZ4</f>
        <v>16</v>
      </c>
      <c r="U9" s="391">
        <f>PLANTILLA!BA4</f>
        <v>17.319999999999997</v>
      </c>
      <c r="V9" s="391">
        <f>PLANTILLA!BB4</f>
        <v>15.22</v>
      </c>
      <c r="W9" s="391">
        <f>PLANTILLA!BC4</f>
        <v>12.86</v>
      </c>
      <c r="X9" s="391">
        <f>PLANTILLA!BD4</f>
        <v>9.1999999999999993</v>
      </c>
      <c r="Y9" s="391">
        <f>PLANTILLA!BE4</f>
        <v>9.9600000000000009</v>
      </c>
      <c r="Z9" s="391">
        <f>PLANTILLA!BF4</f>
        <v>7.6000000000000005</v>
      </c>
      <c r="AA9" s="391">
        <f>PLANTILLA!BG4</f>
        <v>6.9</v>
      </c>
    </row>
    <row r="10" spans="1:27" x14ac:dyDescent="0.25">
      <c r="A10" t="str">
        <f>PLANTILLA!A25</f>
        <v>#10</v>
      </c>
      <c r="B10" s="43" t="str">
        <f>PLANTILLA!C25</f>
        <v>DAV</v>
      </c>
      <c r="C10" s="390" t="str">
        <f>PLANTILLA!D25</f>
        <v>I. Velayo</v>
      </c>
      <c r="D10" s="44">
        <f>PLANTILLA!E25</f>
        <v>21</v>
      </c>
      <c r="E10" s="45">
        <f ca="1">PLANTILLA!F25</f>
        <v>106</v>
      </c>
      <c r="F10" s="46" t="str">
        <f>PLANTILLA!G25</f>
        <v>RAP</v>
      </c>
      <c r="G10" s="47">
        <f>PLANTILLA!H25</f>
        <v>5</v>
      </c>
      <c r="H10" s="48">
        <f>PLANTILLA!I25</f>
        <v>3.6</v>
      </c>
      <c r="I10" s="60">
        <f>PLANTILLA!AO25</f>
        <v>58.5</v>
      </c>
      <c r="J10" s="61">
        <f>PLANTILLA!AP25</f>
        <v>0</v>
      </c>
      <c r="K10" s="61">
        <f>PLANTILLA!AQ25</f>
        <v>6</v>
      </c>
      <c r="L10" s="61">
        <f>PLANTILLA!AR25</f>
        <v>21</v>
      </c>
      <c r="M10" s="61">
        <f>PLANTILLA!AS25</f>
        <v>1.5</v>
      </c>
      <c r="N10" s="61">
        <f>PLANTILLA!AT25</f>
        <v>4</v>
      </c>
      <c r="O10" s="61">
        <f>PLANTILLA!AU25</f>
        <v>27</v>
      </c>
      <c r="P10" s="61">
        <f>PLANTILLA!AV25</f>
        <v>-1</v>
      </c>
      <c r="Q10" s="391">
        <f>PLANTILLA!AW25</f>
        <v>0.98</v>
      </c>
      <c r="R10" s="391">
        <f>PLANTILLA!AX25</f>
        <v>10.25</v>
      </c>
      <c r="S10" s="391">
        <f>PLANTILLA!AY25</f>
        <v>5.4950000000000001</v>
      </c>
      <c r="T10" s="391">
        <f>PLANTILLA!AZ25</f>
        <v>6</v>
      </c>
      <c r="U10" s="391">
        <f>PLANTILLA!BA25</f>
        <v>27.52</v>
      </c>
      <c r="V10" s="391">
        <f>PLANTILLA!BB25</f>
        <v>29.269999999999996</v>
      </c>
      <c r="W10" s="391">
        <f>PLANTILLA!BC25</f>
        <v>31.33</v>
      </c>
      <c r="X10" s="391">
        <f>PLANTILLA!BD25</f>
        <v>12.450000000000001</v>
      </c>
      <c r="Y10" s="391">
        <f>PLANTILLA!BE25</f>
        <v>15.91</v>
      </c>
      <c r="Z10" s="391">
        <f>PLANTILLA!BF25</f>
        <v>25.825000000000003</v>
      </c>
      <c r="AA10" s="391">
        <f>PLANTILLA!BG25</f>
        <v>32.979999999999997</v>
      </c>
    </row>
    <row r="11" spans="1:27" x14ac:dyDescent="0.25">
      <c r="A11" t="str">
        <f>PLANTILLA!A19</f>
        <v>#11</v>
      </c>
      <c r="B11" s="43" t="str">
        <f>PLANTILLA!C19</f>
        <v>EXT</v>
      </c>
      <c r="C11" s="390" t="str">
        <f>PLANTILLA!D19</f>
        <v>L. Grière</v>
      </c>
      <c r="D11" s="44">
        <f>PLANTILLA!E19</f>
        <v>19</v>
      </c>
      <c r="E11" s="45">
        <f ca="1">PLANTILLA!F19</f>
        <v>66</v>
      </c>
      <c r="F11" s="46" t="str">
        <f>PLANTILLA!G19</f>
        <v>TEC</v>
      </c>
      <c r="G11" s="47">
        <f>PLANTILLA!H19</f>
        <v>2</v>
      </c>
      <c r="H11" s="48">
        <f>PLANTILLA!I19</f>
        <v>2.2999999999999998</v>
      </c>
      <c r="I11" s="60">
        <f>PLANTILLA!AO19</f>
        <v>55.5</v>
      </c>
      <c r="J11" s="61">
        <f>PLANTILLA!AP19</f>
        <v>0</v>
      </c>
      <c r="K11" s="61">
        <f>PLANTILLA!AQ19</f>
        <v>6</v>
      </c>
      <c r="L11" s="61">
        <f>PLANTILLA!AR19</f>
        <v>35</v>
      </c>
      <c r="M11" s="61">
        <f>PLANTILLA!AS19</f>
        <v>8.5</v>
      </c>
      <c r="N11" s="61">
        <f>PLANTILLA!AT19</f>
        <v>0</v>
      </c>
      <c r="O11" s="61">
        <f>PLANTILLA!AU19</f>
        <v>8</v>
      </c>
      <c r="P11" s="61">
        <f>PLANTILLA!AV19</f>
        <v>-2</v>
      </c>
      <c r="Q11" s="391">
        <f>PLANTILLA!AW19</f>
        <v>-2.0000000000000018E-2</v>
      </c>
      <c r="R11" s="391">
        <f>PLANTILLA!AX19</f>
        <v>12.75</v>
      </c>
      <c r="S11" s="391">
        <f>PLANTILLA!AY19</f>
        <v>6.8049999999999997</v>
      </c>
      <c r="T11" s="391">
        <f>PLANTILLA!AZ19</f>
        <v>9.6666666666666679</v>
      </c>
      <c r="U11" s="391">
        <f>PLANTILLA!BA19</f>
        <v>37.56</v>
      </c>
      <c r="V11" s="391">
        <f>PLANTILLA!BB19</f>
        <v>37.08</v>
      </c>
      <c r="W11" s="391">
        <f>PLANTILLA!BC19</f>
        <v>36.44</v>
      </c>
      <c r="X11" s="391">
        <f>PLANTILLA!BD19</f>
        <v>23.75</v>
      </c>
      <c r="Y11" s="391">
        <f>PLANTILLA!BE19</f>
        <v>30.049999999999997</v>
      </c>
      <c r="Z11" s="391">
        <f>PLANTILLA!BF19</f>
        <v>18.074999999999999</v>
      </c>
      <c r="AA11" s="391">
        <f>PLANTILLA!BG19</f>
        <v>16.62</v>
      </c>
    </row>
    <row r="12" spans="1:27" x14ac:dyDescent="0.25">
      <c r="A12" t="str">
        <f>PLANTILLA!A7</f>
        <v>#13</v>
      </c>
      <c r="B12" s="43" t="str">
        <f>PLANTILLA!C7</f>
        <v>LAT</v>
      </c>
      <c r="C12" s="390" t="str">
        <f>PLANTILLA!D7</f>
        <v>D. Juliol</v>
      </c>
      <c r="D12" s="44">
        <f>PLANTILLA!E7</f>
        <v>20</v>
      </c>
      <c r="E12" s="45">
        <f ca="1">PLANTILLA!F7</f>
        <v>24</v>
      </c>
      <c r="F12" s="46">
        <f>PLANTILLA!G7</f>
        <v>0</v>
      </c>
      <c r="G12" s="47">
        <f>PLANTILLA!H7</f>
        <v>5</v>
      </c>
      <c r="H12" s="48">
        <f>PLANTILLA!I7</f>
        <v>3</v>
      </c>
      <c r="I12" s="60">
        <f>PLANTILLA!AO7</f>
        <v>44.5</v>
      </c>
      <c r="J12" s="61">
        <f>PLANTILLA!AP7</f>
        <v>0</v>
      </c>
      <c r="K12" s="61">
        <f>PLANTILLA!AQ7</f>
        <v>10</v>
      </c>
      <c r="L12" s="61">
        <f>PLANTILLA!AR7</f>
        <v>17</v>
      </c>
      <c r="M12" s="61">
        <f>PLANTILLA!AS7</f>
        <v>5.5</v>
      </c>
      <c r="N12" s="61">
        <f>PLANTILLA!AT7</f>
        <v>0</v>
      </c>
      <c r="O12" s="61">
        <f>PLANTILLA!AU7</f>
        <v>13</v>
      </c>
      <c r="P12" s="61">
        <f>PLANTILLA!AV7</f>
        <v>-1</v>
      </c>
      <c r="Q12" s="391">
        <f>PLANTILLA!AW7</f>
        <v>2.3000000000000003</v>
      </c>
      <c r="R12" s="391">
        <f>PLANTILLA!AX7</f>
        <v>13.25</v>
      </c>
      <c r="S12" s="391">
        <f>PLANTILLA!AY7</f>
        <v>10.815</v>
      </c>
      <c r="T12" s="391">
        <f>PLANTILLA!AZ7</f>
        <v>12.666666666666666</v>
      </c>
      <c r="U12" s="391">
        <f>PLANTILLA!BA7</f>
        <v>23.56</v>
      </c>
      <c r="V12" s="391">
        <f>PLANTILLA!BB7</f>
        <v>22.73</v>
      </c>
      <c r="W12" s="391">
        <f>PLANTILLA!BC7</f>
        <v>21.630000000000003</v>
      </c>
      <c r="X12" s="391">
        <f>PLANTILLA!BD7</f>
        <v>14.65</v>
      </c>
      <c r="Y12" s="391">
        <f>PLANTILLA!BE7</f>
        <v>17.71</v>
      </c>
      <c r="Z12" s="391">
        <f>PLANTILLA!BF7</f>
        <v>14.425000000000001</v>
      </c>
      <c r="AA12" s="391">
        <f>PLANTILLA!BG7</f>
        <v>17.46</v>
      </c>
    </row>
    <row r="13" spans="1:27" x14ac:dyDescent="0.25">
      <c r="A13" t="str">
        <f>PLANTILLA!A10</f>
        <v>#12</v>
      </c>
      <c r="B13" s="43" t="str">
        <f>PLANTILLA!C10</f>
        <v>CEN</v>
      </c>
      <c r="C13" s="389" t="str">
        <f>PLANTILLA!D10</f>
        <v>G. Durand</v>
      </c>
      <c r="D13" s="44">
        <f>PLANTILLA!E10</f>
        <v>20</v>
      </c>
      <c r="E13" s="45">
        <f ca="1">PLANTILLA!F10</f>
        <v>94</v>
      </c>
      <c r="F13" s="46" t="str">
        <f>PLANTILLA!G10</f>
        <v>IMP</v>
      </c>
      <c r="G13" s="47">
        <f>PLANTILLA!H10</f>
        <v>3</v>
      </c>
      <c r="H13" s="48">
        <f>PLANTILLA!I10</f>
        <v>2.5</v>
      </c>
      <c r="I13" s="384">
        <f>PLANTILLA!AO10</f>
        <v>45</v>
      </c>
      <c r="J13" s="385">
        <f>PLANTILLA!AP10</f>
        <v>0</v>
      </c>
      <c r="K13" s="385">
        <f>PLANTILLA!AQ10</f>
        <v>10</v>
      </c>
      <c r="L13" s="385">
        <f>PLANTILLA!AR10</f>
        <v>28</v>
      </c>
      <c r="M13" s="385">
        <f>PLANTILLA!AS10</f>
        <v>0</v>
      </c>
      <c r="N13" s="385">
        <f>PLANTILLA!AT10</f>
        <v>2</v>
      </c>
      <c r="O13" s="385">
        <f>PLANTILLA!AU10</f>
        <v>5</v>
      </c>
      <c r="P13" s="385">
        <f>PLANTILLA!AV10</f>
        <v>0</v>
      </c>
      <c r="Q13" s="391">
        <f>PLANTILLA!AW10</f>
        <v>3.3000000000000003</v>
      </c>
      <c r="R13" s="391">
        <f>PLANTILLA!AX10</f>
        <v>17</v>
      </c>
      <c r="S13" s="391">
        <f>PLANTILLA!AY10</f>
        <v>10</v>
      </c>
      <c r="T13" s="391">
        <f>PLANTILLA!AZ10</f>
        <v>10</v>
      </c>
      <c r="U13" s="391">
        <f>PLANTILLA!BA10</f>
        <v>34.940000000000005</v>
      </c>
      <c r="V13" s="391">
        <f>PLANTILLA!BB10</f>
        <v>33.65</v>
      </c>
      <c r="W13" s="391">
        <f>PLANTILLA!BC10</f>
        <v>32.15</v>
      </c>
      <c r="X13" s="391">
        <f>PLANTILLA!BD10</f>
        <v>15.6</v>
      </c>
      <c r="Y13" s="391">
        <f>PLANTILLA!BE10</f>
        <v>20.48</v>
      </c>
      <c r="Z13" s="391">
        <f>PLANTILLA!BF10</f>
        <v>15.200000000000001</v>
      </c>
      <c r="AA13" s="391">
        <f>PLANTILLA!BG10</f>
        <v>12.7</v>
      </c>
    </row>
    <row r="14" spans="1:27" x14ac:dyDescent="0.25">
      <c r="A14" t="str">
        <f>PLANTILLA!A5</f>
        <v>#26</v>
      </c>
      <c r="B14" s="43" t="str">
        <f>PLANTILLA!C5</f>
        <v>POR</v>
      </c>
      <c r="C14" s="389" t="str">
        <f>PLANTILLA!D5</f>
        <v>S. Candela</v>
      </c>
      <c r="D14" s="44">
        <f>PLANTILLA!E5</f>
        <v>26</v>
      </c>
      <c r="E14" s="45">
        <f ca="1">PLANTILLA!F5</f>
        <v>70</v>
      </c>
      <c r="F14" s="46" t="str">
        <f>PLANTILLA!G5</f>
        <v>CAB</v>
      </c>
      <c r="G14" s="47">
        <f>PLANTILLA!H5</f>
        <v>6</v>
      </c>
      <c r="H14" s="48">
        <f>PLANTILLA!I5</f>
        <v>3.2</v>
      </c>
      <c r="I14" s="60">
        <f>PLANTILLA!AO5</f>
        <v>35.5</v>
      </c>
      <c r="J14" s="61">
        <f>PLANTILLA!AP5</f>
        <v>33.5</v>
      </c>
      <c r="K14" s="61">
        <f>PLANTILLA!AQ5</f>
        <v>0</v>
      </c>
      <c r="L14" s="61">
        <f>PLANTILLA!AR5</f>
        <v>0</v>
      </c>
      <c r="M14" s="61">
        <f>PLANTILLA!AS5</f>
        <v>0</v>
      </c>
      <c r="N14" s="61">
        <f>PLANTILLA!AT5</f>
        <v>0</v>
      </c>
      <c r="O14" s="61">
        <f>PLANTILLA!AU5</f>
        <v>0</v>
      </c>
      <c r="P14" s="61">
        <f>PLANTILLA!AV5</f>
        <v>2</v>
      </c>
      <c r="Q14" s="391">
        <f>PLANTILLA!AW5</f>
        <v>35.5</v>
      </c>
      <c r="R14" s="391">
        <f>PLANTILLA!AX5</f>
        <v>2</v>
      </c>
      <c r="S14" s="391">
        <f>PLANTILLA!AY5</f>
        <v>2</v>
      </c>
      <c r="T14" s="391">
        <f>PLANTILLA!AZ5</f>
        <v>2</v>
      </c>
      <c r="U14" s="391">
        <f>PLANTILLA!BA5</f>
        <v>2</v>
      </c>
      <c r="V14" s="391">
        <f>PLANTILLA!BB5</f>
        <v>2</v>
      </c>
      <c r="W14" s="391">
        <f>PLANTILLA!BC5</f>
        <v>2</v>
      </c>
      <c r="X14" s="391">
        <f>PLANTILLA!BD5</f>
        <v>2</v>
      </c>
      <c r="Y14" s="391">
        <f>PLANTILLA!BE5</f>
        <v>2</v>
      </c>
      <c r="Z14" s="391">
        <f>PLANTILLA!BF5</f>
        <v>2</v>
      </c>
      <c r="AA14" s="391">
        <f>PLANTILLA!BG5</f>
        <v>2</v>
      </c>
    </row>
    <row r="15" spans="1:27" x14ac:dyDescent="0.25">
      <c r="A15" t="str">
        <f>PLANTILLA!A21</f>
        <v>#29</v>
      </c>
      <c r="B15" s="43" t="str">
        <f>PLANTILLA!C21</f>
        <v>EXT</v>
      </c>
      <c r="C15" s="388" t="str">
        <f>PLANTILLA!D21</f>
        <v>T. Averous</v>
      </c>
      <c r="D15" s="44">
        <f>PLANTILLA!E21</f>
        <v>28</v>
      </c>
      <c r="E15" s="45">
        <f ca="1">PLANTILLA!F21</f>
        <v>7</v>
      </c>
      <c r="F15" s="46">
        <f>PLANTILLA!G21</f>
        <v>0</v>
      </c>
      <c r="G15" s="47">
        <f>PLANTILLA!H21</f>
        <v>1</v>
      </c>
      <c r="H15" s="48">
        <f>PLANTILLA!I21</f>
        <v>4.5</v>
      </c>
      <c r="I15" s="60">
        <f>PLANTILLA!AO21</f>
        <v>34.5</v>
      </c>
      <c r="J15" s="61">
        <f>PLANTILLA!AP21</f>
        <v>0</v>
      </c>
      <c r="K15" s="61">
        <f>PLANTILLA!AQ21</f>
        <v>3</v>
      </c>
      <c r="L15" s="61">
        <f>PLANTILLA!AR21</f>
        <v>12</v>
      </c>
      <c r="M15" s="61">
        <f>PLANTILLA!AS21</f>
        <v>8.5</v>
      </c>
      <c r="N15" s="61">
        <f>PLANTILLA!AT21</f>
        <v>7</v>
      </c>
      <c r="O15" s="61">
        <f>PLANTILLA!AU21</f>
        <v>2</v>
      </c>
      <c r="P15" s="61">
        <f>PLANTILLA!AV21</f>
        <v>2</v>
      </c>
      <c r="Q15" s="391">
        <f>PLANTILLA!AW21</f>
        <v>2.99</v>
      </c>
      <c r="R15" s="391">
        <f>PLANTILLA!AX21</f>
        <v>8</v>
      </c>
      <c r="S15" s="391">
        <f>PLANTILLA!AY21</f>
        <v>7.8049999999999997</v>
      </c>
      <c r="T15" s="391">
        <f>PLANTILLA!AZ21</f>
        <v>10.666666666666668</v>
      </c>
      <c r="U15" s="391">
        <f>PLANTILLA!BA21</f>
        <v>17.23</v>
      </c>
      <c r="V15" s="391">
        <f>PLANTILLA!BB21</f>
        <v>17.72</v>
      </c>
      <c r="W15" s="391">
        <f>PLANTILLA!BC21</f>
        <v>18.600000000000001</v>
      </c>
      <c r="X15" s="391">
        <f>PLANTILLA!BD21</f>
        <v>18.399999999999999</v>
      </c>
      <c r="Y15" s="391">
        <f>PLANTILLA!BE21</f>
        <v>20.000000000000004</v>
      </c>
      <c r="Z15" s="391">
        <f>PLANTILLA!BF21</f>
        <v>12.775</v>
      </c>
      <c r="AA15" s="391">
        <f>PLANTILLA!BG21</f>
        <v>11.32</v>
      </c>
    </row>
    <row r="16" spans="1:27" x14ac:dyDescent="0.25">
      <c r="A16" t="str">
        <f>PLANTILLA!A24</f>
        <v>#16</v>
      </c>
      <c r="B16" s="43" t="str">
        <f>PLANTILLA!C24</f>
        <v>DAV</v>
      </c>
      <c r="C16" s="388" t="str">
        <f>PLANTILLA!D24</f>
        <v>L. Cabistany</v>
      </c>
      <c r="D16" s="44">
        <f>PLANTILLA!E24</f>
        <v>18</v>
      </c>
      <c r="E16" s="45">
        <f ca="1">PLANTILLA!F24</f>
        <v>53</v>
      </c>
      <c r="F16" s="46">
        <f>PLANTILLA!G24</f>
        <v>0</v>
      </c>
      <c r="G16" s="47">
        <f>PLANTILLA!H24</f>
        <v>2</v>
      </c>
      <c r="H16" s="48">
        <f>PLANTILLA!I24</f>
        <v>1.3</v>
      </c>
      <c r="I16" s="60">
        <f>PLANTILLA!AO24</f>
        <v>39.5</v>
      </c>
      <c r="J16" s="61">
        <f>PLANTILLA!AP24</f>
        <v>0</v>
      </c>
      <c r="K16" s="61">
        <f>PLANTILLA!AQ24</f>
        <v>-2</v>
      </c>
      <c r="L16" s="61">
        <f>PLANTILLA!AR24</f>
        <v>13</v>
      </c>
      <c r="M16" s="61">
        <f>PLANTILLA!AS24</f>
        <v>1.5</v>
      </c>
      <c r="N16" s="61">
        <f>PLANTILLA!AT24</f>
        <v>4</v>
      </c>
      <c r="O16" s="61">
        <f>PLANTILLA!AU24</f>
        <v>20</v>
      </c>
      <c r="P16" s="61">
        <f>PLANTILLA!AV24</f>
        <v>3</v>
      </c>
      <c r="Q16" s="391">
        <f>PLANTILLA!AW24</f>
        <v>2.34</v>
      </c>
      <c r="R16" s="391">
        <f>PLANTILLA!AX24</f>
        <v>4.25</v>
      </c>
      <c r="S16" s="391">
        <f>PLANTILLA!AY24</f>
        <v>1.4950000000000001</v>
      </c>
      <c r="T16" s="391">
        <f>PLANTILLA!AZ24</f>
        <v>2</v>
      </c>
      <c r="U16" s="391">
        <f>PLANTILLA!BA24</f>
        <v>17.88</v>
      </c>
      <c r="V16" s="391">
        <f>PLANTILLA!BB24</f>
        <v>20.599999999999998</v>
      </c>
      <c r="W16" s="391">
        <f>PLANTILLA!BC24</f>
        <v>23.88</v>
      </c>
      <c r="X16" s="391">
        <f>PLANTILLA!BD24</f>
        <v>10.850000000000001</v>
      </c>
      <c r="Y16" s="391">
        <f>PLANTILLA!BE24</f>
        <v>12.87</v>
      </c>
      <c r="Z16" s="391">
        <f>PLANTILLA!BF24</f>
        <v>22.425000000000001</v>
      </c>
      <c r="AA16" s="391">
        <f>PLANTILLA!BG24</f>
        <v>27.979999999999997</v>
      </c>
    </row>
    <row r="17" spans="1:27" x14ac:dyDescent="0.25">
      <c r="A17" t="str">
        <f>PLANTILLA!A13</f>
        <v>#27</v>
      </c>
      <c r="B17" s="43" t="str">
        <f>PLANTILLA!C13</f>
        <v>CEN</v>
      </c>
      <c r="C17" s="388" t="str">
        <f>PLANTILLA!D13</f>
        <v>I. Escuder</v>
      </c>
      <c r="D17" s="44">
        <f>PLANTILLA!E13</f>
        <v>28</v>
      </c>
      <c r="E17" s="45">
        <f ca="1">PLANTILLA!F13</f>
        <v>51</v>
      </c>
      <c r="F17" s="46">
        <f>PLANTILLA!G13</f>
        <v>0</v>
      </c>
      <c r="G17" s="47">
        <f>PLANTILLA!H13</f>
        <v>5</v>
      </c>
      <c r="H17" s="48">
        <f>PLANTILLA!I13</f>
        <v>4.5</v>
      </c>
      <c r="I17" s="60">
        <f>PLANTILLA!AO13</f>
        <v>29.5</v>
      </c>
      <c r="J17" s="61">
        <f>PLANTILLA!AP13</f>
        <v>0</v>
      </c>
      <c r="K17" s="61">
        <f>PLANTILLA!AQ13</f>
        <v>10</v>
      </c>
      <c r="L17" s="61">
        <f>PLANTILLA!AR13</f>
        <v>17</v>
      </c>
      <c r="M17" s="61">
        <f>PLANTILLA!AS13</f>
        <v>0</v>
      </c>
      <c r="N17" s="61">
        <f>PLANTILLA!AT13</f>
        <v>2</v>
      </c>
      <c r="O17" s="61">
        <f>PLANTILLA!AU13</f>
        <v>-1.5</v>
      </c>
      <c r="P17" s="61">
        <f>PLANTILLA!AV13</f>
        <v>2</v>
      </c>
      <c r="Q17" s="391">
        <f>PLANTILLA!AW13</f>
        <v>5.3000000000000007</v>
      </c>
      <c r="R17" s="391">
        <f>PLANTILLA!AX13</f>
        <v>16.25</v>
      </c>
      <c r="S17" s="391">
        <f>PLANTILLA!AY13</f>
        <v>12</v>
      </c>
      <c r="T17" s="391">
        <f>PLANTILLA!AZ13</f>
        <v>12</v>
      </c>
      <c r="U17" s="391">
        <f>PLANTILLA!BA13</f>
        <v>25.16</v>
      </c>
      <c r="V17" s="391">
        <f>PLANTILLA!BB13</f>
        <v>23.285</v>
      </c>
      <c r="W17" s="391">
        <f>PLANTILLA!BC13</f>
        <v>21.135000000000002</v>
      </c>
      <c r="X17" s="391">
        <f>PLANTILLA!BD13</f>
        <v>12.65</v>
      </c>
      <c r="Y17" s="391">
        <f>PLANTILLA!BE13</f>
        <v>15.55</v>
      </c>
      <c r="Z17" s="391">
        <f>PLANTILLA!BF13</f>
        <v>8.9</v>
      </c>
      <c r="AA17" s="391">
        <f>PLANTILLA!BG13</f>
        <v>5.45</v>
      </c>
    </row>
    <row r="18" spans="1:27" x14ac:dyDescent="0.25">
      <c r="A18" t="str">
        <f>PLANTILLA!A20</f>
        <v>#28</v>
      </c>
      <c r="B18" s="43" t="str">
        <f>PLANTILLA!C20</f>
        <v>EXT</v>
      </c>
      <c r="C18" s="388" t="str">
        <f>PLANTILLA!D20</f>
        <v>A. Aguilella</v>
      </c>
      <c r="D18" s="44">
        <f>PLANTILLA!E20</f>
        <v>26</v>
      </c>
      <c r="E18" s="45">
        <f ca="1">PLANTILLA!F20</f>
        <v>25</v>
      </c>
      <c r="F18" s="46">
        <f>PLANTILLA!G20</f>
        <v>0</v>
      </c>
      <c r="G18" s="47">
        <f>PLANTILLA!H20</f>
        <v>5</v>
      </c>
      <c r="H18" s="48">
        <f>PLANTILLA!I20</f>
        <v>3.3</v>
      </c>
      <c r="I18" s="60">
        <f>PLANTILLA!AO20</f>
        <v>30.5</v>
      </c>
      <c r="J18" s="61">
        <f>PLANTILLA!AP20</f>
        <v>0</v>
      </c>
      <c r="K18" s="61">
        <f>PLANTILLA!AQ20</f>
        <v>6</v>
      </c>
      <c r="L18" s="61">
        <f>PLANTILLA!AR20</f>
        <v>12</v>
      </c>
      <c r="M18" s="61">
        <f>PLANTILLA!AS20</f>
        <v>5.5</v>
      </c>
      <c r="N18" s="61">
        <f>PLANTILLA!AT20</f>
        <v>4</v>
      </c>
      <c r="O18" s="61">
        <f>PLANTILLA!AU20</f>
        <v>1</v>
      </c>
      <c r="P18" s="61">
        <f>PLANTILLA!AV20</f>
        <v>2</v>
      </c>
      <c r="Q18" s="391">
        <f>PLANTILLA!AW20</f>
        <v>3.98</v>
      </c>
      <c r="R18" s="391">
        <f>PLANTILLA!AX20</f>
        <v>11</v>
      </c>
      <c r="S18" s="391">
        <f>PLANTILLA!AY20</f>
        <v>9.8150000000000013</v>
      </c>
      <c r="T18" s="391">
        <f>PLANTILLA!AZ20</f>
        <v>11.666666666666666</v>
      </c>
      <c r="U18" s="391">
        <f>PLANTILLA!BA20</f>
        <v>18.400000000000002</v>
      </c>
      <c r="V18" s="391">
        <f>PLANTILLA!BB20</f>
        <v>17.810000000000002</v>
      </c>
      <c r="W18" s="391">
        <f>PLANTILLA!BC20</f>
        <v>17.27</v>
      </c>
      <c r="X18" s="391">
        <f>PLANTILLA!BD20</f>
        <v>15.4</v>
      </c>
      <c r="Y18" s="391">
        <f>PLANTILLA!BE20</f>
        <v>17.240000000000002</v>
      </c>
      <c r="Z18" s="391">
        <f>PLANTILLA!BF20</f>
        <v>10.225000000000001</v>
      </c>
      <c r="AA18" s="391">
        <f>PLANTILLA!BG20</f>
        <v>8.61</v>
      </c>
    </row>
    <row r="19" spans="1:27" x14ac:dyDescent="0.25">
      <c r="A19" t="str">
        <f>PLANTILLA!A11</f>
        <v>#15</v>
      </c>
      <c r="B19" s="43" t="str">
        <f>PLANTILLA!C11</f>
        <v>CEN</v>
      </c>
      <c r="C19" s="389" t="str">
        <f>PLANTILLA!D11</f>
        <v>G. Gasqué</v>
      </c>
      <c r="D19" s="44">
        <f>PLANTILLA!E11</f>
        <v>18</v>
      </c>
      <c r="E19" s="45">
        <f ca="1">PLANTILLA!F11</f>
        <v>29</v>
      </c>
      <c r="F19" s="46" t="str">
        <f>PLANTILLA!G11</f>
        <v>IMP</v>
      </c>
      <c r="G19" s="47">
        <f>PLANTILLA!H11</f>
        <v>3</v>
      </c>
      <c r="H19" s="48">
        <f>PLANTILLA!I11</f>
        <v>2</v>
      </c>
      <c r="I19" s="60">
        <f>PLANTILLA!AO11</f>
        <v>18.5</v>
      </c>
      <c r="J19" s="61">
        <f>PLANTILLA!AP11</f>
        <v>0</v>
      </c>
      <c r="K19" s="61">
        <f>PLANTILLA!AQ11</f>
        <v>0</v>
      </c>
      <c r="L19" s="61">
        <f>PLANTILLA!AR11</f>
        <v>9</v>
      </c>
      <c r="M19" s="61">
        <f>PLANTILLA!AS11</f>
        <v>5.5</v>
      </c>
      <c r="N19" s="61">
        <f>PLANTILLA!AT11</f>
        <v>2</v>
      </c>
      <c r="O19" s="61">
        <f>PLANTILLA!AU11</f>
        <v>2</v>
      </c>
      <c r="P19" s="61">
        <f>PLANTILLA!AV11</f>
        <v>0</v>
      </c>
      <c r="Q19" s="391">
        <f>PLANTILLA!AW11</f>
        <v>0</v>
      </c>
      <c r="R19" s="391">
        <f>PLANTILLA!AX11</f>
        <v>2.25</v>
      </c>
      <c r="S19" s="391">
        <f>PLANTILLA!AY11</f>
        <v>1.8150000000000002</v>
      </c>
      <c r="T19" s="391">
        <f>PLANTILLA!AZ11</f>
        <v>3.6666666666666665</v>
      </c>
      <c r="U19" s="391">
        <f>PLANTILLA!BA11</f>
        <v>9.58</v>
      </c>
      <c r="V19" s="391">
        <f>PLANTILLA!BB11</f>
        <v>10.02</v>
      </c>
      <c r="W19" s="391">
        <f>PLANTILLA!BC11</f>
        <v>10.62</v>
      </c>
      <c r="X19" s="391">
        <f>PLANTILLA!BD11</f>
        <v>10.050000000000001</v>
      </c>
      <c r="Y19" s="391">
        <f>PLANTILLA!BE11</f>
        <v>11.51</v>
      </c>
      <c r="Z19" s="391">
        <f>PLANTILLA!BF11</f>
        <v>6.625</v>
      </c>
      <c r="AA19" s="391">
        <f>PLANTILLA!BG11</f>
        <v>6.16</v>
      </c>
    </row>
    <row r="20" spans="1:27" x14ac:dyDescent="0.25">
      <c r="A20" t="str">
        <f>PLANTILLA!A6</f>
        <v>#21</v>
      </c>
      <c r="B20" s="43" t="str">
        <f>PLANTILLA!C6</f>
        <v>LAT</v>
      </c>
      <c r="C20" s="388" t="str">
        <f>PLANTILLA!D6</f>
        <v>M. Teixé</v>
      </c>
      <c r="D20" s="44">
        <f>PLANTILLA!E6</f>
        <v>31</v>
      </c>
      <c r="E20" s="45">
        <f ca="1">PLANTILLA!F6</f>
        <v>108</v>
      </c>
      <c r="F20" s="46">
        <f>PLANTILLA!G6</f>
        <v>0</v>
      </c>
      <c r="G20" s="47">
        <f>PLANTILLA!H6</f>
        <v>3</v>
      </c>
      <c r="H20" s="48">
        <f>PLANTILLA!I6</f>
        <v>6</v>
      </c>
      <c r="I20" s="60">
        <f>PLANTILLA!AO6</f>
        <v>24.5</v>
      </c>
      <c r="J20" s="61">
        <f>PLANTILLA!AP6</f>
        <v>0</v>
      </c>
      <c r="K20" s="61">
        <f>PLANTILLA!AQ6</f>
        <v>14</v>
      </c>
      <c r="L20" s="61">
        <f>PLANTILLA!AR6</f>
        <v>1</v>
      </c>
      <c r="M20" s="61">
        <f>PLANTILLA!AS6</f>
        <v>5.5</v>
      </c>
      <c r="N20" s="61">
        <f>PLANTILLA!AT6</f>
        <v>2</v>
      </c>
      <c r="O20" s="61">
        <f>PLANTILLA!AU6</f>
        <v>0</v>
      </c>
      <c r="P20" s="61">
        <f>PLANTILLA!AV6</f>
        <v>2</v>
      </c>
      <c r="Q20" s="391">
        <f>PLANTILLA!AW6</f>
        <v>6.62</v>
      </c>
      <c r="R20" s="391">
        <f>PLANTILLA!AX6</f>
        <v>16.25</v>
      </c>
      <c r="S20" s="391">
        <f>PLANTILLA!AY6</f>
        <v>17.814999999999998</v>
      </c>
      <c r="T20" s="391">
        <f>PLANTILLA!AZ6</f>
        <v>19.666666666666668</v>
      </c>
      <c r="U20" s="391">
        <f>PLANTILLA!BA6</f>
        <v>11.74</v>
      </c>
      <c r="V20" s="391">
        <f>PLANTILLA!BB6</f>
        <v>9.1999999999999993</v>
      </c>
      <c r="W20" s="391">
        <f>PLANTILLA!BC6</f>
        <v>6.24</v>
      </c>
      <c r="X20" s="391">
        <f>PLANTILLA!BD6</f>
        <v>11.95</v>
      </c>
      <c r="Y20" s="391">
        <f>PLANTILLA!BE6</f>
        <v>11.969999999999999</v>
      </c>
      <c r="Z20" s="391">
        <f>PLANTILLA!BF6</f>
        <v>4.2249999999999996</v>
      </c>
      <c r="AA20" s="391">
        <f>PLANTILLA!BG6</f>
        <v>4.16</v>
      </c>
    </row>
    <row r="21" spans="1:27" x14ac:dyDescent="0.25">
      <c r="A21" t="str">
        <f>PLANTILLA!A8</f>
        <v>#33</v>
      </c>
      <c r="B21" s="43" t="str">
        <f>PLANTILLA!C8</f>
        <v>CEN</v>
      </c>
      <c r="C21" s="388" t="str">
        <f>PLANTILLA!D8</f>
        <v>J-L. Grellier</v>
      </c>
      <c r="D21" s="44">
        <f>PLANTILLA!E8</f>
        <v>33</v>
      </c>
      <c r="E21" s="45">
        <f ca="1">PLANTILLA!F8</f>
        <v>111</v>
      </c>
      <c r="F21" s="46">
        <f>PLANTILLA!G8</f>
        <v>0</v>
      </c>
      <c r="G21" s="47">
        <f>PLANTILLA!H8</f>
        <v>5</v>
      </c>
      <c r="H21" s="48">
        <f>PLANTILLA!I8</f>
        <v>6.8</v>
      </c>
      <c r="I21" s="60">
        <f>PLANTILLA!AO8</f>
        <v>17</v>
      </c>
      <c r="J21" s="61">
        <f>PLANTILLA!AP8</f>
        <v>0</v>
      </c>
      <c r="K21" s="61">
        <f>PLANTILLA!AQ8</f>
        <v>10</v>
      </c>
      <c r="L21" s="61">
        <f>PLANTILLA!AR8</f>
        <v>9</v>
      </c>
      <c r="M21" s="61">
        <f>PLANTILLA!AS8</f>
        <v>0</v>
      </c>
      <c r="N21" s="61">
        <f>PLANTILLA!AT8</f>
        <v>-1.5</v>
      </c>
      <c r="O21" s="61">
        <f>PLANTILLA!AU8</f>
        <v>-1.5</v>
      </c>
      <c r="P21" s="61">
        <f>PLANTILLA!AV8</f>
        <v>1</v>
      </c>
      <c r="Q21" s="391">
        <f>PLANTILLA!AW8</f>
        <v>4.3000000000000007</v>
      </c>
      <c r="R21" s="391">
        <f>PLANTILLA!AX8</f>
        <v>13.25</v>
      </c>
      <c r="S21" s="391">
        <f>PLANTILLA!AY8</f>
        <v>11</v>
      </c>
      <c r="T21" s="391">
        <f>PLANTILLA!AZ8</f>
        <v>11</v>
      </c>
      <c r="U21" s="391">
        <f>PLANTILLA!BA8</f>
        <v>15.565</v>
      </c>
      <c r="V21" s="391">
        <f>PLANTILLA!BB8</f>
        <v>13.235000000000001</v>
      </c>
      <c r="W21" s="391">
        <f>PLANTILLA!BC8</f>
        <v>10.385</v>
      </c>
      <c r="X21" s="391">
        <f>PLANTILLA!BD8</f>
        <v>7.1749999999999998</v>
      </c>
      <c r="Y21" s="391">
        <f>PLANTILLA!BE8</f>
        <v>8.9149999999999991</v>
      </c>
      <c r="Z21" s="391">
        <f>PLANTILLA!BF8</f>
        <v>2.95</v>
      </c>
      <c r="AA21" s="391">
        <f>PLANTILLA!BG8</f>
        <v>1.2250000000000001</v>
      </c>
    </row>
  </sheetData>
  <sortState xmlns:xlrd2="http://schemas.microsoft.com/office/spreadsheetml/2017/richdata2" ref="A2:AA21">
    <sortCondition descending="1" ref="I2"/>
  </sortState>
  <conditionalFormatting sqref="I2:I2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1">
    <cfRule type="colorScale" priority="914">
      <colorScale>
        <cfvo type="min"/>
        <cfvo type="max"/>
        <color rgb="FFFCFCFF"/>
        <color rgb="FFF8696B"/>
      </colorScale>
    </cfRule>
  </conditionalFormatting>
  <conditionalFormatting sqref="H2:H21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918">
      <colorScale>
        <cfvo type="min"/>
        <cfvo type="max"/>
        <color rgb="FFFFEF9C"/>
        <color rgb="FF63BE7B"/>
      </colorScale>
    </cfRule>
  </conditionalFormatting>
  <conditionalFormatting sqref="R2:T21">
    <cfRule type="colorScale" priority="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1">
    <cfRule type="colorScale" priority="922">
      <colorScale>
        <cfvo type="min"/>
        <cfvo type="max"/>
        <color rgb="FFFFEF9C"/>
        <color rgb="FF63BE7B"/>
      </colorScale>
    </cfRule>
  </conditionalFormatting>
  <conditionalFormatting sqref="X2:Y21">
    <cfRule type="colorScale" priority="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1">
    <cfRule type="colorScale" priority="9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Q21" sqref="Q21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0" customFormat="1" ht="18.75" x14ac:dyDescent="0.3">
      <c r="A1" s="360" t="s">
        <v>401</v>
      </c>
      <c r="O1" s="360" t="s">
        <v>185</v>
      </c>
      <c r="Q1" s="361">
        <v>33</v>
      </c>
      <c r="R1" s="360" t="s">
        <v>186</v>
      </c>
      <c r="U1" s="362">
        <f ca="1">TODAY()+7*Q1</f>
        <v>44476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2" t="s">
        <v>196</v>
      </c>
      <c r="B3" s="356" t="s">
        <v>48</v>
      </c>
      <c r="C3" s="356" t="s">
        <v>399</v>
      </c>
      <c r="D3" s="356" t="s">
        <v>51</v>
      </c>
      <c r="E3" s="357" t="s">
        <v>400</v>
      </c>
      <c r="F3" s="359" t="s">
        <v>68</v>
      </c>
      <c r="G3" s="359" t="s">
        <v>69</v>
      </c>
      <c r="H3" s="359" t="s">
        <v>70</v>
      </c>
      <c r="I3" s="359" t="s">
        <v>71</v>
      </c>
      <c r="J3" s="359" t="s">
        <v>72</v>
      </c>
      <c r="K3" s="359" t="s">
        <v>73</v>
      </c>
      <c r="L3" s="359" t="s">
        <v>52</v>
      </c>
      <c r="M3" s="358" t="s">
        <v>187</v>
      </c>
      <c r="N3" s="163" t="s">
        <v>188</v>
      </c>
      <c r="O3" s="163" t="s">
        <v>189</v>
      </c>
      <c r="P3" s="163" t="s">
        <v>190</v>
      </c>
      <c r="Q3" s="163" t="s">
        <v>191</v>
      </c>
      <c r="R3" s="163" t="s">
        <v>192</v>
      </c>
      <c r="S3" s="163" t="s">
        <v>193</v>
      </c>
      <c r="T3" s="163" t="s">
        <v>194</v>
      </c>
      <c r="V3" s="162" t="s">
        <v>196</v>
      </c>
      <c r="W3" s="163" t="str">
        <f>B3</f>
        <v>POS</v>
      </c>
      <c r="X3" s="163" t="str">
        <f t="shared" ref="X3:AG4" si="0">C3</f>
        <v>Año</v>
      </c>
      <c r="Y3" s="163" t="str">
        <f t="shared" si="0"/>
        <v>Dias</v>
      </c>
      <c r="Z3" s="163" t="str">
        <f t="shared" si="0"/>
        <v>ESP</v>
      </c>
      <c r="AA3" s="356" t="str">
        <f t="shared" si="0"/>
        <v>Po</v>
      </c>
      <c r="AB3" s="356" t="str">
        <f t="shared" si="0"/>
        <v>De</v>
      </c>
      <c r="AC3" s="356" t="str">
        <f t="shared" si="0"/>
        <v>Cr</v>
      </c>
      <c r="AD3" s="356" t="str">
        <f t="shared" si="0"/>
        <v>Ex</v>
      </c>
      <c r="AE3" s="356" t="str">
        <f t="shared" si="0"/>
        <v>Ps</v>
      </c>
      <c r="AF3" s="356" t="str">
        <f t="shared" si="0"/>
        <v>An</v>
      </c>
      <c r="AG3" s="356" t="str">
        <f t="shared" si="0"/>
        <v>PA</v>
      </c>
      <c r="AH3" s="163" t="s">
        <v>187</v>
      </c>
      <c r="AI3" s="163" t="s">
        <v>188</v>
      </c>
      <c r="AJ3" s="163" t="s">
        <v>189</v>
      </c>
      <c r="AK3" s="163" t="s">
        <v>190</v>
      </c>
      <c r="AL3" s="163" t="s">
        <v>191</v>
      </c>
      <c r="AM3" s="163" t="s">
        <v>192</v>
      </c>
      <c r="AN3" s="163" t="s">
        <v>193</v>
      </c>
      <c r="AO3" s="163" t="s">
        <v>194</v>
      </c>
    </row>
    <row r="4" spans="1:41" x14ac:dyDescent="0.25">
      <c r="A4" s="2" t="str">
        <f>PLANTILLA!D4</f>
        <v>E. Tarrida</v>
      </c>
      <c r="B4" s="351" t="s">
        <v>11</v>
      </c>
      <c r="C4" s="351">
        <f>PLANTILLA!E4</f>
        <v>23</v>
      </c>
      <c r="D4" s="351">
        <f ca="1">PLANTILLA!F4</f>
        <v>79</v>
      </c>
      <c r="E4" s="351" t="str">
        <f>PLANTILLA!G4</f>
        <v>RAP</v>
      </c>
      <c r="F4" s="352">
        <f>PLANTILLA!W4</f>
        <v>13.285714285714286</v>
      </c>
      <c r="G4" s="352">
        <f>PLANTILLA!X4</f>
        <v>6</v>
      </c>
      <c r="H4" s="352">
        <f>PLANTILLA!Y4</f>
        <v>4</v>
      </c>
      <c r="I4" s="352">
        <f>PLANTILLA!Z4</f>
        <v>2</v>
      </c>
      <c r="J4" s="352">
        <f>PLANTILLA!AA4</f>
        <v>4</v>
      </c>
      <c r="K4" s="352">
        <f>PLANTILLA!AB4</f>
        <v>3</v>
      </c>
      <c r="L4" s="352">
        <f>PLANTILLA!AC4</f>
        <v>4</v>
      </c>
      <c r="M4" s="355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4" t="str">
        <f>B4</f>
        <v>POR</v>
      </c>
      <c r="X4" s="164">
        <f ca="1">INT((($Q$1*7)+(C4*16*7)+D4)/7/16)</f>
        <v>25</v>
      </c>
      <c r="Y4" s="164">
        <f ca="1">MOD((($Q$1*7)+(C4*16*7)+D4),7*16)</f>
        <v>86</v>
      </c>
      <c r="Z4" s="354" t="str">
        <f t="shared" si="0"/>
        <v>RAP</v>
      </c>
      <c r="AA4" s="352">
        <f>F4</f>
        <v>13.285714285714286</v>
      </c>
      <c r="AB4" s="352">
        <f t="shared" si="0"/>
        <v>6</v>
      </c>
      <c r="AC4" s="352">
        <f t="shared" si="0"/>
        <v>4</v>
      </c>
      <c r="AD4" s="352">
        <f t="shared" si="0"/>
        <v>2</v>
      </c>
      <c r="AE4" s="352">
        <f t="shared" si="0"/>
        <v>4</v>
      </c>
      <c r="AF4" s="352">
        <f t="shared" si="0"/>
        <v>3</v>
      </c>
      <c r="AG4" s="352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1" t="s">
        <v>11</v>
      </c>
      <c r="C5" s="351">
        <f>PLANTILLA!E5</f>
        <v>26</v>
      </c>
      <c r="D5" s="351">
        <f ca="1">PLANTILLA!F5</f>
        <v>70</v>
      </c>
      <c r="E5" s="351" t="str">
        <f>PLANTILLA!G5</f>
        <v>CAB</v>
      </c>
      <c r="F5" s="352">
        <f>PLANTILLA!W5</f>
        <v>12.5</v>
      </c>
      <c r="G5" s="352">
        <f>PLANTILLA!X5</f>
        <v>2</v>
      </c>
      <c r="H5" s="352">
        <f>PLANTILLA!Y5</f>
        <v>2</v>
      </c>
      <c r="I5" s="352">
        <f>PLANTILLA!Z5</f>
        <v>0</v>
      </c>
      <c r="J5" s="352">
        <f>PLANTILLA!AA5</f>
        <v>0</v>
      </c>
      <c r="K5" s="352">
        <f>PLANTILLA!AB5</f>
        <v>1</v>
      </c>
      <c r="L5" s="352">
        <f>PLANTILLA!AC5</f>
        <v>4</v>
      </c>
      <c r="M5" s="355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4" t="str">
        <f t="shared" ref="W5:W19" si="5">B5</f>
        <v>POR</v>
      </c>
      <c r="X5" s="164">
        <f t="shared" ref="X5:X18" ca="1" si="6">INT((($Q$1*7)+(C5*16*7)+D5)/7/16)</f>
        <v>28</v>
      </c>
      <c r="Y5" s="164">
        <f t="shared" ref="Y5:Y18" ca="1" si="7">MOD((($Q$1*7)+(C5*16*7)+D5),7*16)</f>
        <v>77</v>
      </c>
      <c r="Z5" s="354" t="str">
        <f t="shared" ref="Z5:Z18" si="8">E5</f>
        <v>CAB</v>
      </c>
      <c r="AA5" s="352">
        <f t="shared" ref="AA5:AA19" si="9">F5</f>
        <v>12.5</v>
      </c>
      <c r="AB5" s="352">
        <f t="shared" ref="AB5:AB19" si="10">G5</f>
        <v>2</v>
      </c>
      <c r="AC5" s="352">
        <f t="shared" ref="AC5:AC19" si="11">H5</f>
        <v>2</v>
      </c>
      <c r="AD5" s="352">
        <f t="shared" ref="AD5:AD19" si="12">I5</f>
        <v>0</v>
      </c>
      <c r="AE5" s="352">
        <f t="shared" ref="AE5:AE19" si="13">J5</f>
        <v>0</v>
      </c>
      <c r="AF5" s="352">
        <f t="shared" ref="AF5:AF19" si="14">K5</f>
        <v>1</v>
      </c>
      <c r="AG5" s="352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PLANTILLA!D10</f>
        <v>G. Durand</v>
      </c>
      <c r="B6" s="351" t="s">
        <v>16</v>
      </c>
      <c r="C6" s="351">
        <f>PLANTILLA!E10</f>
        <v>20</v>
      </c>
      <c r="D6" s="351">
        <f ca="1">PLANTILLA!F10</f>
        <v>94</v>
      </c>
      <c r="E6" s="351" t="str">
        <f>PLANTILLA!G10</f>
        <v>IMP</v>
      </c>
      <c r="F6" s="352">
        <f>PLANTILLA!W10</f>
        <v>0</v>
      </c>
      <c r="G6" s="352">
        <f>PLANTILLA!X10</f>
        <v>5</v>
      </c>
      <c r="H6" s="352">
        <f>PLANTILLA!Y10</f>
        <v>9.2857142857142865</v>
      </c>
      <c r="I6" s="352">
        <f>PLANTILLA!Z10</f>
        <v>2</v>
      </c>
      <c r="J6" s="352">
        <f>PLANTILLA!AA10</f>
        <v>3</v>
      </c>
      <c r="K6" s="352">
        <f>PLANTILLA!AB10</f>
        <v>4</v>
      </c>
      <c r="L6" s="352">
        <f>PLANTILLA!AC10</f>
        <v>2</v>
      </c>
      <c r="M6" s="355">
        <f>PLANTILLA!AP10</f>
        <v>0</v>
      </c>
      <c r="N6" s="355">
        <f>PLANTILLA!AQ10</f>
        <v>10</v>
      </c>
      <c r="O6" s="355">
        <f>PLANTILLA!AR10</f>
        <v>28</v>
      </c>
      <c r="P6" s="355">
        <f>PLANTILLA!AS10</f>
        <v>0</v>
      </c>
      <c r="Q6" s="355">
        <f>PLANTILLA!AT10</f>
        <v>2</v>
      </c>
      <c r="R6" s="355">
        <f>PLANTILLA!AU10</f>
        <v>5</v>
      </c>
      <c r="S6" s="355">
        <f>PLANTILLA!AV10</f>
        <v>0</v>
      </c>
      <c r="T6" s="20">
        <f t="shared" si="1"/>
        <v>45</v>
      </c>
      <c r="V6" s="2" t="str">
        <f t="shared" si="4"/>
        <v>G. Durand</v>
      </c>
      <c r="W6" s="164" t="str">
        <f t="shared" si="5"/>
        <v>DEF</v>
      </c>
      <c r="X6" s="164">
        <f t="shared" ca="1" si="6"/>
        <v>22</v>
      </c>
      <c r="Y6" s="164">
        <f t="shared" ca="1" si="7"/>
        <v>101</v>
      </c>
      <c r="Z6" s="354" t="str">
        <f t="shared" si="8"/>
        <v>IMP</v>
      </c>
      <c r="AA6" s="352">
        <f t="shared" si="9"/>
        <v>0</v>
      </c>
      <c r="AB6" s="352">
        <f t="shared" si="10"/>
        <v>5</v>
      </c>
      <c r="AC6" s="352">
        <f>7+(9/36)</f>
        <v>7.25</v>
      </c>
      <c r="AD6" s="352">
        <f t="shared" si="12"/>
        <v>2</v>
      </c>
      <c r="AE6" s="352">
        <f t="shared" si="13"/>
        <v>3</v>
      </c>
      <c r="AF6" s="352">
        <f t="shared" si="14"/>
        <v>4</v>
      </c>
      <c r="AG6" s="352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PLANTILLA!D11</f>
        <v>G. Gasqué</v>
      </c>
      <c r="B7" s="351" t="s">
        <v>16</v>
      </c>
      <c r="C7" s="351">
        <f>PLANTILLA!E11</f>
        <v>18</v>
      </c>
      <c r="D7" s="351">
        <f ca="1">PLANTILLA!F11</f>
        <v>29</v>
      </c>
      <c r="E7" s="351" t="str">
        <f>PLANTILLA!G11</f>
        <v>IMP</v>
      </c>
      <c r="F7" s="352">
        <f>PLANTILLA!W11</f>
        <v>0</v>
      </c>
      <c r="G7" s="352">
        <f>PLANTILLA!X11</f>
        <v>2</v>
      </c>
      <c r="H7" s="352">
        <f>PLANTILLA!Y11</f>
        <v>5</v>
      </c>
      <c r="I7" s="352">
        <f>PLANTILLA!Z11</f>
        <v>5</v>
      </c>
      <c r="J7" s="352">
        <f>PLANTILLA!AA11</f>
        <v>3</v>
      </c>
      <c r="K7" s="352">
        <f>PLANTILLA!AB11</f>
        <v>3</v>
      </c>
      <c r="L7" s="352">
        <f>PLANTILLA!AC11</f>
        <v>2</v>
      </c>
      <c r="M7" s="355">
        <f>PLANTILLA!AP11</f>
        <v>0</v>
      </c>
      <c r="N7" s="355">
        <f>PLANTILLA!AQ11</f>
        <v>0</v>
      </c>
      <c r="O7" s="355">
        <f>PLANTILLA!AR11</f>
        <v>9</v>
      </c>
      <c r="P7" s="355">
        <f>PLANTILLA!AS11</f>
        <v>5.5</v>
      </c>
      <c r="Q7" s="355">
        <f>PLANTILLA!AT11</f>
        <v>2</v>
      </c>
      <c r="R7" s="355">
        <f>PLANTILLA!AU11</f>
        <v>2</v>
      </c>
      <c r="S7" s="355">
        <f>PLANTILLA!AV11</f>
        <v>0</v>
      </c>
      <c r="T7" s="20">
        <f t="shared" si="1"/>
        <v>18.5</v>
      </c>
      <c r="V7" s="2" t="str">
        <f t="shared" si="4"/>
        <v>G. Gasqué</v>
      </c>
      <c r="W7" s="164" t="str">
        <f t="shared" si="5"/>
        <v>DEF</v>
      </c>
      <c r="X7" s="164">
        <f t="shared" ca="1" si="6"/>
        <v>20</v>
      </c>
      <c r="Y7" s="164">
        <f t="shared" ca="1" si="7"/>
        <v>36</v>
      </c>
      <c r="Z7" s="354" t="str">
        <f t="shared" si="8"/>
        <v>IMP</v>
      </c>
      <c r="AA7" s="352">
        <f t="shared" si="9"/>
        <v>0</v>
      </c>
      <c r="AB7" s="352">
        <f t="shared" si="10"/>
        <v>2</v>
      </c>
      <c r="AC7" s="352">
        <f>7+(9/36)</f>
        <v>7.25</v>
      </c>
      <c r="AD7" s="352">
        <f t="shared" si="12"/>
        <v>5</v>
      </c>
      <c r="AE7" s="352">
        <f t="shared" si="13"/>
        <v>3</v>
      </c>
      <c r="AF7" s="352">
        <f t="shared" si="14"/>
        <v>3</v>
      </c>
      <c r="AG7" s="352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5.5</v>
      </c>
      <c r="AL7" s="2">
        <f t="shared" si="20"/>
        <v>2</v>
      </c>
      <c r="AM7" s="2">
        <f t="shared" si="21"/>
        <v>2</v>
      </c>
      <c r="AN7" s="2">
        <f t="shared" si="22"/>
        <v>0</v>
      </c>
      <c r="AO7" s="20">
        <f t="shared" si="23"/>
        <v>29</v>
      </c>
    </row>
    <row r="8" spans="1:41" x14ac:dyDescent="0.25">
      <c r="A8" s="2"/>
      <c r="B8" s="351" t="s">
        <v>16</v>
      </c>
      <c r="C8" s="351"/>
      <c r="D8" s="351"/>
      <c r="E8" s="351"/>
      <c r="F8" s="352">
        <f>PLANTILLA!W8</f>
        <v>0</v>
      </c>
      <c r="G8" s="352">
        <v>2</v>
      </c>
      <c r="H8" s="352">
        <v>2</v>
      </c>
      <c r="I8" s="352">
        <v>2</v>
      </c>
      <c r="J8" s="352">
        <v>2</v>
      </c>
      <c r="K8" s="352">
        <v>2</v>
      </c>
      <c r="L8" s="352">
        <v>2</v>
      </c>
      <c r="M8" s="355">
        <f>PLANTILLA!AP8</f>
        <v>0</v>
      </c>
      <c r="N8" s="355">
        <v>0</v>
      </c>
      <c r="O8" s="355">
        <v>0</v>
      </c>
      <c r="P8" s="355">
        <f>PLANTILLA!AS8</f>
        <v>0</v>
      </c>
      <c r="Q8" s="355">
        <v>0</v>
      </c>
      <c r="R8" s="355">
        <v>0</v>
      </c>
      <c r="S8" s="355">
        <v>0</v>
      </c>
      <c r="T8" s="20">
        <f t="shared" si="1"/>
        <v>0</v>
      </c>
      <c r="V8" s="2"/>
      <c r="W8" s="164" t="str">
        <f t="shared" si="5"/>
        <v>DEF</v>
      </c>
      <c r="X8" s="164"/>
      <c r="Y8" s="164"/>
      <c r="Z8" s="354"/>
      <c r="AA8" s="352">
        <f t="shared" si="9"/>
        <v>0</v>
      </c>
      <c r="AB8" s="352">
        <f t="shared" si="10"/>
        <v>2</v>
      </c>
      <c r="AC8" s="352">
        <f t="shared" si="11"/>
        <v>2</v>
      </c>
      <c r="AD8" s="352">
        <f t="shared" si="12"/>
        <v>2</v>
      </c>
      <c r="AE8" s="352">
        <f t="shared" si="13"/>
        <v>2</v>
      </c>
      <c r="AF8" s="352">
        <f t="shared" si="14"/>
        <v>2</v>
      </c>
      <c r="AG8" s="352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PLANTILLA!D18</f>
        <v>A. Balsebre</v>
      </c>
      <c r="B9" s="351" t="s">
        <v>398</v>
      </c>
      <c r="C9" s="351">
        <f>PLANTILLA!E18</f>
        <v>19</v>
      </c>
      <c r="D9" s="351">
        <f ca="1">PLANTILLA!F18</f>
        <v>45</v>
      </c>
      <c r="E9" s="351"/>
      <c r="F9" s="352">
        <f>PLANTILLA!W18</f>
        <v>0</v>
      </c>
      <c r="G9" s="352">
        <f>PLANTILLA!X18</f>
        <v>4</v>
      </c>
      <c r="H9" s="352">
        <f>PLANTILLA!Y18</f>
        <v>12.111111111111111</v>
      </c>
      <c r="I9" s="352">
        <f>PLANTILLA!Z18</f>
        <v>2</v>
      </c>
      <c r="J9" s="352">
        <f>PLANTILLA!AA18</f>
        <v>5</v>
      </c>
      <c r="K9" s="352">
        <f>PLANTILLA!AB18</f>
        <v>3.3333333333333335</v>
      </c>
      <c r="L9" s="352">
        <f>PLANTILLA!AC18</f>
        <v>4</v>
      </c>
      <c r="M9" s="355">
        <f>PLANTILLA!AP18</f>
        <v>0</v>
      </c>
      <c r="N9" s="355">
        <f>PLANTILLA!AQ18</f>
        <v>6</v>
      </c>
      <c r="O9" s="355">
        <f>PLANTILLA!AR18</f>
        <v>49</v>
      </c>
      <c r="P9" s="355">
        <f>PLANTILLA!AS18</f>
        <v>0</v>
      </c>
      <c r="Q9" s="355">
        <f>PLANTILLA!AT18</f>
        <v>7</v>
      </c>
      <c r="R9" s="355">
        <f>PLANTILLA!AU18</f>
        <v>3</v>
      </c>
      <c r="S9" s="355">
        <f>PLANTILLA!AV18</f>
        <v>2</v>
      </c>
      <c r="T9" s="20">
        <f t="shared" si="1"/>
        <v>67</v>
      </c>
      <c r="V9" s="2" t="str">
        <f t="shared" si="4"/>
        <v>A. Balsebre</v>
      </c>
      <c r="W9" s="164" t="str">
        <f t="shared" si="5"/>
        <v>INNER</v>
      </c>
      <c r="X9" s="164">
        <f t="shared" ca="1" si="6"/>
        <v>21</v>
      </c>
      <c r="Y9" s="164">
        <f t="shared" ca="1" si="7"/>
        <v>52</v>
      </c>
      <c r="Z9" s="354"/>
      <c r="AA9" s="352">
        <f t="shared" si="9"/>
        <v>0</v>
      </c>
      <c r="AB9" s="352">
        <f t="shared" si="10"/>
        <v>4</v>
      </c>
      <c r="AC9" s="352">
        <f>13+1/9</f>
        <v>13.111111111111111</v>
      </c>
      <c r="AD9" s="352">
        <f t="shared" si="12"/>
        <v>2</v>
      </c>
      <c r="AE9" s="352">
        <f t="shared" si="13"/>
        <v>5</v>
      </c>
      <c r="AF9" s="352">
        <f t="shared" si="14"/>
        <v>3.3333333333333335</v>
      </c>
      <c r="AG9" s="352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82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100</v>
      </c>
    </row>
    <row r="10" spans="1:41" x14ac:dyDescent="0.25">
      <c r="A10" s="2" t="str">
        <f>PLANTILLA!D16</f>
        <v>T. Lebon</v>
      </c>
      <c r="B10" s="351" t="s">
        <v>398</v>
      </c>
      <c r="C10" s="351">
        <f>PLANTILLA!E16</f>
        <v>20</v>
      </c>
      <c r="D10" s="351">
        <f ca="1">PLANTILLA!F16</f>
        <v>47</v>
      </c>
      <c r="E10" s="351" t="str">
        <f>PLANTILLA!G16</f>
        <v>TEC</v>
      </c>
      <c r="F10" s="352">
        <f>PLANTILLA!W16</f>
        <v>0</v>
      </c>
      <c r="G10" s="352">
        <f>PLANTILLA!X16</f>
        <v>4</v>
      </c>
      <c r="H10" s="352">
        <f>PLANTILLA!Y16</f>
        <v>11.375</v>
      </c>
      <c r="I10" s="352">
        <f>PLANTILLA!Z16</f>
        <v>5</v>
      </c>
      <c r="J10" s="352">
        <f>PLANTILLA!AA16</f>
        <v>4.333333333333333</v>
      </c>
      <c r="K10" s="352">
        <f>PLANTILLA!AB16</f>
        <v>6</v>
      </c>
      <c r="L10" s="352">
        <f>PLANTILLA!AC16</f>
        <v>2</v>
      </c>
      <c r="M10" s="355">
        <f>PLANTILLA!AP16</f>
        <v>0</v>
      </c>
      <c r="N10" s="355">
        <f>PLANTILLA!AQ16</f>
        <v>6</v>
      </c>
      <c r="O10" s="355">
        <f>PLANTILLA!AR16</f>
        <v>43</v>
      </c>
      <c r="P10" s="355">
        <f>PLANTILLA!AS16</f>
        <v>5.5</v>
      </c>
      <c r="Q10" s="355">
        <f>PLANTILLA!AT16</f>
        <v>5</v>
      </c>
      <c r="R10" s="355">
        <f>PLANTILLA!AU16</f>
        <v>12</v>
      </c>
      <c r="S10" s="355">
        <f>PLANTILLA!AV16</f>
        <v>0</v>
      </c>
      <c r="T10" s="20">
        <f t="shared" si="1"/>
        <v>71.5</v>
      </c>
      <c r="V10" s="2" t="str">
        <f t="shared" si="4"/>
        <v>T. Lebon</v>
      </c>
      <c r="W10" s="164" t="str">
        <f t="shared" si="5"/>
        <v>INNER</v>
      </c>
      <c r="X10" s="164">
        <f t="shared" ca="1" si="6"/>
        <v>22</v>
      </c>
      <c r="Y10" s="164">
        <f t="shared" ca="1" si="7"/>
        <v>54</v>
      </c>
      <c r="Z10" s="354" t="str">
        <f t="shared" si="8"/>
        <v>TEC</v>
      </c>
      <c r="AA10" s="352">
        <f t="shared" si="9"/>
        <v>0</v>
      </c>
      <c r="AB10" s="352">
        <f t="shared" si="10"/>
        <v>4</v>
      </c>
      <c r="AC10" s="352">
        <f>12+7/9</f>
        <v>12.777777777777779</v>
      </c>
      <c r="AD10" s="352">
        <f t="shared" si="12"/>
        <v>5</v>
      </c>
      <c r="AE10" s="352">
        <f t="shared" si="13"/>
        <v>4.333333333333333</v>
      </c>
      <c r="AF10" s="352">
        <f t="shared" si="14"/>
        <v>6</v>
      </c>
      <c r="AG10" s="352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PLANTILLA!D14</f>
        <v>B. Corominola</v>
      </c>
      <c r="B11" s="351" t="s">
        <v>398</v>
      </c>
      <c r="C11" s="351">
        <f>PLANTILLA!E14</f>
        <v>21</v>
      </c>
      <c r="D11" s="351">
        <f ca="1">PLANTILLA!F14</f>
        <v>54</v>
      </c>
      <c r="E11" s="351" t="str">
        <f>PLANTILLA!G14</f>
        <v>RAP</v>
      </c>
      <c r="F11" s="352">
        <f>PLANTILLA!W14</f>
        <v>0</v>
      </c>
      <c r="G11" s="352">
        <f>PLANTILLA!X14</f>
        <v>6</v>
      </c>
      <c r="H11" s="352">
        <f>PLANTILLA!Y14</f>
        <v>10.857142857142858</v>
      </c>
      <c r="I11" s="352">
        <f>PLANTILLA!Z14</f>
        <v>2</v>
      </c>
      <c r="J11" s="352">
        <f>PLANTILLA!AA14</f>
        <v>6.25</v>
      </c>
      <c r="K11" s="352">
        <f>PLANTILLA!AB14</f>
        <v>7</v>
      </c>
      <c r="L11" s="352">
        <f>PLANTILLA!AC14</f>
        <v>1</v>
      </c>
      <c r="M11" s="355">
        <f>PLANTILLA!AP14</f>
        <v>0</v>
      </c>
      <c r="N11" s="355">
        <f>PLANTILLA!AQ14</f>
        <v>14</v>
      </c>
      <c r="O11" s="355">
        <f>PLANTILLA!AR14</f>
        <v>39</v>
      </c>
      <c r="P11" s="355">
        <f>PLANTILLA!AS14</f>
        <v>0</v>
      </c>
      <c r="Q11" s="355">
        <f>PLANTILLA!AT14</f>
        <v>11</v>
      </c>
      <c r="R11" s="355">
        <f>PLANTILLA!AU14</f>
        <v>15</v>
      </c>
      <c r="S11" s="355">
        <f>PLANTILLA!AV14</f>
        <v>-1</v>
      </c>
      <c r="T11" s="20">
        <f t="shared" si="1"/>
        <v>78</v>
      </c>
      <c r="V11" s="2" t="str">
        <f t="shared" si="4"/>
        <v>B. Corominola</v>
      </c>
      <c r="W11" s="164" t="str">
        <f t="shared" si="5"/>
        <v>INNER</v>
      </c>
      <c r="X11" s="164">
        <f t="shared" ca="1" si="6"/>
        <v>23</v>
      </c>
      <c r="Y11" s="164">
        <f t="shared" ca="1" si="7"/>
        <v>61</v>
      </c>
      <c r="Z11" s="354" t="str">
        <f t="shared" si="8"/>
        <v>RAP</v>
      </c>
      <c r="AA11" s="352">
        <f t="shared" si="9"/>
        <v>0</v>
      </c>
      <c r="AB11" s="352">
        <f t="shared" si="10"/>
        <v>6</v>
      </c>
      <c r="AC11" s="352">
        <f>12+1/9</f>
        <v>12.111111111111111</v>
      </c>
      <c r="AD11" s="352">
        <f t="shared" si="12"/>
        <v>2</v>
      </c>
      <c r="AE11" s="352">
        <f t="shared" si="13"/>
        <v>6.25</v>
      </c>
      <c r="AF11" s="352">
        <f t="shared" si="14"/>
        <v>7</v>
      </c>
      <c r="AG11" s="352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72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111</v>
      </c>
    </row>
    <row r="12" spans="1:41" x14ac:dyDescent="0.25">
      <c r="A12" s="2" t="str">
        <f>PLANTILLA!D15</f>
        <v>T. Orozco</v>
      </c>
      <c r="B12" s="351" t="s">
        <v>398</v>
      </c>
      <c r="C12" s="351">
        <f>PLANTILLA!E15</f>
        <v>21</v>
      </c>
      <c r="D12" s="351">
        <f ca="1">PLANTILLA!F15</f>
        <v>87</v>
      </c>
      <c r="E12" s="351" t="str">
        <f>PLANTILLA!G15</f>
        <v>CAB</v>
      </c>
      <c r="F12" s="352">
        <f>PLANTILLA!W15</f>
        <v>1</v>
      </c>
      <c r="G12" s="352">
        <f>PLANTILLA!X15</f>
        <v>6</v>
      </c>
      <c r="H12" s="352">
        <f>PLANTILLA!Y15</f>
        <v>11.125</v>
      </c>
      <c r="I12" s="352">
        <f>PLANTILLA!Z15</f>
        <v>3</v>
      </c>
      <c r="J12" s="352">
        <f>PLANTILLA!AA15</f>
        <v>5</v>
      </c>
      <c r="K12" s="352">
        <f>PLANTILLA!AB15</f>
        <v>6.5</v>
      </c>
      <c r="L12" s="352">
        <f>PLANTILLA!AC15</f>
        <v>2</v>
      </c>
      <c r="M12" s="355">
        <f>PLANTILLA!AP15</f>
        <v>0</v>
      </c>
      <c r="N12" s="355">
        <f>PLANTILLA!AQ15</f>
        <v>14</v>
      </c>
      <c r="O12" s="355">
        <f>PLANTILLA!AR15</f>
        <v>41</v>
      </c>
      <c r="P12" s="355">
        <f>PLANTILLA!AS15</f>
        <v>1.5</v>
      </c>
      <c r="Q12" s="355">
        <f>PLANTILLA!AT15</f>
        <v>7</v>
      </c>
      <c r="R12" s="355">
        <f>PLANTILLA!AU15</f>
        <v>14</v>
      </c>
      <c r="S12" s="355">
        <f>PLANTILLA!AV15</f>
        <v>0</v>
      </c>
      <c r="T12" s="20">
        <f t="shared" si="1"/>
        <v>77.5</v>
      </c>
      <c r="V12" s="2" t="str">
        <f t="shared" si="4"/>
        <v>T. Orozco</v>
      </c>
      <c r="W12" s="164" t="str">
        <f t="shared" si="5"/>
        <v>INNER</v>
      </c>
      <c r="X12" s="164">
        <f t="shared" ca="1" si="6"/>
        <v>23</v>
      </c>
      <c r="Y12" s="164">
        <f t="shared" ca="1" si="7"/>
        <v>94</v>
      </c>
      <c r="Z12" s="354" t="str">
        <f t="shared" si="8"/>
        <v>CAB</v>
      </c>
      <c r="AA12" s="352">
        <f t="shared" si="9"/>
        <v>1</v>
      </c>
      <c r="AB12" s="352">
        <f t="shared" si="10"/>
        <v>6</v>
      </c>
      <c r="AC12" s="352">
        <f>12+(2/8)</f>
        <v>12.25</v>
      </c>
      <c r="AD12" s="352">
        <f t="shared" si="12"/>
        <v>3</v>
      </c>
      <c r="AE12" s="352">
        <f t="shared" si="13"/>
        <v>5</v>
      </c>
      <c r="AF12" s="352">
        <f t="shared" si="14"/>
        <v>6.5</v>
      </c>
      <c r="AG12" s="352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 t="str">
        <f>PLANTILLA!D17</f>
        <v>A. Retegui</v>
      </c>
      <c r="B13" s="351" t="s">
        <v>398</v>
      </c>
      <c r="C13" s="351">
        <f>PLANTILLA!E17</f>
        <v>18</v>
      </c>
      <c r="D13" s="395">
        <f ca="1">PLANTILLA!F17</f>
        <v>84</v>
      </c>
      <c r="E13" s="351"/>
      <c r="F13" s="352">
        <f>PLANTILLA!W17</f>
        <v>0</v>
      </c>
      <c r="G13" s="352">
        <f>PLANTILLA!X17</f>
        <v>4</v>
      </c>
      <c r="H13" s="352">
        <f>PLANTILLA!Y17</f>
        <v>11.875</v>
      </c>
      <c r="I13" s="352">
        <f>PLANTILLA!Z17</f>
        <v>5</v>
      </c>
      <c r="J13" s="352">
        <f>PLANTILLA!AA17</f>
        <v>5</v>
      </c>
      <c r="K13" s="352">
        <f>PLANTILLA!AB17</f>
        <v>4</v>
      </c>
      <c r="L13" s="352">
        <f>PLANTILLA!AC17</f>
        <v>5</v>
      </c>
      <c r="M13" s="355">
        <f>PLANTILLA!AP17</f>
        <v>0</v>
      </c>
      <c r="N13" s="355">
        <f>PLANTILLA!AQ17</f>
        <v>6</v>
      </c>
      <c r="O13" s="355">
        <f>PLANTILLA!AR17</f>
        <v>47</v>
      </c>
      <c r="P13" s="355">
        <f>PLANTILLA!AS17</f>
        <v>5.5</v>
      </c>
      <c r="Q13" s="355">
        <f>PLANTILLA!AT17</f>
        <v>7</v>
      </c>
      <c r="R13" s="355">
        <f>PLANTILLA!AU17</f>
        <v>5</v>
      </c>
      <c r="S13" s="355">
        <f>PLANTILLA!AV17</f>
        <v>3</v>
      </c>
      <c r="T13" s="20">
        <f t="shared" si="1"/>
        <v>73.5</v>
      </c>
      <c r="V13" s="2" t="str">
        <f t="shared" si="4"/>
        <v>A. Retegui</v>
      </c>
      <c r="W13" s="164" t="str">
        <f t="shared" si="5"/>
        <v>INNER</v>
      </c>
      <c r="X13" s="164">
        <f t="shared" ref="X13" ca="1" si="24">INT((($Q$1*7)+(C13*16*7)+D13)/7/16)</f>
        <v>20</v>
      </c>
      <c r="Y13" s="164">
        <f t="shared" ref="Y13" ca="1" si="25">MOD((($Q$1*7)+(C13*16*7)+D13),7*16)</f>
        <v>91</v>
      </c>
      <c r="Z13" s="354"/>
      <c r="AA13" s="352">
        <f t="shared" si="9"/>
        <v>0</v>
      </c>
      <c r="AB13" s="352">
        <f t="shared" si="10"/>
        <v>4</v>
      </c>
      <c r="AC13" s="352">
        <f>12+8/9</f>
        <v>12.888888888888889</v>
      </c>
      <c r="AD13" s="352">
        <f t="shared" si="12"/>
        <v>5</v>
      </c>
      <c r="AE13" s="352">
        <f t="shared" si="13"/>
        <v>5</v>
      </c>
      <c r="AF13" s="352">
        <f t="shared" si="14"/>
        <v>4</v>
      </c>
      <c r="AG13" s="352">
        <f t="shared" si="15"/>
        <v>5</v>
      </c>
      <c r="AH13" s="2">
        <f t="shared" si="16"/>
        <v>0</v>
      </c>
      <c r="AI13" s="2">
        <f t="shared" si="17"/>
        <v>6</v>
      </c>
      <c r="AJ13" s="2">
        <f t="shared" si="18"/>
        <v>47</v>
      </c>
      <c r="AK13" s="2">
        <f t="shared" si="19"/>
        <v>5.5</v>
      </c>
      <c r="AL13" s="2">
        <f t="shared" si="20"/>
        <v>7</v>
      </c>
      <c r="AM13" s="2">
        <f t="shared" si="21"/>
        <v>5</v>
      </c>
      <c r="AN13" s="2">
        <f t="shared" si="22"/>
        <v>3</v>
      </c>
      <c r="AO13" s="20">
        <f t="shared" si="23"/>
        <v>73.5</v>
      </c>
    </row>
    <row r="14" spans="1:41" x14ac:dyDescent="0.25">
      <c r="A14" s="2" t="str">
        <f>PLANTILLA!D19</f>
        <v>L. Grière</v>
      </c>
      <c r="B14" s="351" t="s">
        <v>19</v>
      </c>
      <c r="C14" s="351">
        <f>PLANTILLA!E19</f>
        <v>19</v>
      </c>
      <c r="D14" s="351">
        <f ca="1">PLANTILLA!F19</f>
        <v>66</v>
      </c>
      <c r="E14" s="351" t="str">
        <f>PLANTILLA!G19</f>
        <v>TEC</v>
      </c>
      <c r="F14" s="352">
        <f>PLANTILLA!W19</f>
        <v>0</v>
      </c>
      <c r="G14" s="352">
        <f>PLANTILLA!X19</f>
        <v>4</v>
      </c>
      <c r="H14" s="352">
        <f>PLANTILLA!Y19</f>
        <v>10.285714285714286</v>
      </c>
      <c r="I14" s="352">
        <f>PLANTILLA!Z19</f>
        <v>6</v>
      </c>
      <c r="J14" s="352">
        <f>PLANTILLA!AA19</f>
        <v>2</v>
      </c>
      <c r="K14" s="352">
        <f>PLANTILLA!AB19</f>
        <v>5</v>
      </c>
      <c r="L14" s="352">
        <f>PLANTILLA!AC19</f>
        <v>0</v>
      </c>
      <c r="M14" s="355">
        <f>PLANTILLA!AP19</f>
        <v>0</v>
      </c>
      <c r="N14" s="355">
        <f>PLANTILLA!AQ19</f>
        <v>6</v>
      </c>
      <c r="O14" s="355">
        <f>PLANTILLA!AR19</f>
        <v>35</v>
      </c>
      <c r="P14" s="355">
        <f>PLANTILLA!AS19</f>
        <v>8.5</v>
      </c>
      <c r="Q14" s="355">
        <f>PLANTILLA!AT19</f>
        <v>0</v>
      </c>
      <c r="R14" s="355">
        <f>PLANTILLA!AU19</f>
        <v>8</v>
      </c>
      <c r="S14" s="355">
        <f>PLANTILLA!AV19</f>
        <v>-2</v>
      </c>
      <c r="T14" s="20">
        <f t="shared" si="1"/>
        <v>55.5</v>
      </c>
      <c r="V14" s="2" t="str">
        <f t="shared" si="4"/>
        <v>L. Grière</v>
      </c>
      <c r="W14" s="164" t="str">
        <f t="shared" si="5"/>
        <v>EXT</v>
      </c>
      <c r="X14" s="164">
        <f t="shared" ca="1" si="6"/>
        <v>21</v>
      </c>
      <c r="Y14" s="164">
        <f t="shared" ca="1" si="7"/>
        <v>73</v>
      </c>
      <c r="Z14" s="354" t="str">
        <f t="shared" si="8"/>
        <v>TEC</v>
      </c>
      <c r="AA14" s="352">
        <f t="shared" si="9"/>
        <v>0</v>
      </c>
      <c r="AB14" s="352">
        <f t="shared" si="10"/>
        <v>4</v>
      </c>
      <c r="AC14" s="352">
        <f>10+(5/13)</f>
        <v>10.384615384615385</v>
      </c>
      <c r="AD14" s="352">
        <f t="shared" si="12"/>
        <v>6</v>
      </c>
      <c r="AE14" s="352">
        <f t="shared" si="13"/>
        <v>2</v>
      </c>
      <c r="AF14" s="352">
        <f t="shared" si="14"/>
        <v>5</v>
      </c>
      <c r="AG14" s="352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51.5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72</v>
      </c>
    </row>
    <row r="15" spans="1:41" x14ac:dyDescent="0.25">
      <c r="A15" s="2" t="str">
        <f>PLANTILLA!D7</f>
        <v>D. Juliol</v>
      </c>
      <c r="B15" s="351" t="s">
        <v>19</v>
      </c>
      <c r="C15" s="351">
        <f>PLANTILLA!E7</f>
        <v>20</v>
      </c>
      <c r="D15" s="351">
        <f ca="1">PLANTILLA!F7</f>
        <v>24</v>
      </c>
      <c r="E15" s="351"/>
      <c r="F15" s="352">
        <f>PLANTILLA!W7</f>
        <v>1</v>
      </c>
      <c r="G15" s="352">
        <f>PLANTILLA!X7</f>
        <v>5</v>
      </c>
      <c r="H15" s="352">
        <f>PLANTILLA!Y7</f>
        <v>7.2</v>
      </c>
      <c r="I15" s="352">
        <f>PLANTILLA!Z7</f>
        <v>5</v>
      </c>
      <c r="J15" s="352">
        <f>PLANTILLA!AA7</f>
        <v>2</v>
      </c>
      <c r="K15" s="352">
        <f>PLANTILLA!AB7</f>
        <v>6.25</v>
      </c>
      <c r="L15" s="352">
        <f>PLANTILLA!AC7</f>
        <v>1</v>
      </c>
      <c r="M15" s="355">
        <f>PLANTILLA!AP7</f>
        <v>0</v>
      </c>
      <c r="N15" s="355">
        <f>PLANTILLA!AQ7</f>
        <v>10</v>
      </c>
      <c r="O15" s="355">
        <f>PLANTILLA!AR7</f>
        <v>17</v>
      </c>
      <c r="P15" s="355">
        <f>PLANTILLA!AS7</f>
        <v>5.5</v>
      </c>
      <c r="Q15" s="355">
        <f>PLANTILLA!AT7</f>
        <v>0</v>
      </c>
      <c r="R15" s="355">
        <f>PLANTILLA!AU7</f>
        <v>13</v>
      </c>
      <c r="S15" s="355">
        <f>PLANTILLA!AV7</f>
        <v>-1</v>
      </c>
      <c r="T15" s="20">
        <f t="shared" si="1"/>
        <v>44.5</v>
      </c>
      <c r="V15" s="2" t="str">
        <f t="shared" si="4"/>
        <v>D. Juliol</v>
      </c>
      <c r="W15" s="164" t="str">
        <f t="shared" si="5"/>
        <v>EXT</v>
      </c>
      <c r="X15" s="164">
        <f t="shared" ca="1" si="6"/>
        <v>22</v>
      </c>
      <c r="Y15" s="164">
        <f t="shared" ca="1" si="7"/>
        <v>31</v>
      </c>
      <c r="Z15" s="354"/>
      <c r="AA15" s="352">
        <f t="shared" si="9"/>
        <v>1</v>
      </c>
      <c r="AB15" s="352">
        <f t="shared" si="10"/>
        <v>5</v>
      </c>
      <c r="AC15" s="352">
        <f>9+5/11</f>
        <v>9.454545454545455</v>
      </c>
      <c r="AD15" s="352">
        <f t="shared" si="12"/>
        <v>5</v>
      </c>
      <c r="AE15" s="352">
        <f t="shared" si="13"/>
        <v>2</v>
      </c>
      <c r="AF15" s="352">
        <f t="shared" si="14"/>
        <v>6.25</v>
      </c>
      <c r="AG15" s="352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33.5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61</v>
      </c>
    </row>
    <row r="16" spans="1:41" x14ac:dyDescent="0.25">
      <c r="A16" s="2" t="str">
        <f>PLANTILLA!D22</f>
        <v>A. Baldoví</v>
      </c>
      <c r="B16" s="351" t="s">
        <v>13</v>
      </c>
      <c r="C16" s="351">
        <f>PLANTILLA!E22</f>
        <v>20</v>
      </c>
      <c r="D16" s="351">
        <f ca="1">PLANTILLA!F22</f>
        <v>19</v>
      </c>
      <c r="E16" s="351" t="str">
        <f>PLANTILLA!G22</f>
        <v>RAP</v>
      </c>
      <c r="F16" s="352">
        <f>PLANTILLA!W22</f>
        <v>0</v>
      </c>
      <c r="G16" s="352">
        <f>PLANTILLA!X22</f>
        <v>4</v>
      </c>
      <c r="H16" s="352">
        <f>PLANTILLA!Y22</f>
        <v>10.714285714285714</v>
      </c>
      <c r="I16" s="352">
        <f>PLANTILLA!Z22</f>
        <v>6</v>
      </c>
      <c r="J16" s="352">
        <f>PLANTILLA!AA22</f>
        <v>5</v>
      </c>
      <c r="K16" s="352">
        <f>PLANTILLA!AB22</f>
        <v>9.1666666666666661</v>
      </c>
      <c r="L16" s="352">
        <f>PLANTILLA!AC22</f>
        <v>3</v>
      </c>
      <c r="M16" s="355">
        <f>PLANTILLA!AP22</f>
        <v>0</v>
      </c>
      <c r="N16" s="355">
        <f>PLANTILLA!AQ22</f>
        <v>6</v>
      </c>
      <c r="O16" s="355">
        <f>PLANTILLA!AR22</f>
        <v>38</v>
      </c>
      <c r="P16" s="355">
        <f>PLANTILLA!AS22</f>
        <v>8.5</v>
      </c>
      <c r="Q16" s="355">
        <f>PLANTILLA!AT22</f>
        <v>7</v>
      </c>
      <c r="R16" s="355">
        <f>PLANTILLA!AU22</f>
        <v>28</v>
      </c>
      <c r="S16" s="355">
        <f>PLANTILLA!AV22</f>
        <v>1</v>
      </c>
      <c r="T16" s="20">
        <f t="shared" si="1"/>
        <v>88.5</v>
      </c>
      <c r="V16" s="2" t="str">
        <f t="shared" si="4"/>
        <v>A. Baldoví</v>
      </c>
      <c r="W16" s="164" t="str">
        <f t="shared" si="5"/>
        <v>DAV</v>
      </c>
      <c r="X16" s="164">
        <f t="shared" ca="1" si="6"/>
        <v>22</v>
      </c>
      <c r="Y16" s="164">
        <f t="shared" ca="1" si="7"/>
        <v>26</v>
      </c>
      <c r="Z16" s="354" t="str">
        <f t="shared" si="8"/>
        <v>RAP</v>
      </c>
      <c r="AA16" s="352">
        <f t="shared" si="9"/>
        <v>0</v>
      </c>
      <c r="AB16" s="352">
        <f t="shared" si="10"/>
        <v>4</v>
      </c>
      <c r="AC16" s="352">
        <v>12</v>
      </c>
      <c r="AD16" s="352">
        <f t="shared" si="12"/>
        <v>6</v>
      </c>
      <c r="AE16" s="352">
        <f t="shared" si="13"/>
        <v>5</v>
      </c>
      <c r="AF16" s="352">
        <f t="shared" si="14"/>
        <v>9.1666666666666661</v>
      </c>
      <c r="AG16" s="352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71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121.5</v>
      </c>
    </row>
    <row r="17" spans="1:41" x14ac:dyDescent="0.25">
      <c r="A17" s="2" t="str">
        <f>PLANTILLA!D23</f>
        <v>R. Abrain</v>
      </c>
      <c r="B17" s="351" t="s">
        <v>13</v>
      </c>
      <c r="C17" s="351">
        <f>PLANTILLA!E23</f>
        <v>21</v>
      </c>
      <c r="D17" s="351">
        <f ca="1">PLANTILLA!F23</f>
        <v>4</v>
      </c>
      <c r="E17" s="351" t="str">
        <f>PLANTILLA!G23</f>
        <v>IMP</v>
      </c>
      <c r="F17" s="352">
        <f>PLANTILLA!W23</f>
        <v>0</v>
      </c>
      <c r="G17" s="352">
        <f>PLANTILLA!X23</f>
        <v>5</v>
      </c>
      <c r="H17" s="352">
        <f>PLANTILLA!Y23</f>
        <v>7.9</v>
      </c>
      <c r="I17" s="352">
        <f>PLANTILLA!Z23</f>
        <v>4</v>
      </c>
      <c r="J17" s="352">
        <f>PLANTILLA!AA23</f>
        <v>4.333333333333333</v>
      </c>
      <c r="K17" s="352">
        <f>PLANTILLA!AB23</f>
        <v>9</v>
      </c>
      <c r="L17" s="352">
        <f>PLANTILLA!AC23</f>
        <v>1</v>
      </c>
      <c r="M17" s="355">
        <f>PLANTILLA!AP23</f>
        <v>0</v>
      </c>
      <c r="N17" s="355">
        <f>PLANTILLA!AQ23</f>
        <v>10</v>
      </c>
      <c r="O17" s="355">
        <f>PLANTILLA!AR23</f>
        <v>20.5</v>
      </c>
      <c r="P17" s="355">
        <f>PLANTILLA!AS23</f>
        <v>3.5</v>
      </c>
      <c r="Q17" s="355">
        <f>PLANTILLA!AT23</f>
        <v>5</v>
      </c>
      <c r="R17" s="355">
        <f>PLANTILLA!AU23</f>
        <v>27</v>
      </c>
      <c r="S17" s="355">
        <f>PLANTILLA!AV23</f>
        <v>-1</v>
      </c>
      <c r="T17" s="20">
        <f t="shared" si="1"/>
        <v>65</v>
      </c>
      <c r="V17" s="2" t="str">
        <f t="shared" si="4"/>
        <v>R. Abrain</v>
      </c>
      <c r="W17" s="164" t="str">
        <f t="shared" si="5"/>
        <v>DAV</v>
      </c>
      <c r="X17" s="164">
        <f t="shared" ca="1" si="6"/>
        <v>23</v>
      </c>
      <c r="Y17" s="164">
        <f t="shared" ca="1" si="7"/>
        <v>11</v>
      </c>
      <c r="Z17" s="354" t="str">
        <f t="shared" si="8"/>
        <v>IMP</v>
      </c>
      <c r="AA17" s="352">
        <f t="shared" si="9"/>
        <v>0</v>
      </c>
      <c r="AB17" s="352">
        <f t="shared" si="10"/>
        <v>5</v>
      </c>
      <c r="AC17" s="352">
        <f>8+6/11</f>
        <v>8.545454545454545</v>
      </c>
      <c r="AD17" s="352">
        <f t="shared" si="12"/>
        <v>4</v>
      </c>
      <c r="AE17" s="352">
        <f t="shared" si="13"/>
        <v>4.333333333333333</v>
      </c>
      <c r="AF17" s="352">
        <f t="shared" si="14"/>
        <v>9</v>
      </c>
      <c r="AG17" s="352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PLANTILLA!D25</f>
        <v>I. Velayo</v>
      </c>
      <c r="B18" s="351" t="s">
        <v>13</v>
      </c>
      <c r="C18" s="351">
        <f>PLANTILLA!E25</f>
        <v>21</v>
      </c>
      <c r="D18" s="351">
        <f ca="1">PLANTILLA!F25</f>
        <v>106</v>
      </c>
      <c r="E18" s="351" t="str">
        <f>PLANTILLA!G25</f>
        <v>RAP</v>
      </c>
      <c r="F18" s="352">
        <f>PLANTILLA!W25</f>
        <v>0</v>
      </c>
      <c r="G18" s="352">
        <f>PLANTILLA!X25</f>
        <v>4</v>
      </c>
      <c r="H18" s="352">
        <f>PLANTILLA!Y25</f>
        <v>8</v>
      </c>
      <c r="I18" s="352">
        <f>PLANTILLA!Z25</f>
        <v>3</v>
      </c>
      <c r="J18" s="352">
        <f>PLANTILLA!AA25</f>
        <v>4</v>
      </c>
      <c r="K18" s="352">
        <f>PLANTILLA!AB25</f>
        <v>9</v>
      </c>
      <c r="L18" s="352">
        <f>PLANTILLA!AC25</f>
        <v>1</v>
      </c>
      <c r="M18" s="355">
        <f>PLANTILLA!AP25</f>
        <v>0</v>
      </c>
      <c r="N18" s="355">
        <f>PLANTILLA!AQ25</f>
        <v>6</v>
      </c>
      <c r="O18" s="355">
        <f>PLANTILLA!AR25</f>
        <v>21</v>
      </c>
      <c r="P18" s="355">
        <f>PLANTILLA!AS25</f>
        <v>1.5</v>
      </c>
      <c r="Q18" s="355">
        <f>PLANTILLA!AT25</f>
        <v>4</v>
      </c>
      <c r="R18" s="355">
        <f>PLANTILLA!AU25</f>
        <v>27</v>
      </c>
      <c r="S18" s="355">
        <f>PLANTILLA!AV25</f>
        <v>-1</v>
      </c>
      <c r="T18" s="20">
        <f t="shared" si="1"/>
        <v>58.5</v>
      </c>
      <c r="V18" s="2" t="str">
        <f t="shared" si="4"/>
        <v>I. Velayo</v>
      </c>
      <c r="W18" s="164" t="str">
        <f t="shared" si="5"/>
        <v>DAV</v>
      </c>
      <c r="X18" s="164">
        <f t="shared" ca="1" si="6"/>
        <v>24</v>
      </c>
      <c r="Y18" s="164">
        <f t="shared" ca="1" si="7"/>
        <v>1</v>
      </c>
      <c r="Z18" s="354" t="str">
        <f t="shared" si="8"/>
        <v>RAP</v>
      </c>
      <c r="AA18" s="352">
        <f t="shared" si="9"/>
        <v>0</v>
      </c>
      <c r="AB18" s="352">
        <f t="shared" si="10"/>
        <v>4</v>
      </c>
      <c r="AC18" s="352">
        <f>8+8/10</f>
        <v>8.8000000000000007</v>
      </c>
      <c r="AD18" s="352">
        <f t="shared" si="12"/>
        <v>3</v>
      </c>
      <c r="AE18" s="352">
        <f t="shared" si="13"/>
        <v>4</v>
      </c>
      <c r="AF18" s="352">
        <f t="shared" si="14"/>
        <v>9</v>
      </c>
      <c r="AG18" s="352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1" t="s">
        <v>13</v>
      </c>
      <c r="C19" s="351"/>
      <c r="D19" s="351"/>
      <c r="E19" s="351"/>
      <c r="F19" s="352">
        <v>2</v>
      </c>
      <c r="G19" s="353">
        <v>2</v>
      </c>
      <c r="H19" s="352">
        <v>2</v>
      </c>
      <c r="I19" s="353">
        <v>2</v>
      </c>
      <c r="J19" s="352">
        <v>2</v>
      </c>
      <c r="K19" s="353">
        <v>2</v>
      </c>
      <c r="L19" s="352">
        <v>2</v>
      </c>
      <c r="M19" s="355">
        <f>PLANTILLA!AP23</f>
        <v>0</v>
      </c>
      <c r="N19" s="355">
        <v>0</v>
      </c>
      <c r="O19" s="355">
        <v>0</v>
      </c>
      <c r="P19" s="355">
        <v>0</v>
      </c>
      <c r="Q19" s="355">
        <v>0</v>
      </c>
      <c r="R19" s="355">
        <v>0</v>
      </c>
      <c r="S19" s="355">
        <v>0</v>
      </c>
      <c r="T19" s="20">
        <f t="shared" si="1"/>
        <v>0</v>
      </c>
      <c r="V19" s="2"/>
      <c r="W19" s="164" t="str">
        <f t="shared" si="5"/>
        <v>DAV</v>
      </c>
      <c r="X19" s="164"/>
      <c r="Y19" s="164"/>
      <c r="Z19" s="354"/>
      <c r="AA19" s="352">
        <f t="shared" si="9"/>
        <v>2</v>
      </c>
      <c r="AB19" s="352">
        <f t="shared" si="10"/>
        <v>2</v>
      </c>
      <c r="AC19" s="352">
        <f t="shared" si="11"/>
        <v>2</v>
      </c>
      <c r="AD19" s="352">
        <f t="shared" si="12"/>
        <v>2</v>
      </c>
      <c r="AE19" s="352">
        <f t="shared" si="13"/>
        <v>2</v>
      </c>
      <c r="AF19" s="352">
        <f t="shared" si="14"/>
        <v>2</v>
      </c>
      <c r="AG19" s="352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0" t="s">
        <v>402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 t="s">
        <v>185</v>
      </c>
      <c r="P21" s="360"/>
      <c r="Q21" s="361">
        <v>10</v>
      </c>
      <c r="R21" s="360" t="s">
        <v>186</v>
      </c>
      <c r="S21" s="360"/>
      <c r="T21" s="360"/>
      <c r="U21" s="362">
        <f ca="1">U1+7*Q21</f>
        <v>44546</v>
      </c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  <c r="AJ21" s="360"/>
      <c r="AK21" s="360"/>
      <c r="AL21" s="360"/>
      <c r="AM21" s="360"/>
      <c r="AN21" s="360"/>
      <c r="AO21" s="360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2" t="s">
        <v>196</v>
      </c>
      <c r="B23" s="356" t="s">
        <v>48</v>
      </c>
      <c r="C23" s="356" t="s">
        <v>399</v>
      </c>
      <c r="D23" s="356" t="s">
        <v>51</v>
      </c>
      <c r="E23" s="357" t="s">
        <v>400</v>
      </c>
      <c r="F23" s="359" t="s">
        <v>68</v>
      </c>
      <c r="G23" s="359" t="s">
        <v>69</v>
      </c>
      <c r="H23" s="359" t="s">
        <v>70</v>
      </c>
      <c r="I23" s="359" t="s">
        <v>71</v>
      </c>
      <c r="J23" s="359" t="s">
        <v>72</v>
      </c>
      <c r="K23" s="359" t="s">
        <v>73</v>
      </c>
      <c r="L23" s="359" t="s">
        <v>52</v>
      </c>
      <c r="M23" s="358" t="s">
        <v>187</v>
      </c>
      <c r="N23" s="163" t="s">
        <v>188</v>
      </c>
      <c r="O23" s="163" t="s">
        <v>189</v>
      </c>
      <c r="P23" s="163" t="s">
        <v>190</v>
      </c>
      <c r="Q23" s="163" t="s">
        <v>191</v>
      </c>
      <c r="R23" s="163" t="s">
        <v>192</v>
      </c>
      <c r="S23" s="163" t="s">
        <v>193</v>
      </c>
      <c r="T23" s="163" t="s">
        <v>194</v>
      </c>
      <c r="V23" s="363" t="s">
        <v>196</v>
      </c>
      <c r="W23" s="356" t="str">
        <f>B23</f>
        <v>POS</v>
      </c>
      <c r="X23" s="356" t="str">
        <f t="shared" ref="X23" si="26">C23</f>
        <v>Año</v>
      </c>
      <c r="Y23" s="356" t="str">
        <f t="shared" ref="Y23" si="27">D23</f>
        <v>Dias</v>
      </c>
      <c r="Z23" s="356" t="str">
        <f t="shared" ref="Z23:Z27" si="28">E23</f>
        <v>ESP</v>
      </c>
      <c r="AA23" s="356" t="str">
        <f t="shared" ref="AA23" si="29">F23</f>
        <v>Po</v>
      </c>
      <c r="AB23" s="356" t="str">
        <f t="shared" ref="AB23:AB24" si="30">G23</f>
        <v>De</v>
      </c>
      <c r="AC23" s="356" t="str">
        <f t="shared" ref="AC23:AC24" si="31">H23</f>
        <v>Cr</v>
      </c>
      <c r="AD23" s="356" t="str">
        <f t="shared" ref="AD23:AD24" si="32">I23</f>
        <v>Ex</v>
      </c>
      <c r="AE23" s="356" t="str">
        <f t="shared" ref="AE23:AE24" si="33">J23</f>
        <v>Ps</v>
      </c>
      <c r="AF23" s="356" t="str">
        <f t="shared" ref="AF23:AF24" si="34">K23</f>
        <v>An</v>
      </c>
      <c r="AG23" s="356" t="str">
        <f t="shared" ref="AG23:AG24" si="35">L23</f>
        <v>PA</v>
      </c>
      <c r="AH23" s="356" t="s">
        <v>187</v>
      </c>
      <c r="AI23" s="356" t="s">
        <v>188</v>
      </c>
      <c r="AJ23" s="356" t="s">
        <v>189</v>
      </c>
      <c r="AK23" s="356" t="s">
        <v>190</v>
      </c>
      <c r="AL23" s="356" t="s">
        <v>191</v>
      </c>
      <c r="AM23" s="356" t="s">
        <v>192</v>
      </c>
      <c r="AN23" s="356" t="s">
        <v>193</v>
      </c>
      <c r="AO23" s="356" t="s">
        <v>194</v>
      </c>
    </row>
    <row r="24" spans="1:41" x14ac:dyDescent="0.25">
      <c r="A24" s="2" t="str">
        <f>V4</f>
        <v>E. Tarrida</v>
      </c>
      <c r="B24" s="351" t="str">
        <f>W4</f>
        <v>POR</v>
      </c>
      <c r="C24" s="351">
        <f t="shared" ref="C24:E24" ca="1" si="36">X4</f>
        <v>25</v>
      </c>
      <c r="D24" s="351">
        <f t="shared" ca="1" si="36"/>
        <v>86</v>
      </c>
      <c r="E24" s="351" t="str">
        <f t="shared" si="36"/>
        <v>RAP</v>
      </c>
      <c r="F24" s="352">
        <f>AA4</f>
        <v>13.285714285714286</v>
      </c>
      <c r="G24" s="352">
        <f t="shared" ref="G24:L24" si="37">AB4</f>
        <v>6</v>
      </c>
      <c r="H24" s="352">
        <f t="shared" si="37"/>
        <v>4</v>
      </c>
      <c r="I24" s="352">
        <f t="shared" si="37"/>
        <v>2</v>
      </c>
      <c r="J24" s="352">
        <f t="shared" si="37"/>
        <v>4</v>
      </c>
      <c r="K24" s="352">
        <f t="shared" si="37"/>
        <v>3</v>
      </c>
      <c r="L24" s="352">
        <f t="shared" si="37"/>
        <v>4</v>
      </c>
      <c r="M24" s="355">
        <f>AH4</f>
        <v>38.5</v>
      </c>
      <c r="N24" s="355">
        <f t="shared" ref="N24:S24" si="38">AI4</f>
        <v>14</v>
      </c>
      <c r="O24" s="355">
        <f t="shared" si="38"/>
        <v>0</v>
      </c>
      <c r="P24" s="355">
        <f t="shared" si="38"/>
        <v>0</v>
      </c>
      <c r="Q24" s="355">
        <f t="shared" si="38"/>
        <v>0</v>
      </c>
      <c r="R24" s="355">
        <f t="shared" si="38"/>
        <v>0</v>
      </c>
      <c r="S24" s="355">
        <f t="shared" si="38"/>
        <v>2</v>
      </c>
      <c r="T24" s="20">
        <f t="shared" ref="T24:T39" si="39">SUM(M24:S24)</f>
        <v>54.5</v>
      </c>
      <c r="V24" s="355" t="str">
        <f>A24</f>
        <v>E. Tarrida</v>
      </c>
      <c r="W24" s="351" t="str">
        <f>B24</f>
        <v>POR</v>
      </c>
      <c r="X24" s="351">
        <f ca="1">INT((($Q$21*7)+(C24*16*7)+D24)/7/16)</f>
        <v>26</v>
      </c>
      <c r="Y24" s="351">
        <f ca="1">MOD((($Q$21*7)+(C24*16*7)+D24),7*16)</f>
        <v>44</v>
      </c>
      <c r="Z24" s="351" t="str">
        <f t="shared" si="28"/>
        <v>RAP</v>
      </c>
      <c r="AA24" s="352">
        <f>F24</f>
        <v>13.285714285714286</v>
      </c>
      <c r="AB24" s="352">
        <f t="shared" si="30"/>
        <v>6</v>
      </c>
      <c r="AC24" s="352">
        <f t="shared" si="31"/>
        <v>4</v>
      </c>
      <c r="AD24" s="352">
        <f t="shared" si="32"/>
        <v>2</v>
      </c>
      <c r="AE24" s="352">
        <f t="shared" si="33"/>
        <v>4</v>
      </c>
      <c r="AF24" s="352">
        <f t="shared" si="34"/>
        <v>3</v>
      </c>
      <c r="AG24" s="352">
        <f t="shared" si="35"/>
        <v>4</v>
      </c>
      <c r="AH24" s="355">
        <f>M24</f>
        <v>38.5</v>
      </c>
      <c r="AI24" s="355">
        <f t="shared" ref="AI24" si="40">N24</f>
        <v>14</v>
      </c>
      <c r="AJ24" s="355">
        <f t="shared" ref="AJ24" si="41">O24</f>
        <v>0</v>
      </c>
      <c r="AK24" s="355">
        <f t="shared" ref="AK24" si="42">P24</f>
        <v>0</v>
      </c>
      <c r="AL24" s="355">
        <f t="shared" ref="AL24" si="43">Q24</f>
        <v>0</v>
      </c>
      <c r="AM24" s="355">
        <f t="shared" ref="AM24" si="44">R24</f>
        <v>0</v>
      </c>
      <c r="AN24" s="355">
        <f t="shared" ref="AN24" si="45">S24</f>
        <v>2</v>
      </c>
      <c r="AO24" s="364">
        <f t="shared" ref="AO24:AO39" si="46">SUM(AH24:AN24)</f>
        <v>54.5</v>
      </c>
    </row>
    <row r="25" spans="1:41" x14ac:dyDescent="0.25">
      <c r="A25" s="2" t="str">
        <f t="shared" ref="A25:B25" si="47">V5</f>
        <v>S. Candela</v>
      </c>
      <c r="B25" s="351" t="str">
        <f t="shared" si="47"/>
        <v>POR</v>
      </c>
      <c r="C25" s="351">
        <f t="shared" ref="C25:C39" ca="1" si="48">X5</f>
        <v>28</v>
      </c>
      <c r="D25" s="351">
        <f t="shared" ref="D25:D39" ca="1" si="49">Y5</f>
        <v>77</v>
      </c>
      <c r="E25" s="351" t="str">
        <f t="shared" ref="E25:F39" si="50">Z5</f>
        <v>CAB</v>
      </c>
      <c r="F25" s="352">
        <f t="shared" si="50"/>
        <v>12.5</v>
      </c>
      <c r="G25" s="352">
        <f t="shared" ref="G25:G39" si="51">AB5</f>
        <v>2</v>
      </c>
      <c r="H25" s="352">
        <f t="shared" ref="H25:H39" si="52">AC5</f>
        <v>2</v>
      </c>
      <c r="I25" s="352">
        <f t="shared" ref="I25:I39" si="53">AD5</f>
        <v>0</v>
      </c>
      <c r="J25" s="352">
        <f t="shared" ref="J25:J39" si="54">AE5</f>
        <v>0</v>
      </c>
      <c r="K25" s="352">
        <f t="shared" ref="K25:K39" si="55">AF5</f>
        <v>1</v>
      </c>
      <c r="L25" s="352">
        <f t="shared" ref="L25:M39" si="56">AG5</f>
        <v>4</v>
      </c>
      <c r="M25" s="355">
        <f t="shared" si="56"/>
        <v>33.5</v>
      </c>
      <c r="N25" s="355">
        <f t="shared" ref="N25:N39" si="57">AI5</f>
        <v>0</v>
      </c>
      <c r="O25" s="355">
        <f t="shared" ref="O25:O39" si="58">AJ5</f>
        <v>0</v>
      </c>
      <c r="P25" s="355">
        <f t="shared" ref="P25:P39" si="59">AK5</f>
        <v>0</v>
      </c>
      <c r="Q25" s="355">
        <f t="shared" ref="Q25:Q39" si="60">AL5</f>
        <v>0</v>
      </c>
      <c r="R25" s="355">
        <f t="shared" ref="R25:R39" si="61">AM5</f>
        <v>0</v>
      </c>
      <c r="S25" s="355">
        <f t="shared" ref="S25:S39" si="62">AN5</f>
        <v>2</v>
      </c>
      <c r="T25" s="20">
        <f t="shared" si="39"/>
        <v>35.5</v>
      </c>
      <c r="V25" s="355" t="str">
        <f t="shared" ref="V25:V27" si="63">A25</f>
        <v>S. Candela</v>
      </c>
      <c r="W25" s="351" t="str">
        <f t="shared" ref="W25:W39" si="64">B25</f>
        <v>POR</v>
      </c>
      <c r="X25" s="351">
        <f t="shared" ref="X25:X38" ca="1" si="65">INT((($Q$21*7)+(C25*16*7)+D25)/7/16)</f>
        <v>29</v>
      </c>
      <c r="Y25" s="351">
        <f t="shared" ref="Y25:Y38" ca="1" si="66">MOD((($Q$21*7)+(C25*16*7)+D25),7*16)</f>
        <v>35</v>
      </c>
      <c r="Z25" s="351" t="str">
        <f t="shared" si="28"/>
        <v>CAB</v>
      </c>
      <c r="AA25" s="352">
        <f t="shared" ref="AA25:AA39" si="67">F25</f>
        <v>12.5</v>
      </c>
      <c r="AB25" s="352">
        <f t="shared" ref="AB25:AB39" si="68">G25</f>
        <v>2</v>
      </c>
      <c r="AC25" s="352">
        <f t="shared" ref="AC25:AC39" si="69">H25</f>
        <v>2</v>
      </c>
      <c r="AD25" s="352">
        <f t="shared" ref="AD25:AD39" si="70">I25</f>
        <v>0</v>
      </c>
      <c r="AE25" s="352">
        <f t="shared" ref="AE25:AE39" si="71">J25</f>
        <v>0</v>
      </c>
      <c r="AF25" s="352">
        <f t="shared" ref="AF25:AF39" si="72">K25</f>
        <v>1</v>
      </c>
      <c r="AG25" s="352">
        <f t="shared" ref="AG25:AG39" si="73">L25</f>
        <v>4</v>
      </c>
      <c r="AH25" s="355">
        <f t="shared" ref="AH25:AH39" si="74">M25</f>
        <v>33.5</v>
      </c>
      <c r="AI25" s="355">
        <f t="shared" ref="AI25:AI39" si="75">N25</f>
        <v>0</v>
      </c>
      <c r="AJ25" s="355">
        <f t="shared" ref="AJ25:AJ39" si="76">O25</f>
        <v>0</v>
      </c>
      <c r="AK25" s="355">
        <f t="shared" ref="AK25:AK39" si="77">P25</f>
        <v>0</v>
      </c>
      <c r="AL25" s="355">
        <f t="shared" ref="AL25:AL39" si="78">Q25</f>
        <v>0</v>
      </c>
      <c r="AM25" s="355">
        <f t="shared" ref="AM25:AM39" si="79">R25</f>
        <v>0</v>
      </c>
      <c r="AN25" s="355">
        <f t="shared" ref="AN25:AN39" si="80">S25</f>
        <v>2</v>
      </c>
      <c r="AO25" s="364">
        <f t="shared" si="46"/>
        <v>35.5</v>
      </c>
    </row>
    <row r="26" spans="1:41" x14ac:dyDescent="0.25">
      <c r="A26" s="2" t="str">
        <f t="shared" ref="A26:B26" si="81">V6</f>
        <v>G. Durand</v>
      </c>
      <c r="B26" s="351" t="str">
        <f t="shared" si="81"/>
        <v>DEF</v>
      </c>
      <c r="C26" s="351">
        <f t="shared" ca="1" si="48"/>
        <v>22</v>
      </c>
      <c r="D26" s="351">
        <f t="shared" ca="1" si="49"/>
        <v>101</v>
      </c>
      <c r="E26" s="351" t="str">
        <f t="shared" si="50"/>
        <v>IMP</v>
      </c>
      <c r="F26" s="352">
        <f t="shared" ref="F26:F39" si="82">AA6</f>
        <v>0</v>
      </c>
      <c r="G26" s="352">
        <f t="shared" si="51"/>
        <v>5</v>
      </c>
      <c r="H26" s="352">
        <f t="shared" si="52"/>
        <v>7.25</v>
      </c>
      <c r="I26" s="352">
        <f t="shared" si="53"/>
        <v>2</v>
      </c>
      <c r="J26" s="352">
        <f t="shared" si="54"/>
        <v>3</v>
      </c>
      <c r="K26" s="352">
        <f t="shared" si="55"/>
        <v>4</v>
      </c>
      <c r="L26" s="352">
        <f t="shared" si="56"/>
        <v>2</v>
      </c>
      <c r="M26" s="355">
        <f t="shared" ref="M26:M39" si="83">AH6</f>
        <v>0</v>
      </c>
      <c r="N26" s="355">
        <f t="shared" si="57"/>
        <v>10</v>
      </c>
      <c r="O26" s="355">
        <f t="shared" si="58"/>
        <v>19.5</v>
      </c>
      <c r="P26" s="355">
        <f t="shared" si="59"/>
        <v>0</v>
      </c>
      <c r="Q26" s="355">
        <f t="shared" si="60"/>
        <v>2</v>
      </c>
      <c r="R26" s="355">
        <f t="shared" si="61"/>
        <v>5</v>
      </c>
      <c r="S26" s="355">
        <f t="shared" si="62"/>
        <v>0</v>
      </c>
      <c r="T26" s="20">
        <f t="shared" si="39"/>
        <v>36.5</v>
      </c>
      <c r="V26" s="355" t="str">
        <f t="shared" si="63"/>
        <v>G. Durand</v>
      </c>
      <c r="W26" s="351" t="str">
        <f t="shared" si="64"/>
        <v>DEF</v>
      </c>
      <c r="X26" s="351">
        <f t="shared" ca="1" si="65"/>
        <v>23</v>
      </c>
      <c r="Y26" s="351">
        <f t="shared" ca="1" si="66"/>
        <v>59</v>
      </c>
      <c r="Z26" s="351" t="str">
        <f t="shared" si="28"/>
        <v>IMP</v>
      </c>
      <c r="AA26" s="352">
        <f t="shared" si="67"/>
        <v>0</v>
      </c>
      <c r="AB26" s="352">
        <f t="shared" si="68"/>
        <v>5</v>
      </c>
      <c r="AC26" s="352">
        <f t="shared" si="69"/>
        <v>7.25</v>
      </c>
      <c r="AD26" s="352">
        <f t="shared" si="70"/>
        <v>2</v>
      </c>
      <c r="AE26" s="352">
        <f>6+(2/4)</f>
        <v>6.5</v>
      </c>
      <c r="AF26" s="352">
        <f t="shared" si="72"/>
        <v>4</v>
      </c>
      <c r="AG26" s="352">
        <f t="shared" si="73"/>
        <v>2</v>
      </c>
      <c r="AH26" s="355">
        <f t="shared" si="74"/>
        <v>0</v>
      </c>
      <c r="AI26" s="355">
        <f t="shared" si="75"/>
        <v>10</v>
      </c>
      <c r="AJ26" s="355">
        <f t="shared" si="76"/>
        <v>19.5</v>
      </c>
      <c r="AK26" s="355">
        <f t="shared" si="77"/>
        <v>0</v>
      </c>
      <c r="AL26" s="355">
        <v>12</v>
      </c>
      <c r="AM26" s="355">
        <f t="shared" si="79"/>
        <v>5</v>
      </c>
      <c r="AN26" s="355">
        <f t="shared" si="80"/>
        <v>0</v>
      </c>
      <c r="AO26" s="364">
        <f t="shared" si="46"/>
        <v>46.5</v>
      </c>
    </row>
    <row r="27" spans="1:41" x14ac:dyDescent="0.25">
      <c r="A27" s="2" t="str">
        <f t="shared" ref="A27:B27" si="84">V7</f>
        <v>G. Gasqué</v>
      </c>
      <c r="B27" s="351" t="str">
        <f t="shared" si="84"/>
        <v>DEF</v>
      </c>
      <c r="C27" s="351">
        <f t="shared" ca="1" si="48"/>
        <v>20</v>
      </c>
      <c r="D27" s="351">
        <f t="shared" ca="1" si="49"/>
        <v>36</v>
      </c>
      <c r="E27" s="351" t="str">
        <f t="shared" si="50"/>
        <v>IMP</v>
      </c>
      <c r="F27" s="352">
        <f t="shared" si="82"/>
        <v>0</v>
      </c>
      <c r="G27" s="352">
        <f t="shared" si="51"/>
        <v>2</v>
      </c>
      <c r="H27" s="352">
        <f t="shared" si="52"/>
        <v>7.25</v>
      </c>
      <c r="I27" s="352">
        <f t="shared" si="53"/>
        <v>5</v>
      </c>
      <c r="J27" s="352">
        <f t="shared" si="54"/>
        <v>3</v>
      </c>
      <c r="K27" s="352">
        <f t="shared" si="55"/>
        <v>3</v>
      </c>
      <c r="L27" s="352">
        <f t="shared" si="56"/>
        <v>2</v>
      </c>
      <c r="M27" s="355">
        <f t="shared" si="83"/>
        <v>0</v>
      </c>
      <c r="N27" s="355">
        <f t="shared" si="57"/>
        <v>0</v>
      </c>
      <c r="O27" s="355">
        <f t="shared" si="58"/>
        <v>19.5</v>
      </c>
      <c r="P27" s="355">
        <f t="shared" si="59"/>
        <v>5.5</v>
      </c>
      <c r="Q27" s="355">
        <f t="shared" si="60"/>
        <v>2</v>
      </c>
      <c r="R27" s="355">
        <f t="shared" si="61"/>
        <v>2</v>
      </c>
      <c r="S27" s="355">
        <f t="shared" si="62"/>
        <v>0</v>
      </c>
      <c r="T27" s="20">
        <f t="shared" si="39"/>
        <v>29</v>
      </c>
      <c r="V27" s="355" t="str">
        <f t="shared" si="63"/>
        <v>G. Gasqué</v>
      </c>
      <c r="W27" s="351" t="str">
        <f t="shared" si="64"/>
        <v>DEF</v>
      </c>
      <c r="X27" s="351">
        <f t="shared" ca="1" si="65"/>
        <v>20</v>
      </c>
      <c r="Y27" s="351">
        <f t="shared" ca="1" si="66"/>
        <v>106</v>
      </c>
      <c r="Z27" s="351" t="str">
        <f t="shared" si="28"/>
        <v>IMP</v>
      </c>
      <c r="AA27" s="352">
        <f t="shared" si="67"/>
        <v>0</v>
      </c>
      <c r="AB27" s="352">
        <f t="shared" si="68"/>
        <v>2</v>
      </c>
      <c r="AC27" s="352">
        <f t="shared" si="69"/>
        <v>7.25</v>
      </c>
      <c r="AD27" s="352">
        <f t="shared" si="70"/>
        <v>5</v>
      </c>
      <c r="AE27" s="352">
        <f>6+(2/4)</f>
        <v>6.5</v>
      </c>
      <c r="AF27" s="352">
        <f t="shared" si="72"/>
        <v>3</v>
      </c>
      <c r="AG27" s="352">
        <f t="shared" si="73"/>
        <v>2</v>
      </c>
      <c r="AH27" s="355">
        <f t="shared" si="74"/>
        <v>0</v>
      </c>
      <c r="AI27" s="355">
        <f t="shared" si="75"/>
        <v>0</v>
      </c>
      <c r="AJ27" s="355">
        <f t="shared" si="76"/>
        <v>19.5</v>
      </c>
      <c r="AK27" s="355">
        <f t="shared" si="77"/>
        <v>5.5</v>
      </c>
      <c r="AL27" s="355">
        <v>12</v>
      </c>
      <c r="AM27" s="355">
        <f t="shared" si="79"/>
        <v>2</v>
      </c>
      <c r="AN27" s="355">
        <f t="shared" si="80"/>
        <v>0</v>
      </c>
      <c r="AO27" s="364">
        <f t="shared" si="46"/>
        <v>39</v>
      </c>
    </row>
    <row r="28" spans="1:41" x14ac:dyDescent="0.25">
      <c r="A28" s="2">
        <f t="shared" ref="A28:B28" si="85">V8</f>
        <v>0</v>
      </c>
      <c r="B28" s="351" t="str">
        <f t="shared" si="85"/>
        <v>DEF</v>
      </c>
      <c r="C28" s="351">
        <f t="shared" si="48"/>
        <v>0</v>
      </c>
      <c r="D28" s="351">
        <f t="shared" si="49"/>
        <v>0</v>
      </c>
      <c r="E28" s="351">
        <f t="shared" si="50"/>
        <v>0</v>
      </c>
      <c r="F28" s="352">
        <f t="shared" si="82"/>
        <v>0</v>
      </c>
      <c r="G28" s="352">
        <f t="shared" si="51"/>
        <v>2</v>
      </c>
      <c r="H28" s="352">
        <f t="shared" si="52"/>
        <v>2</v>
      </c>
      <c r="I28" s="352">
        <f t="shared" si="53"/>
        <v>2</v>
      </c>
      <c r="J28" s="352">
        <f t="shared" si="54"/>
        <v>2</v>
      </c>
      <c r="K28" s="352">
        <f t="shared" si="55"/>
        <v>2</v>
      </c>
      <c r="L28" s="352">
        <f t="shared" si="56"/>
        <v>2</v>
      </c>
      <c r="M28" s="355">
        <f t="shared" si="83"/>
        <v>0</v>
      </c>
      <c r="N28" s="355">
        <f t="shared" si="57"/>
        <v>0</v>
      </c>
      <c r="O28" s="355">
        <f t="shared" si="58"/>
        <v>0</v>
      </c>
      <c r="P28" s="355">
        <f t="shared" si="59"/>
        <v>0</v>
      </c>
      <c r="Q28" s="355">
        <f t="shared" si="60"/>
        <v>0</v>
      </c>
      <c r="R28" s="355">
        <f t="shared" si="61"/>
        <v>0</v>
      </c>
      <c r="S28" s="355">
        <f t="shared" si="62"/>
        <v>0</v>
      </c>
      <c r="T28" s="20">
        <f t="shared" si="39"/>
        <v>0</v>
      </c>
      <c r="V28" s="355"/>
      <c r="W28" s="351" t="str">
        <f t="shared" si="64"/>
        <v>DEF</v>
      </c>
      <c r="X28" s="351"/>
      <c r="Y28" s="351"/>
      <c r="Z28" s="351"/>
      <c r="AA28" s="352">
        <f t="shared" si="67"/>
        <v>0</v>
      </c>
      <c r="AB28" s="352">
        <f t="shared" si="68"/>
        <v>2</v>
      </c>
      <c r="AC28" s="352">
        <f t="shared" si="69"/>
        <v>2</v>
      </c>
      <c r="AD28" s="352">
        <f t="shared" si="70"/>
        <v>2</v>
      </c>
      <c r="AE28" s="352">
        <f t="shared" si="71"/>
        <v>2</v>
      </c>
      <c r="AF28" s="352">
        <f t="shared" si="72"/>
        <v>2</v>
      </c>
      <c r="AG28" s="352">
        <f t="shared" si="73"/>
        <v>2</v>
      </c>
      <c r="AH28" s="355">
        <f t="shared" si="74"/>
        <v>0</v>
      </c>
      <c r="AI28" s="355">
        <f t="shared" si="75"/>
        <v>0</v>
      </c>
      <c r="AJ28" s="355">
        <f t="shared" si="76"/>
        <v>0</v>
      </c>
      <c r="AK28" s="355">
        <f t="shared" si="77"/>
        <v>0</v>
      </c>
      <c r="AL28" s="355">
        <f t="shared" si="78"/>
        <v>0</v>
      </c>
      <c r="AM28" s="355">
        <f t="shared" si="79"/>
        <v>0</v>
      </c>
      <c r="AN28" s="355">
        <f t="shared" si="80"/>
        <v>0</v>
      </c>
      <c r="AO28" s="364">
        <f t="shared" si="46"/>
        <v>0</v>
      </c>
    </row>
    <row r="29" spans="1:41" x14ac:dyDescent="0.25">
      <c r="A29" s="2" t="str">
        <f t="shared" ref="A29:B29" si="86">V9</f>
        <v>A. Balsebre</v>
      </c>
      <c r="B29" s="351" t="str">
        <f t="shared" si="86"/>
        <v>INNER</v>
      </c>
      <c r="C29" s="351">
        <f t="shared" ca="1" si="48"/>
        <v>21</v>
      </c>
      <c r="D29" s="351">
        <f t="shared" ca="1" si="49"/>
        <v>52</v>
      </c>
      <c r="E29" s="351">
        <f t="shared" si="50"/>
        <v>0</v>
      </c>
      <c r="F29" s="352">
        <f t="shared" si="82"/>
        <v>0</v>
      </c>
      <c r="G29" s="352">
        <f t="shared" si="51"/>
        <v>4</v>
      </c>
      <c r="H29" s="352">
        <f t="shared" si="52"/>
        <v>13.111111111111111</v>
      </c>
      <c r="I29" s="352">
        <f t="shared" si="53"/>
        <v>2</v>
      </c>
      <c r="J29" s="352">
        <f t="shared" si="54"/>
        <v>5</v>
      </c>
      <c r="K29" s="352">
        <f t="shared" si="55"/>
        <v>3.3333333333333335</v>
      </c>
      <c r="L29" s="352">
        <f t="shared" si="56"/>
        <v>4</v>
      </c>
      <c r="M29" s="355">
        <f t="shared" si="83"/>
        <v>0</v>
      </c>
      <c r="N29" s="355">
        <f t="shared" si="57"/>
        <v>6</v>
      </c>
      <c r="O29" s="355">
        <f t="shared" si="58"/>
        <v>82</v>
      </c>
      <c r="P29" s="355">
        <f t="shared" si="59"/>
        <v>0</v>
      </c>
      <c r="Q29" s="355">
        <f t="shared" si="60"/>
        <v>7</v>
      </c>
      <c r="R29" s="355">
        <f t="shared" si="61"/>
        <v>3</v>
      </c>
      <c r="S29" s="355">
        <f t="shared" si="62"/>
        <v>2</v>
      </c>
      <c r="T29" s="20">
        <f t="shared" si="39"/>
        <v>100</v>
      </c>
      <c r="V29" s="355" t="str">
        <f t="shared" ref="V29:V32" si="87">A29</f>
        <v>A. Balsebre</v>
      </c>
      <c r="W29" s="351" t="str">
        <f t="shared" si="64"/>
        <v>INNER</v>
      </c>
      <c r="X29" s="351">
        <f t="shared" ca="1" si="65"/>
        <v>22</v>
      </c>
      <c r="Y29" s="351">
        <f t="shared" ca="1" si="66"/>
        <v>10</v>
      </c>
      <c r="Z29" s="351"/>
      <c r="AA29" s="352">
        <f t="shared" si="67"/>
        <v>0</v>
      </c>
      <c r="AB29" s="352">
        <f t="shared" si="68"/>
        <v>4</v>
      </c>
      <c r="AC29" s="352">
        <f t="shared" si="69"/>
        <v>13.111111111111111</v>
      </c>
      <c r="AD29" s="352">
        <f t="shared" si="70"/>
        <v>2</v>
      </c>
      <c r="AE29" s="352">
        <v>8</v>
      </c>
      <c r="AF29" s="352">
        <f t="shared" si="72"/>
        <v>3.3333333333333335</v>
      </c>
      <c r="AG29" s="352">
        <f t="shared" si="73"/>
        <v>4</v>
      </c>
      <c r="AH29" s="355">
        <f t="shared" si="74"/>
        <v>0</v>
      </c>
      <c r="AI29" s="355">
        <f t="shared" si="75"/>
        <v>6</v>
      </c>
      <c r="AJ29" s="355">
        <f t="shared" si="76"/>
        <v>82</v>
      </c>
      <c r="AK29" s="355">
        <f t="shared" si="77"/>
        <v>0</v>
      </c>
      <c r="AL29" s="355">
        <v>17</v>
      </c>
      <c r="AM29" s="355">
        <f t="shared" si="79"/>
        <v>3</v>
      </c>
      <c r="AN29" s="355">
        <f t="shared" si="80"/>
        <v>2</v>
      </c>
      <c r="AO29" s="364">
        <f t="shared" si="46"/>
        <v>110</v>
      </c>
    </row>
    <row r="30" spans="1:41" x14ac:dyDescent="0.25">
      <c r="A30" s="2" t="str">
        <f t="shared" ref="A30:B30" si="88">V10</f>
        <v>T. Lebon</v>
      </c>
      <c r="B30" s="351" t="str">
        <f t="shared" si="88"/>
        <v>INNER</v>
      </c>
      <c r="C30" s="351">
        <f t="shared" ca="1" si="48"/>
        <v>22</v>
      </c>
      <c r="D30" s="351">
        <f t="shared" ca="1" si="49"/>
        <v>54</v>
      </c>
      <c r="E30" s="351" t="str">
        <f t="shared" si="50"/>
        <v>TEC</v>
      </c>
      <c r="F30" s="352">
        <f t="shared" si="82"/>
        <v>0</v>
      </c>
      <c r="G30" s="352">
        <f t="shared" si="51"/>
        <v>4</v>
      </c>
      <c r="H30" s="352">
        <f t="shared" si="52"/>
        <v>12.777777777777779</v>
      </c>
      <c r="I30" s="352">
        <f t="shared" si="53"/>
        <v>5</v>
      </c>
      <c r="J30" s="352">
        <f t="shared" si="54"/>
        <v>4.333333333333333</v>
      </c>
      <c r="K30" s="352">
        <f t="shared" si="55"/>
        <v>6</v>
      </c>
      <c r="L30" s="352">
        <f t="shared" si="56"/>
        <v>2</v>
      </c>
      <c r="M30" s="355">
        <f t="shared" si="83"/>
        <v>0</v>
      </c>
      <c r="N30" s="355">
        <f t="shared" si="57"/>
        <v>6</v>
      </c>
      <c r="O30" s="355">
        <f t="shared" si="58"/>
        <v>51</v>
      </c>
      <c r="P30" s="355">
        <f t="shared" si="59"/>
        <v>5.5</v>
      </c>
      <c r="Q30" s="355">
        <f t="shared" si="60"/>
        <v>5</v>
      </c>
      <c r="R30" s="355">
        <f t="shared" si="61"/>
        <v>12</v>
      </c>
      <c r="S30" s="355">
        <f t="shared" si="62"/>
        <v>0</v>
      </c>
      <c r="T30" s="20">
        <f t="shared" si="39"/>
        <v>79.5</v>
      </c>
      <c r="V30" s="355" t="str">
        <f t="shared" si="87"/>
        <v>T. Lebon</v>
      </c>
      <c r="W30" s="351" t="str">
        <f t="shared" si="64"/>
        <v>INNER</v>
      </c>
      <c r="X30" s="351">
        <f t="shared" ca="1" si="65"/>
        <v>23</v>
      </c>
      <c r="Y30" s="351">
        <f t="shared" ca="1" si="66"/>
        <v>12</v>
      </c>
      <c r="Z30" s="351" t="str">
        <f t="shared" ref="Z30:Z32" si="89">E30</f>
        <v>TEC</v>
      </c>
      <c r="AA30" s="352">
        <f t="shared" si="67"/>
        <v>0</v>
      </c>
      <c r="AB30" s="352">
        <f t="shared" si="68"/>
        <v>4</v>
      </c>
      <c r="AC30" s="352">
        <f t="shared" si="69"/>
        <v>12.777777777777779</v>
      </c>
      <c r="AD30" s="352">
        <f t="shared" si="70"/>
        <v>5</v>
      </c>
      <c r="AE30" s="352">
        <f>7+(2/4)</f>
        <v>7.5</v>
      </c>
      <c r="AF30" s="352">
        <f t="shared" si="72"/>
        <v>6</v>
      </c>
      <c r="AG30" s="352">
        <f t="shared" si="73"/>
        <v>2</v>
      </c>
      <c r="AH30" s="355">
        <f t="shared" si="74"/>
        <v>0</v>
      </c>
      <c r="AI30" s="355">
        <f t="shared" si="75"/>
        <v>6</v>
      </c>
      <c r="AJ30" s="355">
        <f t="shared" si="76"/>
        <v>51</v>
      </c>
      <c r="AK30" s="355">
        <f t="shared" si="77"/>
        <v>5.5</v>
      </c>
      <c r="AL30" s="355">
        <v>15</v>
      </c>
      <c r="AM30" s="355">
        <f t="shared" si="79"/>
        <v>12</v>
      </c>
      <c r="AN30" s="355">
        <f t="shared" si="80"/>
        <v>0</v>
      </c>
      <c r="AO30" s="364">
        <f t="shared" si="46"/>
        <v>89.5</v>
      </c>
    </row>
    <row r="31" spans="1:41" x14ac:dyDescent="0.25">
      <c r="A31" s="2" t="str">
        <f t="shared" ref="A31:B31" si="90">V11</f>
        <v>B. Corominola</v>
      </c>
      <c r="B31" s="351" t="str">
        <f t="shared" si="90"/>
        <v>INNER</v>
      </c>
      <c r="C31" s="351">
        <f t="shared" ca="1" si="48"/>
        <v>23</v>
      </c>
      <c r="D31" s="351">
        <f t="shared" ca="1" si="49"/>
        <v>61</v>
      </c>
      <c r="E31" s="351" t="str">
        <f t="shared" si="50"/>
        <v>RAP</v>
      </c>
      <c r="F31" s="352">
        <f t="shared" si="82"/>
        <v>0</v>
      </c>
      <c r="G31" s="352">
        <f t="shared" si="51"/>
        <v>6</v>
      </c>
      <c r="H31" s="352">
        <f t="shared" si="52"/>
        <v>12.111111111111111</v>
      </c>
      <c r="I31" s="352">
        <f t="shared" si="53"/>
        <v>2</v>
      </c>
      <c r="J31" s="352">
        <f t="shared" si="54"/>
        <v>6.25</v>
      </c>
      <c r="K31" s="352">
        <f t="shared" si="55"/>
        <v>7</v>
      </c>
      <c r="L31" s="352">
        <f t="shared" si="56"/>
        <v>1</v>
      </c>
      <c r="M31" s="355">
        <f t="shared" si="83"/>
        <v>0</v>
      </c>
      <c r="N31" s="355">
        <f t="shared" si="57"/>
        <v>14</v>
      </c>
      <c r="O31" s="355">
        <f t="shared" si="58"/>
        <v>72</v>
      </c>
      <c r="P31" s="355">
        <f t="shared" si="59"/>
        <v>0</v>
      </c>
      <c r="Q31" s="355">
        <f t="shared" si="60"/>
        <v>11</v>
      </c>
      <c r="R31" s="355">
        <f t="shared" si="61"/>
        <v>15</v>
      </c>
      <c r="S31" s="355">
        <f t="shared" si="62"/>
        <v>-1</v>
      </c>
      <c r="T31" s="20">
        <f t="shared" si="39"/>
        <v>111</v>
      </c>
      <c r="V31" s="355" t="str">
        <f t="shared" si="87"/>
        <v>B. Corominola</v>
      </c>
      <c r="W31" s="351" t="str">
        <f t="shared" si="64"/>
        <v>INNER</v>
      </c>
      <c r="X31" s="351">
        <f t="shared" ca="1" si="65"/>
        <v>24</v>
      </c>
      <c r="Y31" s="351">
        <f t="shared" ca="1" si="66"/>
        <v>19</v>
      </c>
      <c r="Z31" s="351" t="str">
        <f t="shared" si="89"/>
        <v>RAP</v>
      </c>
      <c r="AA31" s="352">
        <f t="shared" si="67"/>
        <v>0</v>
      </c>
      <c r="AB31" s="352">
        <f t="shared" si="68"/>
        <v>6</v>
      </c>
      <c r="AC31" s="352">
        <f t="shared" si="69"/>
        <v>12.111111111111111</v>
      </c>
      <c r="AD31" s="352">
        <f t="shared" si="70"/>
        <v>2</v>
      </c>
      <c r="AE31" s="352">
        <f>8+(3/5)</f>
        <v>8.6</v>
      </c>
      <c r="AF31" s="352">
        <f t="shared" si="72"/>
        <v>7</v>
      </c>
      <c r="AG31" s="352">
        <f t="shared" si="73"/>
        <v>1</v>
      </c>
      <c r="AH31" s="355">
        <f t="shared" si="74"/>
        <v>0</v>
      </c>
      <c r="AI31" s="355">
        <f t="shared" si="75"/>
        <v>14</v>
      </c>
      <c r="AJ31" s="355">
        <f t="shared" si="76"/>
        <v>72</v>
      </c>
      <c r="AK31" s="355">
        <f t="shared" si="77"/>
        <v>0</v>
      </c>
      <c r="AL31" s="355">
        <v>21</v>
      </c>
      <c r="AM31" s="355">
        <f t="shared" si="79"/>
        <v>15</v>
      </c>
      <c r="AN31" s="355">
        <f t="shared" si="80"/>
        <v>-1</v>
      </c>
      <c r="AO31" s="364">
        <f t="shared" si="46"/>
        <v>121</v>
      </c>
    </row>
    <row r="32" spans="1:41" x14ac:dyDescent="0.25">
      <c r="A32" s="2" t="str">
        <f t="shared" ref="A32:B32" si="91">V12</f>
        <v>T. Orozco</v>
      </c>
      <c r="B32" s="351" t="str">
        <f t="shared" si="91"/>
        <v>INNER</v>
      </c>
      <c r="C32" s="351">
        <f t="shared" ca="1" si="48"/>
        <v>23</v>
      </c>
      <c r="D32" s="351">
        <f t="shared" ca="1" si="49"/>
        <v>94</v>
      </c>
      <c r="E32" s="351" t="str">
        <f t="shared" si="50"/>
        <v>CAB</v>
      </c>
      <c r="F32" s="352">
        <f t="shared" si="82"/>
        <v>1</v>
      </c>
      <c r="G32" s="352">
        <f t="shared" si="51"/>
        <v>6</v>
      </c>
      <c r="H32" s="352">
        <f t="shared" si="52"/>
        <v>12.25</v>
      </c>
      <c r="I32" s="352">
        <f t="shared" si="53"/>
        <v>3</v>
      </c>
      <c r="J32" s="352">
        <f t="shared" si="54"/>
        <v>5</v>
      </c>
      <c r="K32" s="352">
        <f t="shared" si="55"/>
        <v>6.5</v>
      </c>
      <c r="L32" s="352">
        <f t="shared" si="56"/>
        <v>2</v>
      </c>
      <c r="M32" s="355">
        <f t="shared" si="83"/>
        <v>0</v>
      </c>
      <c r="N32" s="355">
        <f t="shared" si="57"/>
        <v>14</v>
      </c>
      <c r="O32" s="355">
        <f t="shared" si="58"/>
        <v>48</v>
      </c>
      <c r="P32" s="355">
        <f t="shared" si="59"/>
        <v>1.5</v>
      </c>
      <c r="Q32" s="355">
        <f t="shared" si="60"/>
        <v>7</v>
      </c>
      <c r="R32" s="355">
        <f t="shared" si="61"/>
        <v>14</v>
      </c>
      <c r="S32" s="355">
        <f t="shared" si="62"/>
        <v>0</v>
      </c>
      <c r="T32" s="20">
        <f t="shared" si="39"/>
        <v>84.5</v>
      </c>
      <c r="V32" s="355" t="str">
        <f t="shared" si="87"/>
        <v>T. Orozco</v>
      </c>
      <c r="W32" s="351" t="str">
        <f t="shared" si="64"/>
        <v>INNER</v>
      </c>
      <c r="X32" s="351">
        <f t="shared" ca="1" si="65"/>
        <v>24</v>
      </c>
      <c r="Y32" s="351">
        <f t="shared" ca="1" si="66"/>
        <v>52</v>
      </c>
      <c r="Z32" s="351" t="str">
        <f t="shared" si="89"/>
        <v>CAB</v>
      </c>
      <c r="AA32" s="352">
        <f t="shared" si="67"/>
        <v>1</v>
      </c>
      <c r="AB32" s="352">
        <f t="shared" si="68"/>
        <v>6</v>
      </c>
      <c r="AC32" s="352">
        <f t="shared" si="69"/>
        <v>12.25</v>
      </c>
      <c r="AD32" s="352">
        <f t="shared" si="70"/>
        <v>3</v>
      </c>
      <c r="AE32" s="352">
        <f>7+(3/5)</f>
        <v>7.6</v>
      </c>
      <c r="AF32" s="352">
        <f t="shared" si="72"/>
        <v>6.5</v>
      </c>
      <c r="AG32" s="352">
        <f t="shared" si="73"/>
        <v>2</v>
      </c>
      <c r="AH32" s="355">
        <f t="shared" si="74"/>
        <v>0</v>
      </c>
      <c r="AI32" s="355">
        <f t="shared" si="75"/>
        <v>14</v>
      </c>
      <c r="AJ32" s="355">
        <f t="shared" si="76"/>
        <v>48</v>
      </c>
      <c r="AK32" s="355">
        <f t="shared" si="77"/>
        <v>1.5</v>
      </c>
      <c r="AL32" s="355">
        <v>17</v>
      </c>
      <c r="AM32" s="355">
        <f t="shared" si="79"/>
        <v>14</v>
      </c>
      <c r="AN32" s="355">
        <f t="shared" si="80"/>
        <v>0</v>
      </c>
      <c r="AO32" s="364">
        <f t="shared" si="46"/>
        <v>94.5</v>
      </c>
    </row>
    <row r="33" spans="1:41" x14ac:dyDescent="0.25">
      <c r="A33" s="2" t="str">
        <f t="shared" ref="A33:B33" si="92">V13</f>
        <v>A. Retegui</v>
      </c>
      <c r="B33" s="351" t="str">
        <f t="shared" si="92"/>
        <v>INNER</v>
      </c>
      <c r="C33" s="351">
        <f t="shared" ca="1" si="48"/>
        <v>20</v>
      </c>
      <c r="D33" s="351">
        <f t="shared" ca="1" si="49"/>
        <v>91</v>
      </c>
      <c r="E33" s="351">
        <f t="shared" si="50"/>
        <v>0</v>
      </c>
      <c r="F33" s="352">
        <f t="shared" si="82"/>
        <v>0</v>
      </c>
      <c r="G33" s="352">
        <f t="shared" si="51"/>
        <v>4</v>
      </c>
      <c r="H33" s="352">
        <f t="shared" si="52"/>
        <v>12.888888888888889</v>
      </c>
      <c r="I33" s="352">
        <f t="shared" si="53"/>
        <v>5</v>
      </c>
      <c r="J33" s="352">
        <f t="shared" si="54"/>
        <v>5</v>
      </c>
      <c r="K33" s="352">
        <f t="shared" si="55"/>
        <v>4</v>
      </c>
      <c r="L33" s="352">
        <f t="shared" si="56"/>
        <v>5</v>
      </c>
      <c r="M33" s="355">
        <f t="shared" si="83"/>
        <v>0</v>
      </c>
      <c r="N33" s="355">
        <f t="shared" si="57"/>
        <v>6</v>
      </c>
      <c r="O33" s="355">
        <f t="shared" si="58"/>
        <v>47</v>
      </c>
      <c r="P33" s="355">
        <f t="shared" si="59"/>
        <v>5.5</v>
      </c>
      <c r="Q33" s="355">
        <f t="shared" si="60"/>
        <v>7</v>
      </c>
      <c r="R33" s="355">
        <f t="shared" si="61"/>
        <v>5</v>
      </c>
      <c r="S33" s="355">
        <f t="shared" si="62"/>
        <v>3</v>
      </c>
      <c r="T33" s="20">
        <f t="shared" si="39"/>
        <v>73.5</v>
      </c>
      <c r="V33" s="355"/>
      <c r="W33" s="351" t="str">
        <f t="shared" si="64"/>
        <v>INNER</v>
      </c>
      <c r="X33" s="351"/>
      <c r="Y33" s="351"/>
      <c r="Z33" s="351"/>
      <c r="AA33" s="352">
        <f t="shared" si="67"/>
        <v>0</v>
      </c>
      <c r="AB33" s="352">
        <f t="shared" si="68"/>
        <v>4</v>
      </c>
      <c r="AC33" s="352">
        <f t="shared" si="69"/>
        <v>12.888888888888889</v>
      </c>
      <c r="AD33" s="352">
        <f t="shared" si="70"/>
        <v>5</v>
      </c>
      <c r="AE33" s="352">
        <f t="shared" si="71"/>
        <v>5</v>
      </c>
      <c r="AF33" s="352">
        <f t="shared" si="72"/>
        <v>4</v>
      </c>
      <c r="AG33" s="352">
        <f t="shared" si="73"/>
        <v>5</v>
      </c>
      <c r="AH33" s="355">
        <f t="shared" si="74"/>
        <v>0</v>
      </c>
      <c r="AI33" s="355">
        <f t="shared" si="75"/>
        <v>6</v>
      </c>
      <c r="AJ33" s="355">
        <f t="shared" si="76"/>
        <v>47</v>
      </c>
      <c r="AK33" s="355">
        <f t="shared" si="77"/>
        <v>5.5</v>
      </c>
      <c r="AL33" s="355">
        <f t="shared" si="78"/>
        <v>7</v>
      </c>
      <c r="AM33" s="355">
        <f t="shared" si="79"/>
        <v>5</v>
      </c>
      <c r="AN33" s="355">
        <f t="shared" si="80"/>
        <v>3</v>
      </c>
      <c r="AO33" s="364">
        <f t="shared" si="46"/>
        <v>73.5</v>
      </c>
    </row>
    <row r="34" spans="1:41" x14ac:dyDescent="0.25">
      <c r="A34" s="2" t="str">
        <f t="shared" ref="A34:B34" si="93">V14</f>
        <v>L. Grière</v>
      </c>
      <c r="B34" s="351" t="str">
        <f t="shared" si="93"/>
        <v>EXT</v>
      </c>
      <c r="C34" s="351">
        <f t="shared" ca="1" si="48"/>
        <v>21</v>
      </c>
      <c r="D34" s="351">
        <f t="shared" ca="1" si="49"/>
        <v>73</v>
      </c>
      <c r="E34" s="351" t="str">
        <f t="shared" si="50"/>
        <v>TEC</v>
      </c>
      <c r="F34" s="352">
        <f t="shared" si="82"/>
        <v>0</v>
      </c>
      <c r="G34" s="352">
        <f t="shared" si="51"/>
        <v>4</v>
      </c>
      <c r="H34" s="352">
        <f t="shared" si="52"/>
        <v>10.384615384615385</v>
      </c>
      <c r="I34" s="352">
        <f t="shared" si="53"/>
        <v>6</v>
      </c>
      <c r="J34" s="352">
        <f t="shared" si="54"/>
        <v>2</v>
      </c>
      <c r="K34" s="352">
        <f t="shared" si="55"/>
        <v>5</v>
      </c>
      <c r="L34" s="352">
        <f t="shared" si="56"/>
        <v>0</v>
      </c>
      <c r="M34" s="355">
        <f t="shared" si="83"/>
        <v>0</v>
      </c>
      <c r="N34" s="355">
        <f t="shared" si="57"/>
        <v>6</v>
      </c>
      <c r="O34" s="355">
        <f t="shared" si="58"/>
        <v>51.5</v>
      </c>
      <c r="P34" s="355">
        <f t="shared" si="59"/>
        <v>8.5</v>
      </c>
      <c r="Q34" s="355">
        <f t="shared" si="60"/>
        <v>0</v>
      </c>
      <c r="R34" s="355">
        <f t="shared" si="61"/>
        <v>8</v>
      </c>
      <c r="S34" s="355">
        <f t="shared" si="62"/>
        <v>-2</v>
      </c>
      <c r="T34" s="20">
        <f t="shared" si="39"/>
        <v>72</v>
      </c>
      <c r="V34" s="355" t="str">
        <f t="shared" ref="V34:V38" si="94">A34</f>
        <v>L. Grière</v>
      </c>
      <c r="W34" s="351" t="str">
        <f t="shared" si="64"/>
        <v>EXT</v>
      </c>
      <c r="X34" s="351">
        <f t="shared" ca="1" si="65"/>
        <v>22</v>
      </c>
      <c r="Y34" s="351">
        <f t="shared" ca="1" si="66"/>
        <v>31</v>
      </c>
      <c r="Z34" s="351" t="str">
        <f t="shared" ref="Z34" si="95">E34</f>
        <v>TEC</v>
      </c>
      <c r="AA34" s="352">
        <f t="shared" si="67"/>
        <v>0</v>
      </c>
      <c r="AB34" s="352">
        <f t="shared" si="68"/>
        <v>4</v>
      </c>
      <c r="AC34" s="352">
        <f t="shared" si="69"/>
        <v>10.384615384615385</v>
      </c>
      <c r="AD34" s="352">
        <f t="shared" si="70"/>
        <v>6</v>
      </c>
      <c r="AE34" s="352">
        <v>6</v>
      </c>
      <c r="AF34" s="352">
        <f t="shared" si="72"/>
        <v>5</v>
      </c>
      <c r="AG34" s="352">
        <f t="shared" si="73"/>
        <v>0</v>
      </c>
      <c r="AH34" s="355">
        <f t="shared" si="74"/>
        <v>0</v>
      </c>
      <c r="AI34" s="355">
        <f t="shared" si="75"/>
        <v>6</v>
      </c>
      <c r="AJ34" s="355">
        <f t="shared" si="76"/>
        <v>51.5</v>
      </c>
      <c r="AK34" s="355">
        <f t="shared" si="77"/>
        <v>8.5</v>
      </c>
      <c r="AL34" s="355">
        <v>10</v>
      </c>
      <c r="AM34" s="355">
        <f t="shared" si="79"/>
        <v>8</v>
      </c>
      <c r="AN34" s="355">
        <f t="shared" si="80"/>
        <v>-2</v>
      </c>
      <c r="AO34" s="364">
        <f t="shared" si="46"/>
        <v>82</v>
      </c>
    </row>
    <row r="35" spans="1:41" x14ac:dyDescent="0.25">
      <c r="A35" s="2" t="str">
        <f t="shared" ref="A35:B35" si="96">V15</f>
        <v>D. Juliol</v>
      </c>
      <c r="B35" s="351" t="str">
        <f t="shared" si="96"/>
        <v>EXT</v>
      </c>
      <c r="C35" s="351">
        <f t="shared" ca="1" si="48"/>
        <v>22</v>
      </c>
      <c r="D35" s="351">
        <f t="shared" ca="1" si="49"/>
        <v>31</v>
      </c>
      <c r="E35" s="351">
        <f t="shared" si="50"/>
        <v>0</v>
      </c>
      <c r="F35" s="352">
        <f t="shared" si="82"/>
        <v>1</v>
      </c>
      <c r="G35" s="352">
        <f t="shared" si="51"/>
        <v>5</v>
      </c>
      <c r="H35" s="352">
        <f t="shared" si="52"/>
        <v>9.454545454545455</v>
      </c>
      <c r="I35" s="352">
        <f t="shared" si="53"/>
        <v>5</v>
      </c>
      <c r="J35" s="352">
        <f t="shared" si="54"/>
        <v>2</v>
      </c>
      <c r="K35" s="352">
        <f t="shared" si="55"/>
        <v>6.25</v>
      </c>
      <c r="L35" s="352">
        <f t="shared" si="56"/>
        <v>1</v>
      </c>
      <c r="M35" s="355">
        <f t="shared" si="83"/>
        <v>0</v>
      </c>
      <c r="N35" s="355">
        <f t="shared" si="57"/>
        <v>10</v>
      </c>
      <c r="O35" s="355">
        <f t="shared" si="58"/>
        <v>33.5</v>
      </c>
      <c r="P35" s="355">
        <f t="shared" si="59"/>
        <v>5.5</v>
      </c>
      <c r="Q35" s="355">
        <f t="shared" si="60"/>
        <v>0</v>
      </c>
      <c r="R35" s="355">
        <f t="shared" si="61"/>
        <v>13</v>
      </c>
      <c r="S35" s="355">
        <f t="shared" si="62"/>
        <v>-1</v>
      </c>
      <c r="T35" s="20">
        <f t="shared" si="39"/>
        <v>61</v>
      </c>
      <c r="V35" s="355" t="str">
        <f t="shared" si="94"/>
        <v>D. Juliol</v>
      </c>
      <c r="W35" s="351" t="str">
        <f t="shared" si="64"/>
        <v>EXT</v>
      </c>
      <c r="X35" s="351">
        <f t="shared" ca="1" si="65"/>
        <v>22</v>
      </c>
      <c r="Y35" s="351">
        <f t="shared" ca="1" si="66"/>
        <v>101</v>
      </c>
      <c r="Z35" s="351"/>
      <c r="AA35" s="352">
        <f t="shared" si="67"/>
        <v>1</v>
      </c>
      <c r="AB35" s="352">
        <f t="shared" si="68"/>
        <v>5</v>
      </c>
      <c r="AC35" s="352">
        <f t="shared" si="69"/>
        <v>9.454545454545455</v>
      </c>
      <c r="AD35" s="352">
        <f t="shared" si="70"/>
        <v>5</v>
      </c>
      <c r="AE35" s="352">
        <v>6</v>
      </c>
      <c r="AF35" s="352">
        <f t="shared" si="72"/>
        <v>6.25</v>
      </c>
      <c r="AG35" s="352">
        <f t="shared" si="73"/>
        <v>1</v>
      </c>
      <c r="AH35" s="355">
        <f t="shared" si="74"/>
        <v>0</v>
      </c>
      <c r="AI35" s="355">
        <f t="shared" si="75"/>
        <v>10</v>
      </c>
      <c r="AJ35" s="355">
        <f t="shared" si="76"/>
        <v>33.5</v>
      </c>
      <c r="AK35" s="355">
        <f t="shared" si="77"/>
        <v>5.5</v>
      </c>
      <c r="AL35" s="355">
        <v>10</v>
      </c>
      <c r="AM35" s="355">
        <f t="shared" si="79"/>
        <v>13</v>
      </c>
      <c r="AN35" s="355">
        <f t="shared" si="80"/>
        <v>-1</v>
      </c>
      <c r="AO35" s="364">
        <f t="shared" si="46"/>
        <v>71</v>
      </c>
    </row>
    <row r="36" spans="1:41" x14ac:dyDescent="0.25">
      <c r="A36" s="2" t="str">
        <f t="shared" ref="A36:B36" si="97">V16</f>
        <v>A. Baldoví</v>
      </c>
      <c r="B36" s="351" t="str">
        <f t="shared" si="97"/>
        <v>DAV</v>
      </c>
      <c r="C36" s="351">
        <f t="shared" ca="1" si="48"/>
        <v>22</v>
      </c>
      <c r="D36" s="351">
        <f t="shared" ca="1" si="49"/>
        <v>26</v>
      </c>
      <c r="E36" s="351" t="str">
        <f t="shared" si="50"/>
        <v>RAP</v>
      </c>
      <c r="F36" s="352">
        <f t="shared" si="82"/>
        <v>0</v>
      </c>
      <c r="G36" s="352">
        <f t="shared" si="51"/>
        <v>4</v>
      </c>
      <c r="H36" s="352">
        <f t="shared" si="52"/>
        <v>12</v>
      </c>
      <c r="I36" s="352">
        <f t="shared" si="53"/>
        <v>6</v>
      </c>
      <c r="J36" s="352">
        <f t="shared" si="54"/>
        <v>5</v>
      </c>
      <c r="K36" s="352">
        <f t="shared" si="55"/>
        <v>9.1666666666666661</v>
      </c>
      <c r="L36" s="352">
        <f t="shared" si="56"/>
        <v>3</v>
      </c>
      <c r="M36" s="355">
        <f t="shared" si="83"/>
        <v>0</v>
      </c>
      <c r="N36" s="355">
        <f t="shared" si="57"/>
        <v>6</v>
      </c>
      <c r="O36" s="355">
        <f t="shared" si="58"/>
        <v>71</v>
      </c>
      <c r="P36" s="355">
        <f t="shared" si="59"/>
        <v>8.5</v>
      </c>
      <c r="Q36" s="355">
        <f t="shared" si="60"/>
        <v>7</v>
      </c>
      <c r="R36" s="355">
        <f t="shared" si="61"/>
        <v>28</v>
      </c>
      <c r="S36" s="355">
        <f t="shared" si="62"/>
        <v>1</v>
      </c>
      <c r="T36" s="20">
        <f t="shared" si="39"/>
        <v>121.5</v>
      </c>
      <c r="V36" s="355" t="str">
        <f t="shared" si="94"/>
        <v>A. Baldoví</v>
      </c>
      <c r="W36" s="351" t="str">
        <f t="shared" si="64"/>
        <v>DAV</v>
      </c>
      <c r="X36" s="351">
        <f t="shared" ca="1" si="65"/>
        <v>22</v>
      </c>
      <c r="Y36" s="351">
        <f t="shared" ca="1" si="66"/>
        <v>96</v>
      </c>
      <c r="Z36" s="351" t="str">
        <f t="shared" ref="Z36:Z38" si="98">E36</f>
        <v>RAP</v>
      </c>
      <c r="AA36" s="352">
        <f t="shared" si="67"/>
        <v>0</v>
      </c>
      <c r="AB36" s="352">
        <f t="shared" si="68"/>
        <v>4</v>
      </c>
      <c r="AC36" s="352">
        <f t="shared" si="69"/>
        <v>12</v>
      </c>
      <c r="AD36" s="352">
        <f t="shared" si="70"/>
        <v>6</v>
      </c>
      <c r="AE36" s="352">
        <v>8</v>
      </c>
      <c r="AF36" s="352">
        <f t="shared" si="72"/>
        <v>9.1666666666666661</v>
      </c>
      <c r="AG36" s="352">
        <f t="shared" si="73"/>
        <v>3</v>
      </c>
      <c r="AH36" s="355">
        <f t="shared" si="74"/>
        <v>0</v>
      </c>
      <c r="AI36" s="355">
        <f t="shared" si="75"/>
        <v>6</v>
      </c>
      <c r="AJ36" s="355">
        <f t="shared" si="76"/>
        <v>71</v>
      </c>
      <c r="AK36" s="355">
        <f t="shared" si="77"/>
        <v>8.5</v>
      </c>
      <c r="AL36" s="355">
        <v>17</v>
      </c>
      <c r="AM36" s="355">
        <f t="shared" si="79"/>
        <v>28</v>
      </c>
      <c r="AN36" s="355">
        <f t="shared" si="80"/>
        <v>1</v>
      </c>
      <c r="AO36" s="364">
        <f t="shared" si="46"/>
        <v>131.5</v>
      </c>
    </row>
    <row r="37" spans="1:41" x14ac:dyDescent="0.25">
      <c r="A37" s="2" t="str">
        <f t="shared" ref="A37:B37" si="99">V17</f>
        <v>R. Abrain</v>
      </c>
      <c r="B37" s="351" t="str">
        <f t="shared" si="99"/>
        <v>DAV</v>
      </c>
      <c r="C37" s="351">
        <f t="shared" ca="1" si="48"/>
        <v>23</v>
      </c>
      <c r="D37" s="351">
        <f t="shared" ca="1" si="49"/>
        <v>11</v>
      </c>
      <c r="E37" s="351" t="str">
        <f t="shared" si="50"/>
        <v>IMP</v>
      </c>
      <c r="F37" s="352">
        <f t="shared" si="82"/>
        <v>0</v>
      </c>
      <c r="G37" s="352">
        <f t="shared" si="51"/>
        <v>5</v>
      </c>
      <c r="H37" s="352">
        <f t="shared" si="52"/>
        <v>8.545454545454545</v>
      </c>
      <c r="I37" s="352">
        <f t="shared" si="53"/>
        <v>4</v>
      </c>
      <c r="J37" s="352">
        <f t="shared" si="54"/>
        <v>4.333333333333333</v>
      </c>
      <c r="K37" s="352">
        <f t="shared" si="55"/>
        <v>9</v>
      </c>
      <c r="L37" s="352">
        <f t="shared" si="56"/>
        <v>1</v>
      </c>
      <c r="M37" s="355">
        <f t="shared" si="83"/>
        <v>0</v>
      </c>
      <c r="N37" s="355">
        <f t="shared" si="57"/>
        <v>10</v>
      </c>
      <c r="O37" s="355">
        <f t="shared" si="58"/>
        <v>23.5</v>
      </c>
      <c r="P37" s="355">
        <f t="shared" si="59"/>
        <v>3.5</v>
      </c>
      <c r="Q37" s="355">
        <f t="shared" si="60"/>
        <v>5</v>
      </c>
      <c r="R37" s="355">
        <f t="shared" si="61"/>
        <v>27</v>
      </c>
      <c r="S37" s="355">
        <f t="shared" si="62"/>
        <v>-1</v>
      </c>
      <c r="T37" s="20">
        <f t="shared" si="39"/>
        <v>68</v>
      </c>
      <c r="V37" s="355" t="str">
        <f t="shared" si="94"/>
        <v>R. Abrain</v>
      </c>
      <c r="W37" s="351" t="str">
        <f t="shared" si="64"/>
        <v>DAV</v>
      </c>
      <c r="X37" s="351">
        <f t="shared" ca="1" si="65"/>
        <v>23</v>
      </c>
      <c r="Y37" s="351">
        <f t="shared" ca="1" si="66"/>
        <v>81</v>
      </c>
      <c r="Z37" s="351" t="str">
        <f t="shared" si="98"/>
        <v>IMP</v>
      </c>
      <c r="AA37" s="352">
        <f t="shared" si="67"/>
        <v>0</v>
      </c>
      <c r="AB37" s="352">
        <f t="shared" si="68"/>
        <v>5</v>
      </c>
      <c r="AC37" s="352">
        <f t="shared" si="69"/>
        <v>8.545454545454545</v>
      </c>
      <c r="AD37" s="352">
        <f t="shared" si="70"/>
        <v>4</v>
      </c>
      <c r="AE37" s="352">
        <f>7+(1/4)</f>
        <v>7.25</v>
      </c>
      <c r="AF37" s="352">
        <f t="shared" si="72"/>
        <v>9</v>
      </c>
      <c r="AG37" s="352">
        <f t="shared" si="73"/>
        <v>1</v>
      </c>
      <c r="AH37" s="355">
        <f t="shared" si="74"/>
        <v>0</v>
      </c>
      <c r="AI37" s="355">
        <f t="shared" si="75"/>
        <v>10</v>
      </c>
      <c r="AJ37" s="355">
        <f t="shared" si="76"/>
        <v>23.5</v>
      </c>
      <c r="AK37" s="355">
        <f t="shared" si="77"/>
        <v>3.5</v>
      </c>
      <c r="AL37" s="355">
        <v>15</v>
      </c>
      <c r="AM37" s="355">
        <f t="shared" si="79"/>
        <v>27</v>
      </c>
      <c r="AN37" s="355">
        <f t="shared" si="80"/>
        <v>-1</v>
      </c>
      <c r="AO37" s="364">
        <f t="shared" si="46"/>
        <v>78</v>
      </c>
    </row>
    <row r="38" spans="1:41" x14ac:dyDescent="0.25">
      <c r="A38" s="2" t="str">
        <f t="shared" ref="A38:B38" si="100">V18</f>
        <v>I. Velayo</v>
      </c>
      <c r="B38" s="351" t="str">
        <f t="shared" si="100"/>
        <v>DAV</v>
      </c>
      <c r="C38" s="351">
        <f t="shared" ca="1" si="48"/>
        <v>24</v>
      </c>
      <c r="D38" s="351">
        <f t="shared" ca="1" si="49"/>
        <v>1</v>
      </c>
      <c r="E38" s="351" t="str">
        <f t="shared" si="50"/>
        <v>RAP</v>
      </c>
      <c r="F38" s="352">
        <f t="shared" si="82"/>
        <v>0</v>
      </c>
      <c r="G38" s="352">
        <f t="shared" si="51"/>
        <v>4</v>
      </c>
      <c r="H38" s="352">
        <f t="shared" si="52"/>
        <v>8.8000000000000007</v>
      </c>
      <c r="I38" s="352">
        <f t="shared" si="53"/>
        <v>3</v>
      </c>
      <c r="J38" s="352">
        <f t="shared" si="54"/>
        <v>4</v>
      </c>
      <c r="K38" s="352">
        <f t="shared" si="55"/>
        <v>9</v>
      </c>
      <c r="L38" s="352">
        <f t="shared" si="56"/>
        <v>1</v>
      </c>
      <c r="M38" s="355">
        <f t="shared" si="83"/>
        <v>0</v>
      </c>
      <c r="N38" s="355">
        <f t="shared" si="57"/>
        <v>6</v>
      </c>
      <c r="O38" s="355">
        <f t="shared" si="58"/>
        <v>23.5</v>
      </c>
      <c r="P38" s="355">
        <f t="shared" si="59"/>
        <v>1.5</v>
      </c>
      <c r="Q38" s="355">
        <f t="shared" si="60"/>
        <v>4</v>
      </c>
      <c r="R38" s="355">
        <f t="shared" si="61"/>
        <v>27</v>
      </c>
      <c r="S38" s="355">
        <f t="shared" si="62"/>
        <v>-1</v>
      </c>
      <c r="T38" s="20">
        <f t="shared" si="39"/>
        <v>61</v>
      </c>
      <c r="V38" s="355" t="str">
        <f t="shared" si="94"/>
        <v>I. Velayo</v>
      </c>
      <c r="W38" s="351" t="str">
        <f t="shared" si="64"/>
        <v>DAV</v>
      </c>
      <c r="X38" s="351">
        <f t="shared" ca="1" si="65"/>
        <v>24</v>
      </c>
      <c r="Y38" s="351">
        <f t="shared" ca="1" si="66"/>
        <v>71</v>
      </c>
      <c r="Z38" s="351" t="str">
        <f t="shared" si="98"/>
        <v>RAP</v>
      </c>
      <c r="AA38" s="352">
        <f t="shared" si="67"/>
        <v>0</v>
      </c>
      <c r="AB38" s="352">
        <f t="shared" si="68"/>
        <v>4</v>
      </c>
      <c r="AC38" s="352">
        <f t="shared" si="69"/>
        <v>8.8000000000000007</v>
      </c>
      <c r="AD38" s="352">
        <f t="shared" si="70"/>
        <v>3</v>
      </c>
      <c r="AE38" s="352">
        <f>7+(1/4)</f>
        <v>7.25</v>
      </c>
      <c r="AF38" s="352">
        <f t="shared" si="72"/>
        <v>9</v>
      </c>
      <c r="AG38" s="352">
        <f t="shared" si="73"/>
        <v>1</v>
      </c>
      <c r="AH38" s="355">
        <f t="shared" si="74"/>
        <v>0</v>
      </c>
      <c r="AI38" s="355">
        <f t="shared" si="75"/>
        <v>6</v>
      </c>
      <c r="AJ38" s="355">
        <f t="shared" si="76"/>
        <v>23.5</v>
      </c>
      <c r="AK38" s="355">
        <f t="shared" si="77"/>
        <v>1.5</v>
      </c>
      <c r="AL38" s="355">
        <v>14</v>
      </c>
      <c r="AM38" s="355">
        <f t="shared" si="79"/>
        <v>27</v>
      </c>
      <c r="AN38" s="355">
        <f t="shared" si="80"/>
        <v>-1</v>
      </c>
      <c r="AO38" s="364">
        <f t="shared" si="46"/>
        <v>71</v>
      </c>
    </row>
    <row r="39" spans="1:41" x14ac:dyDescent="0.25">
      <c r="A39" s="2">
        <f t="shared" ref="A39:B39" si="101">V19</f>
        <v>0</v>
      </c>
      <c r="B39" s="351" t="str">
        <f t="shared" si="101"/>
        <v>DAV</v>
      </c>
      <c r="C39" s="351">
        <f t="shared" si="48"/>
        <v>0</v>
      </c>
      <c r="D39" s="351">
        <f t="shared" si="49"/>
        <v>0</v>
      </c>
      <c r="E39" s="351">
        <f t="shared" si="50"/>
        <v>0</v>
      </c>
      <c r="F39" s="352">
        <f t="shared" si="82"/>
        <v>2</v>
      </c>
      <c r="G39" s="352">
        <f t="shared" si="51"/>
        <v>2</v>
      </c>
      <c r="H39" s="352">
        <f t="shared" si="52"/>
        <v>2</v>
      </c>
      <c r="I39" s="352">
        <f t="shared" si="53"/>
        <v>2</v>
      </c>
      <c r="J39" s="352">
        <f t="shared" si="54"/>
        <v>2</v>
      </c>
      <c r="K39" s="352">
        <f t="shared" si="55"/>
        <v>2</v>
      </c>
      <c r="L39" s="352">
        <f t="shared" si="56"/>
        <v>2</v>
      </c>
      <c r="M39" s="355">
        <f t="shared" si="83"/>
        <v>0</v>
      </c>
      <c r="N39" s="355">
        <f t="shared" si="57"/>
        <v>0</v>
      </c>
      <c r="O39" s="355">
        <f t="shared" si="58"/>
        <v>0</v>
      </c>
      <c r="P39" s="355">
        <f t="shared" si="59"/>
        <v>0</v>
      </c>
      <c r="Q39" s="355">
        <f t="shared" si="60"/>
        <v>0</v>
      </c>
      <c r="R39" s="355">
        <f t="shared" si="61"/>
        <v>0</v>
      </c>
      <c r="S39" s="355">
        <f t="shared" si="62"/>
        <v>0</v>
      </c>
      <c r="T39" s="20">
        <f t="shared" si="39"/>
        <v>0</v>
      </c>
      <c r="V39" s="355"/>
      <c r="W39" s="351" t="str">
        <f t="shared" si="64"/>
        <v>DAV</v>
      </c>
      <c r="X39" s="351"/>
      <c r="Y39" s="351"/>
      <c r="Z39" s="351"/>
      <c r="AA39" s="352">
        <f t="shared" si="67"/>
        <v>2</v>
      </c>
      <c r="AB39" s="352">
        <f t="shared" si="68"/>
        <v>2</v>
      </c>
      <c r="AC39" s="352">
        <f t="shared" si="69"/>
        <v>2</v>
      </c>
      <c r="AD39" s="352">
        <f t="shared" si="70"/>
        <v>2</v>
      </c>
      <c r="AE39" s="352">
        <f t="shared" si="71"/>
        <v>2</v>
      </c>
      <c r="AF39" s="352">
        <f t="shared" si="72"/>
        <v>2</v>
      </c>
      <c r="AG39" s="352">
        <f t="shared" si="73"/>
        <v>2</v>
      </c>
      <c r="AH39" s="355">
        <f t="shared" si="74"/>
        <v>0</v>
      </c>
      <c r="AI39" s="355">
        <f t="shared" si="75"/>
        <v>0</v>
      </c>
      <c r="AJ39" s="355">
        <f t="shared" si="76"/>
        <v>0</v>
      </c>
      <c r="AK39" s="355">
        <f t="shared" si="77"/>
        <v>0</v>
      </c>
      <c r="AL39" s="355">
        <f t="shared" si="78"/>
        <v>0</v>
      </c>
      <c r="AM39" s="355">
        <f t="shared" si="79"/>
        <v>0</v>
      </c>
      <c r="AN39" s="355">
        <f t="shared" si="80"/>
        <v>0</v>
      </c>
      <c r="AO39" s="364">
        <f t="shared" si="46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G10" sqref="G10"/>
    </sheetView>
  </sheetViews>
  <sheetFormatPr baseColWidth="10" defaultRowHeight="15" x14ac:dyDescent="0.25"/>
  <cols>
    <col min="1" max="1" width="13.42578125" style="68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414</v>
      </c>
      <c r="X1" t="s">
        <v>415</v>
      </c>
      <c r="AB1" t="s">
        <v>416</v>
      </c>
      <c r="AF1" t="s">
        <v>417</v>
      </c>
      <c r="AJ1" t="s">
        <v>447</v>
      </c>
      <c r="AN1" t="s">
        <v>418</v>
      </c>
      <c r="AR1" t="s">
        <v>420</v>
      </c>
      <c r="AY1" t="s">
        <v>421</v>
      </c>
      <c r="BF1" t="s">
        <v>422</v>
      </c>
      <c r="BK1" t="s">
        <v>419</v>
      </c>
      <c r="BP1" t="s">
        <v>423</v>
      </c>
      <c r="BU1" t="s">
        <v>444</v>
      </c>
      <c r="BZ1" t="s">
        <v>424</v>
      </c>
      <c r="CE1" t="s">
        <v>101</v>
      </c>
      <c r="CI1" t="s">
        <v>13</v>
      </c>
    </row>
    <row r="2" spans="1:90" x14ac:dyDescent="0.25">
      <c r="A2" s="430" t="s">
        <v>49</v>
      </c>
      <c r="B2" s="421" t="s">
        <v>400</v>
      </c>
      <c r="C2" s="422" t="s">
        <v>425</v>
      </c>
      <c r="D2" s="422" t="s">
        <v>62</v>
      </c>
      <c r="E2" s="422" t="s">
        <v>63</v>
      </c>
      <c r="F2" s="423" t="s">
        <v>60</v>
      </c>
      <c r="G2" s="424" t="s">
        <v>426</v>
      </c>
      <c r="H2" s="424" t="s">
        <v>11</v>
      </c>
      <c r="I2" s="424" t="s">
        <v>16</v>
      </c>
      <c r="J2" s="424" t="s">
        <v>154</v>
      </c>
      <c r="K2" s="424" t="s">
        <v>19</v>
      </c>
      <c r="L2" s="424" t="s">
        <v>155</v>
      </c>
      <c r="M2" s="424" t="s">
        <v>156</v>
      </c>
      <c r="N2" s="424" t="s">
        <v>157</v>
      </c>
      <c r="O2" s="425" t="s">
        <v>427</v>
      </c>
      <c r="P2" s="425" t="s">
        <v>445</v>
      </c>
      <c r="Q2" s="425" t="s">
        <v>428</v>
      </c>
      <c r="R2" s="425" t="s">
        <v>429</v>
      </c>
      <c r="S2" s="425" t="s">
        <v>78</v>
      </c>
      <c r="T2" s="425" t="s">
        <v>79</v>
      </c>
      <c r="U2" s="426" t="s">
        <v>430</v>
      </c>
      <c r="V2" s="426" t="s">
        <v>431</v>
      </c>
      <c r="W2" s="426" t="s">
        <v>430</v>
      </c>
      <c r="X2" s="427" t="s">
        <v>430</v>
      </c>
      <c r="Y2" s="427" t="s">
        <v>431</v>
      </c>
      <c r="Z2" s="427" t="s">
        <v>430</v>
      </c>
      <c r="AA2" s="427" t="s">
        <v>24</v>
      </c>
      <c r="AB2" s="427" t="s">
        <v>430</v>
      </c>
      <c r="AC2" s="427" t="s">
        <v>431</v>
      </c>
      <c r="AD2" s="427" t="s">
        <v>430</v>
      </c>
      <c r="AE2" s="427" t="s">
        <v>24</v>
      </c>
      <c r="AF2" s="426" t="s">
        <v>430</v>
      </c>
      <c r="AG2" s="426" t="s">
        <v>431</v>
      </c>
      <c r="AH2" s="426" t="s">
        <v>24</v>
      </c>
      <c r="AI2" s="426" t="s">
        <v>432</v>
      </c>
      <c r="AJ2" s="426" t="s">
        <v>430</v>
      </c>
      <c r="AK2" s="426" t="s">
        <v>431</v>
      </c>
      <c r="AL2" s="426" t="s">
        <v>24</v>
      </c>
      <c r="AM2" s="426" t="s">
        <v>432</v>
      </c>
      <c r="AN2" s="426" t="s">
        <v>430</v>
      </c>
      <c r="AO2" s="426" t="s">
        <v>431</v>
      </c>
      <c r="AP2" s="426" t="s">
        <v>430</v>
      </c>
      <c r="AQ2" s="426" t="s">
        <v>24</v>
      </c>
      <c r="AR2" s="426" t="s">
        <v>432</v>
      </c>
      <c r="AS2" s="426" t="s">
        <v>433</v>
      </c>
      <c r="AT2" s="426" t="s">
        <v>432</v>
      </c>
      <c r="AU2" s="426" t="s">
        <v>430</v>
      </c>
      <c r="AV2" s="426" t="s">
        <v>431</v>
      </c>
      <c r="AW2" s="426" t="s">
        <v>430</v>
      </c>
      <c r="AX2" s="426" t="s">
        <v>24</v>
      </c>
      <c r="AY2" s="426" t="s">
        <v>432</v>
      </c>
      <c r="AZ2" s="426" t="s">
        <v>433</v>
      </c>
      <c r="BA2" s="426" t="s">
        <v>432</v>
      </c>
      <c r="BB2" s="427" t="s">
        <v>430</v>
      </c>
      <c r="BC2" s="427" t="s">
        <v>431</v>
      </c>
      <c r="BD2" s="427" t="s">
        <v>24</v>
      </c>
      <c r="BE2" s="427" t="s">
        <v>432</v>
      </c>
      <c r="BF2" s="427" t="s">
        <v>433</v>
      </c>
      <c r="BG2" s="427" t="s">
        <v>430</v>
      </c>
      <c r="BH2" s="427" t="s">
        <v>431</v>
      </c>
      <c r="BI2" s="427" t="s">
        <v>24</v>
      </c>
      <c r="BJ2" s="427" t="s">
        <v>432</v>
      </c>
      <c r="BK2" s="427" t="s">
        <v>433</v>
      </c>
      <c r="BL2" s="426" t="s">
        <v>430</v>
      </c>
      <c r="BM2" s="426" t="s">
        <v>431</v>
      </c>
      <c r="BN2" s="426" t="s">
        <v>24</v>
      </c>
      <c r="BO2" s="426" t="s">
        <v>432</v>
      </c>
      <c r="BP2" s="426" t="s">
        <v>433</v>
      </c>
      <c r="BQ2" s="426" t="s">
        <v>430</v>
      </c>
      <c r="BR2" s="426" t="s">
        <v>431</v>
      </c>
      <c r="BS2" s="426" t="s">
        <v>24</v>
      </c>
      <c r="BT2" s="426" t="s">
        <v>432</v>
      </c>
      <c r="BU2" s="426" t="s">
        <v>433</v>
      </c>
      <c r="BV2" s="426" t="s">
        <v>430</v>
      </c>
      <c r="BW2" s="426" t="s">
        <v>431</v>
      </c>
      <c r="BX2" s="426" t="s">
        <v>24</v>
      </c>
      <c r="BY2" s="426" t="s">
        <v>432</v>
      </c>
      <c r="BZ2" s="426" t="s">
        <v>433</v>
      </c>
      <c r="CA2" s="427" t="s">
        <v>24</v>
      </c>
      <c r="CB2" s="427" t="s">
        <v>432</v>
      </c>
      <c r="CC2" s="427" t="s">
        <v>433</v>
      </c>
      <c r="CD2" s="427" t="s">
        <v>432</v>
      </c>
      <c r="CE2" s="426" t="s">
        <v>432</v>
      </c>
      <c r="CF2" s="426" t="s">
        <v>433</v>
      </c>
      <c r="CG2" s="426" t="s">
        <v>432</v>
      </c>
      <c r="CH2" s="426" t="s">
        <v>24</v>
      </c>
      <c r="CI2" s="426" t="s">
        <v>432</v>
      </c>
      <c r="CJ2" s="426" t="s">
        <v>433</v>
      </c>
      <c r="CK2" s="426" t="s">
        <v>432</v>
      </c>
      <c r="CL2" s="426" t="s">
        <v>24</v>
      </c>
    </row>
    <row r="3" spans="1:90" x14ac:dyDescent="0.25">
      <c r="A3" s="68" t="str">
        <f>PLANTILLA!D4</f>
        <v>E. Tarrida</v>
      </c>
      <c r="B3" s="2" t="str">
        <f>PLANTILLA!G4</f>
        <v>RAP</v>
      </c>
      <c r="C3" s="350">
        <f>PLANTILLA!P4</f>
        <v>7</v>
      </c>
      <c r="D3" s="428">
        <f>PLANTILLA!Q4</f>
        <v>1</v>
      </c>
      <c r="E3" s="428">
        <f>PLANTILLA!R4</f>
        <v>1</v>
      </c>
      <c r="F3" s="429">
        <v>1.5</v>
      </c>
      <c r="G3" s="108">
        <f>PLANTILLA!I4</f>
        <v>4.9000000000000004</v>
      </c>
      <c r="H3" s="76">
        <f>PLANTILLA!W4</f>
        <v>13.285714285714286</v>
      </c>
      <c r="I3" s="76">
        <f>PLANTILLA!X4</f>
        <v>6</v>
      </c>
      <c r="J3" s="76">
        <f>PLANTILLA!Y4</f>
        <v>4</v>
      </c>
      <c r="K3" s="76">
        <f>PLANTILLA!Z4</f>
        <v>2</v>
      </c>
      <c r="L3" s="76">
        <f>PLANTILLA!AA4</f>
        <v>4</v>
      </c>
      <c r="M3" s="76">
        <f>PLANTILLA!AB4</f>
        <v>3</v>
      </c>
      <c r="N3" s="76">
        <f>PLANTILLA!AC4</f>
        <v>4</v>
      </c>
      <c r="O3" s="108">
        <f t="shared" ref="O3:O13" si="0">((2*(L3+1))+(I3+1))/8</f>
        <v>2.125</v>
      </c>
      <c r="P3" s="108">
        <f t="shared" ref="P3:P13" si="1">1.66*(M3+(LOG(G3)*4/3)+F3)+0.55*(N3+(LOG(G3)*4/3)+F3)-7.6</f>
        <v>4.9287777824840209</v>
      </c>
      <c r="Q3" s="76">
        <f t="shared" ref="Q3:Q13" si="2">(0.5*M3+0.3*N3)/10</f>
        <v>0.27</v>
      </c>
      <c r="R3" s="76">
        <f t="shared" ref="R3:R13" si="3">(0.4*I3+0.3*N3)/10</f>
        <v>0.36000000000000004</v>
      </c>
      <c r="S3" s="108">
        <f>(N3+F3+(LOG(G3)*4/3))*(C3/7)^0.5</f>
        <v>6.4202614400380185</v>
      </c>
      <c r="T3" s="108">
        <f>(N3+F3+(LOG(G3)*4/3))*((C3+0.99)/7)^0.5</f>
        <v>6.8592571244781313</v>
      </c>
      <c r="U3" s="73">
        <f t="shared" ref="U3:U13" si="4">((H3+F3+(LOG(G3)*4/3))*0.597)+((I3+F3+(LOG(G3)*4/3))*0.276)</f>
        <v>11.700459665724619</v>
      </c>
      <c r="V3" s="73">
        <f t="shared" ref="V3:V13" si="5">((H3+F3+(LOG(G3)*4/3))*0.866)+((I3+F3+(LOG(G3)*4/3))*0.425)</f>
        <v>17.179986090517655</v>
      </c>
      <c r="W3" s="73">
        <f t="shared" ref="W3:W13" si="6">U3</f>
        <v>11.700459665724619</v>
      </c>
      <c r="X3" s="73">
        <f t="shared" ref="X3:X13" si="7">((I3+F3+(LOG(G3)*4/3))*0.516)</f>
        <v>4.344854903059618</v>
      </c>
      <c r="Y3" s="73">
        <f t="shared" ref="Y3:Y13" si="8">(I3+F3+(LOG(G3)*4/3))*1</f>
        <v>8.4202614400380185</v>
      </c>
      <c r="Z3" s="73">
        <f t="shared" ref="Z3:Z13" si="9">X3/2</f>
        <v>2.172427451529809</v>
      </c>
      <c r="AA3" s="73">
        <f t="shared" ref="AA3:AA13" si="10">(J3+F3+(LOG(G3)*4/3))*0.238</f>
        <v>1.5280222227290483</v>
      </c>
      <c r="AB3" s="73">
        <f t="shared" ref="AB3:AB13" si="11">((I3+F3+(LOG(G3)*4/3))*0.378)</f>
        <v>3.182858824334371</v>
      </c>
      <c r="AC3" s="73">
        <f t="shared" ref="AC3:AC13" si="12">(I3+F3+(LOG(G3)*4/3))*0.723</f>
        <v>6.0878490211474867</v>
      </c>
      <c r="AD3" s="73">
        <f t="shared" ref="AD3:AD13" si="13">AB3/2</f>
        <v>1.5914294121671855</v>
      </c>
      <c r="AE3" s="73">
        <f t="shared" ref="AE3:AE13" si="14">(J3+F3+(LOG(G3)*4/3))*0.385</f>
        <v>2.4718006544146371</v>
      </c>
      <c r="AF3" s="73">
        <f t="shared" ref="AF3:AF13" si="15">((I3+F3+(LOG(G3)*4/3))*0.92)</f>
        <v>7.7466405248349774</v>
      </c>
      <c r="AG3" s="73">
        <f t="shared" ref="AG3:AG13" si="16">(I3+F3+(LOG(G3)*4/3))*0.414</f>
        <v>3.4859882361757393</v>
      </c>
      <c r="AH3" s="73">
        <f t="shared" ref="AH3:AH13" si="17">((J3+F3+(LOG(G3)*4/3))*0.167)</f>
        <v>1.0721836604863491</v>
      </c>
      <c r="AI3" s="73">
        <f t="shared" ref="AI3:AI13" si="18">(K3+F3+(LOG(G3)*4/3))*0.588</f>
        <v>2.5991137267423547</v>
      </c>
      <c r="AJ3" s="73">
        <f>((I3+F3+(LOG(G3)*4/3))*1)</f>
        <v>8.4202614400380185</v>
      </c>
      <c r="AK3" s="73">
        <f>(I3+F3+(LOG(G3)*4/3))*0.479</f>
        <v>4.033305229778211</v>
      </c>
      <c r="AL3" s="73">
        <f>((J3+F3+(LOG(G3)*4/3))*0.067)</f>
        <v>0.43015751648254724</v>
      </c>
      <c r="AM3" s="73">
        <f>(K3+F3+(LOG(G3)*4/3))*0.376</f>
        <v>1.6620183014542949</v>
      </c>
      <c r="AN3" s="73">
        <f t="shared" ref="AN3:AN13" si="19">((I3+F3+(LOG(G3)*4/3))*0.754)</f>
        <v>6.3488771257886656</v>
      </c>
      <c r="AO3" s="73">
        <f t="shared" ref="AO3:AO13" si="20">((I3+F3+(LOG(G3)*4/3))*0.708)</f>
        <v>5.9615450995469166</v>
      </c>
      <c r="AP3" s="73">
        <f t="shared" ref="AP3:AP13" si="21">((N3+F3+(LOG(G3)*4/3))*0.167)</f>
        <v>1.0721836604863491</v>
      </c>
      <c r="AQ3" s="73">
        <f t="shared" ref="AQ3:AQ13" si="22">((O3+F3+(LOG(G3)*4/3))*0.288)</f>
        <v>1.3090352947309492</v>
      </c>
      <c r="AR3" s="73">
        <f t="shared" ref="AR3:AR13" si="23">((I3+F3+(LOG(G3)*4/3))*0.27)</f>
        <v>2.2734705888102651</v>
      </c>
      <c r="AS3" s="73">
        <f t="shared" ref="AS3:AS13" si="24">((I3+F3+(LOG(G3)*4/3))*0.594)</f>
        <v>5.0016352953825827</v>
      </c>
      <c r="AT3" s="73">
        <f t="shared" ref="AT3:AT13" si="25">AR3/2</f>
        <v>1.1367352944051325</v>
      </c>
      <c r="AU3" s="73">
        <f t="shared" ref="AU3:AU13" si="26">((J3+F3+(LOG(G3)*4/3))*0.944)</f>
        <v>6.0607267993958889</v>
      </c>
      <c r="AV3" s="73">
        <f t="shared" ref="AV3:AV13" si="27">((L3+F3+(LOG(G3)*4/3))*0.13)</f>
        <v>0.83463398720494242</v>
      </c>
      <c r="AW3" s="73">
        <f t="shared" ref="AW3:AW13" si="28">((M3+F3+(LOG(G3)*4/3))*0.173)+((L3+F3+(LOG(G3)*4/3))*0.12)</f>
        <v>1.7081366019311393</v>
      </c>
      <c r="AX3" s="73">
        <f t="shared" ref="AX3:AX13" si="29">AV3/2</f>
        <v>0.41731699360247121</v>
      </c>
      <c r="AY3" s="73">
        <f t="shared" ref="AY3:AY13" si="30">((I3+F3+(LOG(G3)*4/3))*0.189)</f>
        <v>1.5914294121671855</v>
      </c>
      <c r="AZ3" s="73">
        <f t="shared" ref="AZ3:AZ13" si="31">((I3+F3+(LOG(G3)*4/3))*0.4)</f>
        <v>3.3681045760152077</v>
      </c>
      <c r="BA3" s="73">
        <f t="shared" ref="BA3:BA13" si="32">AY3/2</f>
        <v>0.79571470608359274</v>
      </c>
      <c r="BB3" s="73">
        <f t="shared" ref="BB3:BB13" si="33">((J3+F3+(LOG(G3)*4/3))*1)</f>
        <v>6.4202614400380185</v>
      </c>
      <c r="BC3" s="73">
        <f t="shared" ref="BC3:BC13" si="34">((L3+F3+(LOG(G3)*4/3))*0.253)</f>
        <v>1.6243261443296186</v>
      </c>
      <c r="BD3" s="73">
        <f t="shared" ref="BD3:BD13" si="35">((M3+F3+(LOG(G3)*4/3))*0.21)+((L3+F3+(LOG(G3)*4/3))*0.341)</f>
        <v>3.3275640534609483</v>
      </c>
      <c r="BE3" s="73">
        <f t="shared" ref="BE3:BE13" si="36">BC3/2</f>
        <v>0.81216307216480932</v>
      </c>
      <c r="BF3" s="73">
        <f t="shared" ref="BF3:BF13" si="37">((I3+F3+(LOG(G3)*4/3))*0.291)</f>
        <v>2.4502960790510633</v>
      </c>
      <c r="BG3" s="73">
        <f t="shared" ref="BG3:BG13" si="38">((I3+F3+(LOG(G3)*4/3))*0.348)</f>
        <v>2.9302509811332302</v>
      </c>
      <c r="BH3" s="73">
        <f t="shared" ref="BH3:BH13" si="39">((J3+F3+(LOG(G3)*4/3))*0.881)</f>
        <v>5.6562503286734946</v>
      </c>
      <c r="BI3" s="73">
        <f t="shared" ref="BI3:BI13" si="40">((K3+F3+(LOG(G3)*4/3))*0.574)+((L3+F3+(LOG(G3)*4/3))*0.315)</f>
        <v>4.5596124201937984</v>
      </c>
      <c r="BJ3" s="73">
        <f t="shared" ref="BJ3:BJ13" si="41">((L3+F3+(LOG(G3)*4/3))*0.241)</f>
        <v>1.5472830070491623</v>
      </c>
      <c r="BK3" s="73">
        <f t="shared" ref="BK3:BK13" si="42">((I3+F3+(LOG(G3)*4/3))*0.485)</f>
        <v>4.0838267984184391</v>
      </c>
      <c r="BL3" s="73">
        <f t="shared" ref="BL3:BL13" si="43">((I3+F3+(LOG(G3)*4/3))*0.264)</f>
        <v>2.222949020170037</v>
      </c>
      <c r="BM3" s="73">
        <f t="shared" ref="BM3:BM13" si="44">((J3+F3+(LOG(G3)*4/3))*0.381)</f>
        <v>2.446119608654485</v>
      </c>
      <c r="BN3" s="73">
        <f t="shared" ref="BN3:BN13" si="45">((K3+F3+(LOG(G3)*4/3))*0.673)+((L3+F3+(LOG(G3)*4/3))*0.201)</f>
        <v>4.2653084985932281</v>
      </c>
      <c r="BO3" s="73">
        <f t="shared" ref="BO3:BO13" si="46">((L3+F3+(LOG(G3)*4/3))*0.052)</f>
        <v>0.33385359488197697</v>
      </c>
      <c r="BP3" s="73">
        <f t="shared" ref="BP3:BP13" si="47">((I3+F3+(LOG(G3)*4/3))*0.18)</f>
        <v>1.5156470592068432</v>
      </c>
      <c r="BQ3" s="73">
        <f t="shared" ref="BQ3:BQ13" si="48">(I3+F3+(LOG(G3)*4/3))*0.068</f>
        <v>0.57257777792258535</v>
      </c>
      <c r="BR3" s="73">
        <f t="shared" ref="BR3:BR13" si="49">((J3+F3+(LOG(G3)*4/3))*0.305)</f>
        <v>1.9581797392115956</v>
      </c>
      <c r="BS3" s="73">
        <f t="shared" ref="BS3:BS13" si="50">((K3+F3+(LOG(G3)*4/3))*1)+((L3+F3+(LOG(G3)*4/3))*0.286)</f>
        <v>6.2564562118888913</v>
      </c>
      <c r="BT3" s="73">
        <f t="shared" ref="BT3:BT13" si="51">((L3+F3+(LOG(G3)*4/3))*0.135)</f>
        <v>0.86673529440513253</v>
      </c>
      <c r="BU3" s="73">
        <f t="shared" ref="BU3:BU13" si="52">((I3+F3+(LOG(G3)*4/3))*0.284)</f>
        <v>2.3913542489707971</v>
      </c>
      <c r="BV3" s="73">
        <f t="shared" ref="BV3:BV13" si="53">(I3+F3+(LOG(G3)*4/3))*0.244</f>
        <v>2.0545437913692766</v>
      </c>
      <c r="BW3" s="73">
        <f t="shared" ref="BW3:BW13" si="54">((J3+F3+(LOG(G3)*4/3))*0.455)</f>
        <v>2.9212189552172987</v>
      </c>
      <c r="BX3" s="73">
        <f t="shared" ref="BX3:BX13" si="55">((K3+F3+(LOG(G3)*4/3))*0.864)+((L3+F3+(LOG(G3)*4/3))*0.244)</f>
        <v>5.3856496755621244</v>
      </c>
      <c r="BY3" s="73">
        <f t="shared" ref="BY3:BY13" si="56">((L3+F3+(LOG(G3)*4/3))*0.121)</f>
        <v>0.77685163424460024</v>
      </c>
      <c r="BZ3" s="73">
        <f t="shared" ref="BZ3:BZ13" si="57">((I3+F3+(LOG(G3)*4/3))*0.284)</f>
        <v>2.3913542489707971</v>
      </c>
      <c r="CA3" s="73">
        <f t="shared" ref="CA3:CA13" si="58">((I3+F3+(LOG(G3)*4/3))*0.244)</f>
        <v>2.0545437913692766</v>
      </c>
      <c r="CB3" s="73">
        <f t="shared" ref="CB3:CB13" si="59">((J3+F3+(LOG(G3)*4/3))*0.631)</f>
        <v>4.05118496866399</v>
      </c>
      <c r="CC3" s="73">
        <f t="shared" ref="CC3:CC13" si="60">((K3+F3+(LOG(G3)*4/3))*0.702)+((L3+F3+(LOG(G3)*4/3))*0.193)</f>
        <v>4.3421339888340267</v>
      </c>
      <c r="CD3" s="73">
        <f t="shared" ref="CD3:CD13" si="61">((L3+F3+(LOG(G3)*4/3))*0.148)</f>
        <v>0.95019869312562666</v>
      </c>
      <c r="CE3" s="73">
        <f t="shared" ref="CE3:CE13" si="62">((J3+F3+(LOG(G3)*4/3))*0.406)</f>
        <v>2.6066261446554355</v>
      </c>
      <c r="CF3" s="73">
        <f t="shared" ref="CF3:CF13" si="63">IF(B3="TEC",((K3+F3+(LOG(G3)*4/3))*0.15)+((L3+F3+(LOG(G3)*4/3))*0.324)+((M3+F3+(LOG(G3)*4/3))*0.127),(((K3+F3+(LOG(G3)*4/3))*0.144)+((L3+F3+(LOG(G3)*4/3))*0.25)+((M3+F3+(LOG(G3)*4/3))*0.127)))</f>
        <v>2.9299562102598076</v>
      </c>
      <c r="CG3" s="73">
        <f t="shared" ref="CG3:CG13" si="64">((L3+F3+(LOG(G3)*4/3))*0.543)+((M3+F3+(LOG(G3)*4/3))*0.583)</f>
        <v>6.6462143814828085</v>
      </c>
      <c r="CH3" s="73">
        <f t="shared" ref="CH3:CH13" si="65">CF3</f>
        <v>2.9299562102598076</v>
      </c>
      <c r="CI3" s="73">
        <f t="shared" ref="CI3:CI13" si="66">((M3+1+(LOG(G3)*4/3))*0.26)+((K3+F3+(LOG(G3)*4/3))*0.221)+((L3+F3+(LOG(G3)*4/3))*0.142)</f>
        <v>3.1678228771436854</v>
      </c>
      <c r="CJ3" s="73">
        <f t="shared" ref="CJ3:CJ13" si="67">((M3+F3+(LOG(G3)*4/3))*1)+((L3+F3+(LOG(G3)*4/3))*0.369)</f>
        <v>7.7893379114120478</v>
      </c>
      <c r="CK3" s="73">
        <f t="shared" ref="CK3:CK13" si="68">CI3</f>
        <v>3.1678228771436854</v>
      </c>
      <c r="CL3" s="73">
        <f t="shared" ref="CL3:CL13" si="69">((J3+F3+(LOG(G3)*4/3))*0.25)</f>
        <v>1.6050653600095046</v>
      </c>
    </row>
    <row r="4" spans="1:90" x14ac:dyDescent="0.25">
      <c r="A4" s="68" t="e">
        <f>PLANTILLA!#REF!</f>
        <v>#REF!</v>
      </c>
      <c r="B4" s="2" t="e">
        <f>PLANTILLA!#REF!</f>
        <v>#REF!</v>
      </c>
      <c r="C4" s="350" t="e">
        <f>PLANTILLA!#REF!</f>
        <v>#REF!</v>
      </c>
      <c r="D4" s="428" t="e">
        <f>PLANTILLA!#REF!</f>
        <v>#REF!</v>
      </c>
      <c r="E4" s="428" t="e">
        <f>PLANTILLA!#REF!</f>
        <v>#REF!</v>
      </c>
      <c r="F4" s="429">
        <v>1.5</v>
      </c>
      <c r="G4" s="108" t="e">
        <f>PLANTILLA!#REF!</f>
        <v>#REF!</v>
      </c>
      <c r="H4" s="76" t="e">
        <f>PLANTILLA!#REF!</f>
        <v>#REF!</v>
      </c>
      <c r="I4" s="76" t="e">
        <f>PLANTILLA!#REF!</f>
        <v>#REF!</v>
      </c>
      <c r="J4" s="76" t="e">
        <f>PLANTILLA!#REF!</f>
        <v>#REF!</v>
      </c>
      <c r="K4" s="76" t="e">
        <f>PLANTILLA!#REF!</f>
        <v>#REF!</v>
      </c>
      <c r="L4" s="76" t="e">
        <f>PLANTILLA!#REF!</f>
        <v>#REF!</v>
      </c>
      <c r="M4" s="76" t="e">
        <f>PLANTILLA!#REF!</f>
        <v>#REF!</v>
      </c>
      <c r="N4" s="76" t="e">
        <f>PLANTILLA!#REF!</f>
        <v>#REF!</v>
      </c>
      <c r="O4" s="108" t="e">
        <f t="shared" si="0"/>
        <v>#REF!</v>
      </c>
      <c r="P4" s="108" t="e">
        <f t="shared" si="1"/>
        <v>#REF!</v>
      </c>
      <c r="Q4" s="76" t="e">
        <f t="shared" si="2"/>
        <v>#REF!</v>
      </c>
      <c r="R4" s="76" t="e">
        <f t="shared" si="3"/>
        <v>#REF!</v>
      </c>
      <c r="S4" s="108" t="e">
        <f t="shared" ref="S4:S13" si="70">(N4+F4+(LOG(G4)*4/3))*(C4/7)^0.5</f>
        <v>#REF!</v>
      </c>
      <c r="T4" s="108" t="e">
        <f t="shared" ref="T4:T13" si="71">(N4+F4+(LOG(G4)*4/3))*((C4+0.99)/7)^0.5</f>
        <v>#REF!</v>
      </c>
      <c r="U4" s="73" t="e">
        <f t="shared" si="4"/>
        <v>#REF!</v>
      </c>
      <c r="V4" s="73" t="e">
        <f t="shared" si="5"/>
        <v>#REF!</v>
      </c>
      <c r="W4" s="73" t="e">
        <f t="shared" si="6"/>
        <v>#REF!</v>
      </c>
      <c r="X4" s="73" t="e">
        <f t="shared" si="7"/>
        <v>#REF!</v>
      </c>
      <c r="Y4" s="73" t="e">
        <f t="shared" si="8"/>
        <v>#REF!</v>
      </c>
      <c r="Z4" s="73" t="e">
        <f t="shared" si="9"/>
        <v>#REF!</v>
      </c>
      <c r="AA4" s="73" t="e">
        <f t="shared" si="10"/>
        <v>#REF!</v>
      </c>
      <c r="AB4" s="73" t="e">
        <f t="shared" si="11"/>
        <v>#REF!</v>
      </c>
      <c r="AC4" s="73" t="e">
        <f t="shared" si="12"/>
        <v>#REF!</v>
      </c>
      <c r="AD4" s="73" t="e">
        <f t="shared" si="13"/>
        <v>#REF!</v>
      </c>
      <c r="AE4" s="73" t="e">
        <f t="shared" si="14"/>
        <v>#REF!</v>
      </c>
      <c r="AF4" s="73" t="e">
        <f t="shared" si="15"/>
        <v>#REF!</v>
      </c>
      <c r="AG4" s="73" t="e">
        <f t="shared" si="16"/>
        <v>#REF!</v>
      </c>
      <c r="AH4" s="73" t="e">
        <f t="shared" si="17"/>
        <v>#REF!</v>
      </c>
      <c r="AI4" s="73" t="e">
        <f t="shared" si="18"/>
        <v>#REF!</v>
      </c>
      <c r="AJ4" s="73" t="e">
        <f t="shared" ref="AJ4:AJ13" si="72">((I4+F4+(LOG(G4)*4/3))*1)</f>
        <v>#REF!</v>
      </c>
      <c r="AK4" s="73" t="e">
        <f t="shared" ref="AK4:AK13" si="73">(I4+F4+(LOG(G4)*4/3))*0.479</f>
        <v>#REF!</v>
      </c>
      <c r="AL4" s="73" t="e">
        <f t="shared" ref="AL4:AL13" si="74">((J4+F4+(LOG(G4)*4/3))*0.067)</f>
        <v>#REF!</v>
      </c>
      <c r="AM4" s="73" t="e">
        <f t="shared" ref="AM4:AM13" si="75">(K4+F4+(LOG(G4)*4/3))*0.376</f>
        <v>#REF!</v>
      </c>
      <c r="AN4" s="73" t="e">
        <f t="shared" si="19"/>
        <v>#REF!</v>
      </c>
      <c r="AO4" s="73" t="e">
        <f t="shared" si="20"/>
        <v>#REF!</v>
      </c>
      <c r="AP4" s="73" t="e">
        <f t="shared" si="21"/>
        <v>#REF!</v>
      </c>
      <c r="AQ4" s="73" t="e">
        <f t="shared" si="22"/>
        <v>#REF!</v>
      </c>
      <c r="AR4" s="73" t="e">
        <f t="shared" si="23"/>
        <v>#REF!</v>
      </c>
      <c r="AS4" s="73" t="e">
        <f t="shared" si="24"/>
        <v>#REF!</v>
      </c>
      <c r="AT4" s="73" t="e">
        <f t="shared" si="25"/>
        <v>#REF!</v>
      </c>
      <c r="AU4" s="73" t="e">
        <f t="shared" si="26"/>
        <v>#REF!</v>
      </c>
      <c r="AV4" s="73" t="e">
        <f t="shared" si="27"/>
        <v>#REF!</v>
      </c>
      <c r="AW4" s="73" t="e">
        <f t="shared" si="28"/>
        <v>#REF!</v>
      </c>
      <c r="AX4" s="73" t="e">
        <f t="shared" si="29"/>
        <v>#REF!</v>
      </c>
      <c r="AY4" s="73" t="e">
        <f t="shared" si="30"/>
        <v>#REF!</v>
      </c>
      <c r="AZ4" s="73" t="e">
        <f t="shared" si="31"/>
        <v>#REF!</v>
      </c>
      <c r="BA4" s="73" t="e">
        <f t="shared" si="32"/>
        <v>#REF!</v>
      </c>
      <c r="BB4" s="73" t="e">
        <f t="shared" si="33"/>
        <v>#REF!</v>
      </c>
      <c r="BC4" s="73" t="e">
        <f t="shared" si="34"/>
        <v>#REF!</v>
      </c>
      <c r="BD4" s="73" t="e">
        <f t="shared" si="35"/>
        <v>#REF!</v>
      </c>
      <c r="BE4" s="73" t="e">
        <f t="shared" si="36"/>
        <v>#REF!</v>
      </c>
      <c r="BF4" s="73" t="e">
        <f t="shared" si="37"/>
        <v>#REF!</v>
      </c>
      <c r="BG4" s="73" t="e">
        <f t="shared" si="38"/>
        <v>#REF!</v>
      </c>
      <c r="BH4" s="73" t="e">
        <f t="shared" si="39"/>
        <v>#REF!</v>
      </c>
      <c r="BI4" s="73" t="e">
        <f t="shared" si="40"/>
        <v>#REF!</v>
      </c>
      <c r="BJ4" s="73" t="e">
        <f t="shared" si="41"/>
        <v>#REF!</v>
      </c>
      <c r="BK4" s="73" t="e">
        <f t="shared" si="42"/>
        <v>#REF!</v>
      </c>
      <c r="BL4" s="73" t="e">
        <f t="shared" si="43"/>
        <v>#REF!</v>
      </c>
      <c r="BM4" s="73" t="e">
        <f t="shared" si="44"/>
        <v>#REF!</v>
      </c>
      <c r="BN4" s="73" t="e">
        <f t="shared" si="45"/>
        <v>#REF!</v>
      </c>
      <c r="BO4" s="73" t="e">
        <f t="shared" si="46"/>
        <v>#REF!</v>
      </c>
      <c r="BP4" s="73" t="e">
        <f t="shared" si="47"/>
        <v>#REF!</v>
      </c>
      <c r="BQ4" s="73" t="e">
        <f t="shared" si="48"/>
        <v>#REF!</v>
      </c>
      <c r="BR4" s="73" t="e">
        <f t="shared" si="49"/>
        <v>#REF!</v>
      </c>
      <c r="BS4" s="73" t="e">
        <f t="shared" si="50"/>
        <v>#REF!</v>
      </c>
      <c r="BT4" s="73" t="e">
        <f t="shared" si="51"/>
        <v>#REF!</v>
      </c>
      <c r="BU4" s="73" t="e">
        <f t="shared" si="52"/>
        <v>#REF!</v>
      </c>
      <c r="BV4" s="73" t="e">
        <f t="shared" si="53"/>
        <v>#REF!</v>
      </c>
      <c r="BW4" s="73" t="e">
        <f t="shared" si="54"/>
        <v>#REF!</v>
      </c>
      <c r="BX4" s="73" t="e">
        <f t="shared" si="55"/>
        <v>#REF!</v>
      </c>
      <c r="BY4" s="73" t="e">
        <f t="shared" si="56"/>
        <v>#REF!</v>
      </c>
      <c r="BZ4" s="73" t="e">
        <f t="shared" si="57"/>
        <v>#REF!</v>
      </c>
      <c r="CA4" s="73" t="e">
        <f t="shared" si="58"/>
        <v>#REF!</v>
      </c>
      <c r="CB4" s="73" t="e">
        <f t="shared" si="59"/>
        <v>#REF!</v>
      </c>
      <c r="CC4" s="73" t="e">
        <f t="shared" si="60"/>
        <v>#REF!</v>
      </c>
      <c r="CD4" s="73" t="e">
        <f t="shared" si="61"/>
        <v>#REF!</v>
      </c>
      <c r="CE4" s="73" t="e">
        <f t="shared" si="62"/>
        <v>#REF!</v>
      </c>
      <c r="CF4" s="73" t="e">
        <f t="shared" si="63"/>
        <v>#REF!</v>
      </c>
      <c r="CG4" s="73" t="e">
        <f t="shared" si="64"/>
        <v>#REF!</v>
      </c>
      <c r="CH4" s="73" t="e">
        <f t="shared" si="65"/>
        <v>#REF!</v>
      </c>
      <c r="CI4" s="73" t="e">
        <f t="shared" si="66"/>
        <v>#REF!</v>
      </c>
      <c r="CJ4" s="73" t="e">
        <f t="shared" si="67"/>
        <v>#REF!</v>
      </c>
      <c r="CK4" s="73" t="e">
        <f t="shared" si="68"/>
        <v>#REF!</v>
      </c>
      <c r="CL4" s="73" t="e">
        <f t="shared" si="69"/>
        <v>#REF!</v>
      </c>
    </row>
    <row r="5" spans="1:90" x14ac:dyDescent="0.25">
      <c r="A5" s="68" t="str">
        <f>PLANTILLA!D10</f>
        <v>G. Durand</v>
      </c>
      <c r="B5" s="2" t="str">
        <f>PLANTILLA!G10</f>
        <v>IMP</v>
      </c>
      <c r="C5" s="350">
        <f>PLANTILLA!P10</f>
        <v>6</v>
      </c>
      <c r="D5" s="428">
        <f>PLANTILLA!Q10</f>
        <v>0.92582009977255142</v>
      </c>
      <c r="E5" s="428">
        <f>PLANTILLA!R10</f>
        <v>0.99928545900129484</v>
      </c>
      <c r="F5" s="429">
        <v>1.5</v>
      </c>
      <c r="G5" s="108">
        <f>PLANTILLA!I10</f>
        <v>2.5</v>
      </c>
      <c r="H5" s="76">
        <f>PLANTILLA!W10</f>
        <v>0</v>
      </c>
      <c r="I5" s="76">
        <f>PLANTILLA!X10</f>
        <v>5</v>
      </c>
      <c r="J5" s="76">
        <f>PLANTILLA!Y10</f>
        <v>9.2857142857142865</v>
      </c>
      <c r="K5" s="76">
        <f>PLANTILLA!Z10</f>
        <v>2</v>
      </c>
      <c r="L5" s="76">
        <f>PLANTILLA!AA10</f>
        <v>3</v>
      </c>
      <c r="M5" s="76">
        <f>PLANTILLA!AB10</f>
        <v>4</v>
      </c>
      <c r="N5" s="76">
        <f>PLANTILLA!AC10</f>
        <v>2</v>
      </c>
      <c r="O5" s="108">
        <f>((2*(L5+1))+(I5+1))/8</f>
        <v>1.75</v>
      </c>
      <c r="P5" s="108">
        <f>1.66*(M5+(LOG(G5)*4/3)+F5)+0.55*(N5+(LOG(G5)*4/3)+F5)-7.6</f>
        <v>4.6275965588869372</v>
      </c>
      <c r="Q5" s="76">
        <f>(0.5*M5+0.3*N5)/10</f>
        <v>0.26</v>
      </c>
      <c r="R5" s="76">
        <f>(0.4*I5+0.3*N5)/10</f>
        <v>0.26</v>
      </c>
      <c r="S5" s="108">
        <f t="shared" si="70"/>
        <v>3.7315981605802442</v>
      </c>
      <c r="T5" s="108">
        <f t="shared" si="71"/>
        <v>4.0277066587989534</v>
      </c>
      <c r="U5" s="73">
        <f>((H5+F5+(LOG(G5)*4/3))*0.597)+((I5+F5+(LOG(G5)*4/3))*0.276)</f>
        <v>3.1527021700942517</v>
      </c>
      <c r="V5" s="73">
        <f>((H5+F5+(LOG(G5)*4/3))*0.866)+((I5+F5+(LOG(G5)*4/3))*0.425)</f>
        <v>4.7464874015941341</v>
      </c>
      <c r="W5" s="73">
        <f>U5</f>
        <v>3.1527021700942517</v>
      </c>
      <c r="X5" s="73">
        <f>((I5+F5+(LOG(G5)*4/3))*0.516)</f>
        <v>3.627782725966362</v>
      </c>
      <c r="Y5" s="73">
        <f>(I5+F5+(LOG(G5)*4/3))*1</f>
        <v>7.0305866782293833</v>
      </c>
      <c r="Z5" s="73">
        <f>X5/2</f>
        <v>1.813891362983181</v>
      </c>
      <c r="AA5" s="73">
        <f>(J5+F5+(LOG(G5)*4/3))*0.238</f>
        <v>2.6932796294185932</v>
      </c>
      <c r="AB5" s="73">
        <f>((I5+F5+(LOG(G5)*4/3))*0.378)</f>
        <v>2.657561764370707</v>
      </c>
      <c r="AC5" s="73">
        <f>(I5+F5+(LOG(G5)*4/3))*0.723</f>
        <v>5.0831141683598435</v>
      </c>
      <c r="AD5" s="73">
        <f>AB5/2</f>
        <v>1.3287808821853535</v>
      </c>
      <c r="AE5" s="73">
        <f>(J5+F5+(LOG(G5)*4/3))*0.385</f>
        <v>4.3567758711183133</v>
      </c>
      <c r="AF5" s="73">
        <f t="shared" si="15"/>
        <v>6.4681397439710331</v>
      </c>
      <c r="AG5" s="73">
        <f t="shared" si="16"/>
        <v>2.9106628847869644</v>
      </c>
      <c r="AH5" s="73">
        <f t="shared" si="17"/>
        <v>1.8898222609785931</v>
      </c>
      <c r="AI5" s="73">
        <f t="shared" si="18"/>
        <v>2.369984966798877</v>
      </c>
      <c r="AJ5" s="73">
        <f t="shared" si="72"/>
        <v>7.0305866782293833</v>
      </c>
      <c r="AK5" s="73">
        <f t="shared" si="73"/>
        <v>3.3676510188718747</v>
      </c>
      <c r="AL5" s="73">
        <f t="shared" si="74"/>
        <v>0.75819216458422589</v>
      </c>
      <c r="AM5" s="73">
        <f t="shared" si="75"/>
        <v>1.5155005910142481</v>
      </c>
      <c r="AN5" s="73">
        <f t="shared" si="19"/>
        <v>5.3010623553849552</v>
      </c>
      <c r="AO5" s="73">
        <f t="shared" si="20"/>
        <v>4.9776553681864035</v>
      </c>
      <c r="AP5" s="73">
        <f t="shared" si="21"/>
        <v>0.6731079752643071</v>
      </c>
      <c r="AQ5" s="73">
        <f t="shared" si="22"/>
        <v>1.0888089633300624</v>
      </c>
      <c r="AR5" s="73">
        <f t="shared" si="23"/>
        <v>1.8982584031219336</v>
      </c>
      <c r="AS5" s="73">
        <f t="shared" si="24"/>
        <v>4.1761684868682538</v>
      </c>
      <c r="AT5" s="73">
        <f>AR5/2</f>
        <v>0.94912920156096681</v>
      </c>
      <c r="AU5" s="73">
        <f t="shared" si="26"/>
        <v>10.682588109962824</v>
      </c>
      <c r="AV5" s="73">
        <f t="shared" si="27"/>
        <v>0.65397626816981991</v>
      </c>
      <c r="AW5" s="73">
        <f t="shared" si="28"/>
        <v>1.646961896721209</v>
      </c>
      <c r="AX5" s="73">
        <f>AV5/2</f>
        <v>0.32698813408490995</v>
      </c>
      <c r="AY5" s="73">
        <f t="shared" si="30"/>
        <v>1.3287808821853535</v>
      </c>
      <c r="AZ5" s="73">
        <f t="shared" si="31"/>
        <v>2.8122346712917534</v>
      </c>
      <c r="BA5" s="73">
        <f>AY5/2</f>
        <v>0.66439044109267675</v>
      </c>
      <c r="BB5" s="73">
        <f t="shared" si="33"/>
        <v>11.31630096394367</v>
      </c>
      <c r="BC5" s="73">
        <f t="shared" si="34"/>
        <v>1.2727384295920341</v>
      </c>
      <c r="BD5" s="73">
        <f t="shared" si="35"/>
        <v>2.9818532597043905</v>
      </c>
      <c r="BE5" s="73">
        <f>BC5/2</f>
        <v>0.63636921479601705</v>
      </c>
      <c r="BF5" s="73">
        <f t="shared" si="37"/>
        <v>2.0459007233647504</v>
      </c>
      <c r="BG5" s="73">
        <f t="shared" si="38"/>
        <v>2.4466441640238252</v>
      </c>
      <c r="BH5" s="73">
        <f t="shared" si="39"/>
        <v>9.9696611492343727</v>
      </c>
      <c r="BI5" s="73">
        <f t="shared" si="40"/>
        <v>3.8981915569459216</v>
      </c>
      <c r="BJ5" s="73">
        <f t="shared" si="41"/>
        <v>1.2123713894532813</v>
      </c>
      <c r="BK5" s="73">
        <f t="shared" si="42"/>
        <v>3.4098345389412508</v>
      </c>
      <c r="BL5" s="73">
        <f t="shared" si="43"/>
        <v>1.8560748830525573</v>
      </c>
      <c r="BM5" s="73">
        <f t="shared" si="44"/>
        <v>4.3115106672625378</v>
      </c>
      <c r="BN5" s="73">
        <f t="shared" si="45"/>
        <v>3.7237327567724812</v>
      </c>
      <c r="BO5" s="73">
        <f t="shared" si="46"/>
        <v>0.26159050726792793</v>
      </c>
      <c r="BP5" s="73">
        <f t="shared" si="47"/>
        <v>1.2655056020812889</v>
      </c>
      <c r="BQ5" s="73">
        <f t="shared" si="48"/>
        <v>0.47807989411959811</v>
      </c>
      <c r="BR5" s="73">
        <f t="shared" si="49"/>
        <v>3.4514717940028192</v>
      </c>
      <c r="BS5" s="73">
        <f t="shared" si="50"/>
        <v>5.4693344682029865</v>
      </c>
      <c r="BT5" s="73">
        <f t="shared" si="51"/>
        <v>0.67912920156096679</v>
      </c>
      <c r="BU5" s="73">
        <f t="shared" si="52"/>
        <v>1.9966866166171446</v>
      </c>
      <c r="BV5" s="73">
        <f t="shared" si="53"/>
        <v>1.7154631494879695</v>
      </c>
      <c r="BW5" s="73">
        <f t="shared" si="54"/>
        <v>5.1489169385943701</v>
      </c>
      <c r="BX5" s="73">
        <f t="shared" si="55"/>
        <v>4.7098900394781564</v>
      </c>
      <c r="BY5" s="73">
        <f t="shared" si="56"/>
        <v>0.60870098806575534</v>
      </c>
      <c r="BZ5" s="73">
        <f t="shared" si="57"/>
        <v>1.9966866166171446</v>
      </c>
      <c r="CA5" s="73">
        <f t="shared" si="58"/>
        <v>1.7154631494879695</v>
      </c>
      <c r="CB5" s="73">
        <f t="shared" si="59"/>
        <v>7.1405859082484557</v>
      </c>
      <c r="CC5" s="73">
        <f t="shared" si="60"/>
        <v>3.800375077015298</v>
      </c>
      <c r="CD5" s="73">
        <f t="shared" si="61"/>
        <v>0.7445268283779487</v>
      </c>
      <c r="CE5" s="73">
        <f t="shared" si="62"/>
        <v>4.5944181913611306</v>
      </c>
      <c r="CF5" s="73">
        <f t="shared" si="63"/>
        <v>2.6039356593575085</v>
      </c>
      <c r="CG5" s="73">
        <f t="shared" si="64"/>
        <v>6.2474405996862856</v>
      </c>
      <c r="CH5" s="73">
        <f>CF5</f>
        <v>2.6039356593575085</v>
      </c>
      <c r="CI5" s="73">
        <f t="shared" si="66"/>
        <v>3.043055500536906</v>
      </c>
      <c r="CJ5" s="73">
        <f t="shared" si="67"/>
        <v>7.886873162496026</v>
      </c>
      <c r="CK5" s="73">
        <f>CI5</f>
        <v>3.043055500536906</v>
      </c>
      <c r="CL5" s="73">
        <f>((J5+F5+(LOG(G5)*4/3))*0.25)</f>
        <v>2.8290752409859174</v>
      </c>
    </row>
    <row r="6" spans="1:90" x14ac:dyDescent="0.25">
      <c r="A6" s="68" t="str">
        <f>PLANTILLA!D7</f>
        <v>D. Juliol</v>
      </c>
      <c r="C6" s="350">
        <f>PLANTILLA!P7</f>
        <v>6</v>
      </c>
      <c r="D6" s="428">
        <f>PLANTILLA!Q7</f>
        <v>0.92582009977255142</v>
      </c>
      <c r="E6" s="428">
        <f>PLANTILLA!R7</f>
        <v>0.99928545900129484</v>
      </c>
      <c r="F6" s="429">
        <v>1.5</v>
      </c>
      <c r="G6" s="108">
        <f>PLANTILLA!I7</f>
        <v>3</v>
      </c>
      <c r="H6" s="76">
        <f>PLANTILLA!W7</f>
        <v>1</v>
      </c>
      <c r="I6" s="76">
        <f>PLANTILLA!X7</f>
        <v>5</v>
      </c>
      <c r="J6" s="76">
        <f>PLANTILLA!Y7</f>
        <v>7.2</v>
      </c>
      <c r="K6" s="76">
        <f>PLANTILLA!Z7</f>
        <v>5</v>
      </c>
      <c r="L6" s="76">
        <f>PLANTILLA!AA7</f>
        <v>2</v>
      </c>
      <c r="M6" s="76">
        <f>PLANTILLA!AB7</f>
        <v>6.25</v>
      </c>
      <c r="N6" s="76">
        <f>PLANTILLA!AC7</f>
        <v>1</v>
      </c>
      <c r="O6" s="108">
        <f t="shared" si="0"/>
        <v>1.5</v>
      </c>
      <c r="P6" s="108">
        <f t="shared" si="1"/>
        <v>8.0459172972406048</v>
      </c>
      <c r="Q6" s="76">
        <f t="shared" si="2"/>
        <v>0.34249999999999997</v>
      </c>
      <c r="R6" s="76">
        <f t="shared" si="3"/>
        <v>0.22999999999999998</v>
      </c>
      <c r="S6" s="108">
        <f t="shared" si="70"/>
        <v>2.903521512962262</v>
      </c>
      <c r="T6" s="108">
        <f t="shared" si="71"/>
        <v>3.1339207568656526</v>
      </c>
      <c r="U6" s="73">
        <f t="shared" si="4"/>
        <v>3.8418691404936869</v>
      </c>
      <c r="V6" s="73">
        <f t="shared" si="5"/>
        <v>5.7487847197907787</v>
      </c>
      <c r="W6" s="73">
        <f t="shared" si="6"/>
        <v>3.8418691404936869</v>
      </c>
      <c r="X6" s="73">
        <f t="shared" si="7"/>
        <v>3.6822594232471277</v>
      </c>
      <c r="Y6" s="73">
        <f t="shared" si="8"/>
        <v>7.1361616729595498</v>
      </c>
      <c r="Z6" s="73">
        <f t="shared" si="9"/>
        <v>1.8411297116235639</v>
      </c>
      <c r="AA6" s="73">
        <f t="shared" si="10"/>
        <v>2.2220064781643729</v>
      </c>
      <c r="AB6" s="73">
        <f t="shared" si="11"/>
        <v>2.6974691123787098</v>
      </c>
      <c r="AC6" s="73">
        <f t="shared" si="12"/>
        <v>5.1594448895497544</v>
      </c>
      <c r="AD6" s="73">
        <f t="shared" si="13"/>
        <v>1.3487345561893549</v>
      </c>
      <c r="AE6" s="73">
        <f t="shared" si="14"/>
        <v>3.5944222440894267</v>
      </c>
      <c r="AF6" s="73">
        <f t="shared" si="15"/>
        <v>6.5652687391227857</v>
      </c>
      <c r="AG6" s="73">
        <f t="shared" si="16"/>
        <v>2.9543709326052534</v>
      </c>
      <c r="AH6" s="73">
        <f t="shared" si="17"/>
        <v>1.5591389993842451</v>
      </c>
      <c r="AI6" s="73">
        <f t="shared" si="18"/>
        <v>4.1960630637002154</v>
      </c>
      <c r="AJ6" s="73">
        <f t="shared" si="72"/>
        <v>7.1361616729595498</v>
      </c>
      <c r="AK6" s="73">
        <f t="shared" si="73"/>
        <v>3.4182214413476242</v>
      </c>
      <c r="AL6" s="73">
        <f t="shared" si="74"/>
        <v>0.62552283208828985</v>
      </c>
      <c r="AM6" s="73">
        <f t="shared" si="75"/>
        <v>2.6831967890327908</v>
      </c>
      <c r="AN6" s="73">
        <f t="shared" si="19"/>
        <v>5.3806659014115006</v>
      </c>
      <c r="AO6" s="73">
        <f t="shared" si="20"/>
        <v>5.0524024644553611</v>
      </c>
      <c r="AP6" s="73">
        <f t="shared" si="21"/>
        <v>0.52373899938424484</v>
      </c>
      <c r="AQ6" s="73">
        <f t="shared" si="22"/>
        <v>1.0472145618123503</v>
      </c>
      <c r="AR6" s="73">
        <f t="shared" si="23"/>
        <v>1.9267636516990785</v>
      </c>
      <c r="AS6" s="73">
        <f t="shared" si="24"/>
        <v>4.2388800337379724</v>
      </c>
      <c r="AT6" s="73">
        <f t="shared" si="25"/>
        <v>0.96338182584953924</v>
      </c>
      <c r="AU6" s="73">
        <f t="shared" si="26"/>
        <v>8.8133366192738141</v>
      </c>
      <c r="AV6" s="73">
        <f t="shared" si="27"/>
        <v>0.53770101748474153</v>
      </c>
      <c r="AW6" s="73">
        <f t="shared" si="28"/>
        <v>1.9471453701771482</v>
      </c>
      <c r="AX6" s="73">
        <f t="shared" si="29"/>
        <v>0.26885050874237076</v>
      </c>
      <c r="AY6" s="73">
        <f t="shared" si="30"/>
        <v>1.3487345561893549</v>
      </c>
      <c r="AZ6" s="73">
        <f t="shared" si="31"/>
        <v>2.85446466918382</v>
      </c>
      <c r="BA6" s="73">
        <f t="shared" si="32"/>
        <v>0.67436727809467745</v>
      </c>
      <c r="BB6" s="73">
        <f t="shared" si="33"/>
        <v>9.33616167295955</v>
      </c>
      <c r="BC6" s="73">
        <f t="shared" si="34"/>
        <v>1.046448903258766</v>
      </c>
      <c r="BD6" s="73">
        <f t="shared" si="35"/>
        <v>3.1715250818007119</v>
      </c>
      <c r="BE6" s="73">
        <f t="shared" si="36"/>
        <v>0.52322445162938302</v>
      </c>
      <c r="BF6" s="73">
        <f t="shared" si="37"/>
        <v>2.0766230468312288</v>
      </c>
      <c r="BG6" s="73">
        <f t="shared" si="38"/>
        <v>2.4833842621899231</v>
      </c>
      <c r="BH6" s="73">
        <f t="shared" si="39"/>
        <v>8.2251584338773629</v>
      </c>
      <c r="BI6" s="73">
        <f t="shared" si="40"/>
        <v>5.3990477272610402</v>
      </c>
      <c r="BJ6" s="73">
        <f t="shared" si="41"/>
        <v>0.99681496318325147</v>
      </c>
      <c r="BK6" s="73">
        <f t="shared" si="42"/>
        <v>3.4610384113853816</v>
      </c>
      <c r="BL6" s="73">
        <f t="shared" si="43"/>
        <v>1.8839466816613213</v>
      </c>
      <c r="BM6" s="73">
        <f t="shared" si="44"/>
        <v>3.5570775973975888</v>
      </c>
      <c r="BN6" s="73">
        <f t="shared" si="45"/>
        <v>5.6340053021666465</v>
      </c>
      <c r="BO6" s="73">
        <f t="shared" si="46"/>
        <v>0.21508040699389658</v>
      </c>
      <c r="BP6" s="73">
        <f t="shared" si="47"/>
        <v>1.284509101132719</v>
      </c>
      <c r="BQ6" s="73">
        <f t="shared" si="48"/>
        <v>0.48525899376124942</v>
      </c>
      <c r="BR6" s="73">
        <f t="shared" si="49"/>
        <v>2.8475293102526629</v>
      </c>
      <c r="BS6" s="73">
        <f t="shared" si="50"/>
        <v>8.3191039114259802</v>
      </c>
      <c r="BT6" s="73">
        <f t="shared" si="51"/>
        <v>0.55838182584953922</v>
      </c>
      <c r="BU6" s="73">
        <f t="shared" si="52"/>
        <v>2.0266699151205119</v>
      </c>
      <c r="BV6" s="73">
        <f t="shared" si="53"/>
        <v>1.74122344820213</v>
      </c>
      <c r="BW6" s="73">
        <f t="shared" si="54"/>
        <v>4.2479535611965957</v>
      </c>
      <c r="BX6" s="73">
        <f t="shared" si="55"/>
        <v>7.1748671336391814</v>
      </c>
      <c r="BY6" s="73">
        <f t="shared" si="56"/>
        <v>0.50047556242810554</v>
      </c>
      <c r="BZ6" s="73">
        <f t="shared" si="57"/>
        <v>2.0266699151205119</v>
      </c>
      <c r="CA6" s="73">
        <f t="shared" si="58"/>
        <v>1.74122344820213</v>
      </c>
      <c r="CB6" s="73">
        <f t="shared" si="59"/>
        <v>5.8911180156374758</v>
      </c>
      <c r="CC6" s="73">
        <f t="shared" si="60"/>
        <v>5.8078646972987968</v>
      </c>
      <c r="CD6" s="73">
        <f t="shared" si="61"/>
        <v>0.6121519275980134</v>
      </c>
      <c r="CE6" s="73">
        <f t="shared" si="62"/>
        <v>3.7904816392215777</v>
      </c>
      <c r="CF6" s="73">
        <f t="shared" si="63"/>
        <v>3.1266902316119256</v>
      </c>
      <c r="CG6" s="73">
        <f t="shared" si="64"/>
        <v>7.1350680437524536</v>
      </c>
      <c r="CH6" s="73">
        <f t="shared" si="65"/>
        <v>3.1266902316119256</v>
      </c>
      <c r="CI6" s="73">
        <f t="shared" si="66"/>
        <v>4.2148287222537997</v>
      </c>
      <c r="CJ6" s="73">
        <f t="shared" si="67"/>
        <v>9.912405330281624</v>
      </c>
      <c r="CK6" s="73">
        <f t="shared" si="68"/>
        <v>4.2148287222537997</v>
      </c>
      <c r="CL6" s="73">
        <f t="shared" si="69"/>
        <v>2.3340404182398875</v>
      </c>
    </row>
    <row r="7" spans="1:90" x14ac:dyDescent="0.25">
      <c r="A7" s="68" t="str">
        <f>PLANTILLA!D17</f>
        <v>A. Retegui</v>
      </c>
      <c r="C7" s="350">
        <f>PLANTILLA!P17</f>
        <v>7</v>
      </c>
      <c r="D7" s="428">
        <f>PLANTILLA!Q17</f>
        <v>1</v>
      </c>
      <c r="E7" s="428">
        <f>PLANTILLA!R17</f>
        <v>1</v>
      </c>
      <c r="F7" s="429">
        <v>1.5</v>
      </c>
      <c r="G7" s="108">
        <f>PLANTILLA!I17</f>
        <v>1.9</v>
      </c>
      <c r="H7" s="76">
        <f>PLANTILLA!W17</f>
        <v>0</v>
      </c>
      <c r="I7" s="76">
        <f>PLANTILLA!X17</f>
        <v>4</v>
      </c>
      <c r="J7" s="76">
        <f>PLANTILLA!Y17</f>
        <v>11.875</v>
      </c>
      <c r="K7" s="76">
        <f>PLANTILLA!Z17</f>
        <v>5</v>
      </c>
      <c r="L7" s="76">
        <f>PLANTILLA!AA17</f>
        <v>5</v>
      </c>
      <c r="M7" s="76">
        <f>PLANTILLA!AB17</f>
        <v>4</v>
      </c>
      <c r="N7" s="76">
        <f>PLANTILLA!AC17</f>
        <v>5</v>
      </c>
      <c r="O7" s="108">
        <f>((2*(L7+1))+(I7+1))/8</f>
        <v>2.125</v>
      </c>
      <c r="P7" s="108">
        <f>1.66*(M7+(LOG(G7)*4/3)+F7)+0.55*(N7+(LOG(G7)*4/3)+F7)-7.6</f>
        <v>5.9263939441410027</v>
      </c>
      <c r="Q7" s="76">
        <f>(0.5*M7+0.3*N7)/10</f>
        <v>0.35</v>
      </c>
      <c r="R7" s="76">
        <f>(0.4*I7+0.3*N7)/10</f>
        <v>0.31</v>
      </c>
      <c r="S7" s="108">
        <f t="shared" si="70"/>
        <v>6.8716714679371051</v>
      </c>
      <c r="T7" s="108">
        <f t="shared" si="71"/>
        <v>7.3415330378261938</v>
      </c>
      <c r="U7" s="73">
        <f>((H7+F7+(LOG(G7)*4/3))*0.597)+((I7+F7+(LOG(G7)*4/3))*0.276)</f>
        <v>2.7379691915090927</v>
      </c>
      <c r="V7" s="73">
        <f>((H7+F7+(LOG(G7)*4/3))*0.866)+((I7+F7+(LOG(G7)*4/3))*0.425)</f>
        <v>4.1163278651068023</v>
      </c>
      <c r="W7" s="73">
        <f>U7</f>
        <v>2.7379691915090927</v>
      </c>
      <c r="X7" s="73">
        <f>((I7+F7+(LOG(G7)*4/3))*0.516)</f>
        <v>3.0297824774555462</v>
      </c>
      <c r="Y7" s="73">
        <f>(I7+F7+(LOG(G7)*4/3))*1</f>
        <v>5.8716714679371051</v>
      </c>
      <c r="Z7" s="73">
        <f>X7/2</f>
        <v>1.5148912387277731</v>
      </c>
      <c r="AA7" s="73">
        <f>(J7+F7+(LOG(G7)*4/3))*0.238</f>
        <v>3.2717078093690311</v>
      </c>
      <c r="AB7" s="73">
        <f>((I7+F7+(LOG(G7)*4/3))*0.378)</f>
        <v>2.2194918148802256</v>
      </c>
      <c r="AC7" s="73">
        <f>(I7+F7+(LOG(G7)*4/3))*0.723</f>
        <v>4.2452184713185268</v>
      </c>
      <c r="AD7" s="73">
        <f>AB7/2</f>
        <v>1.1097459074401128</v>
      </c>
      <c r="AE7" s="73">
        <f>(J7+F7+(LOG(G7)*4/3))*0.385</f>
        <v>5.292468515155786</v>
      </c>
      <c r="AF7" s="73">
        <f t="shared" si="15"/>
        <v>5.4019377505021371</v>
      </c>
      <c r="AG7" s="73">
        <f t="shared" si="16"/>
        <v>2.4308719877259612</v>
      </c>
      <c r="AH7" s="73">
        <f t="shared" si="17"/>
        <v>2.2956941351454967</v>
      </c>
      <c r="AI7" s="73">
        <f t="shared" si="18"/>
        <v>4.0405428231470175</v>
      </c>
      <c r="AJ7" s="73">
        <f t="shared" si="72"/>
        <v>5.8716714679371051</v>
      </c>
      <c r="AK7" s="73">
        <f t="shared" si="73"/>
        <v>2.8125306331418733</v>
      </c>
      <c r="AL7" s="73">
        <f t="shared" si="74"/>
        <v>0.92102698835178609</v>
      </c>
      <c r="AM7" s="73">
        <f t="shared" si="75"/>
        <v>2.5837484719443515</v>
      </c>
      <c r="AN7" s="73">
        <f t="shared" si="19"/>
        <v>4.4272402868245777</v>
      </c>
      <c r="AO7" s="73">
        <f t="shared" si="20"/>
        <v>4.1571433992994704</v>
      </c>
      <c r="AP7" s="73">
        <f t="shared" si="21"/>
        <v>1.1475691351454966</v>
      </c>
      <c r="AQ7" s="73">
        <f t="shared" si="22"/>
        <v>1.1510413827658863</v>
      </c>
      <c r="AR7" s="73">
        <f t="shared" si="23"/>
        <v>1.5853512963430185</v>
      </c>
      <c r="AS7" s="73">
        <f t="shared" si="24"/>
        <v>3.4877728519546403</v>
      </c>
      <c r="AT7" s="73">
        <f>AR7/2</f>
        <v>0.79267564817150926</v>
      </c>
      <c r="AU7" s="73">
        <f t="shared" si="26"/>
        <v>12.976857865732626</v>
      </c>
      <c r="AV7" s="73">
        <f t="shared" si="27"/>
        <v>0.89331729083182365</v>
      </c>
      <c r="AW7" s="73">
        <f t="shared" si="28"/>
        <v>1.8403997401055718</v>
      </c>
      <c r="AX7" s="73">
        <f>AV7/2</f>
        <v>0.44665864541591183</v>
      </c>
      <c r="AY7" s="73">
        <f t="shared" si="30"/>
        <v>1.1097459074401128</v>
      </c>
      <c r="AZ7" s="73">
        <f t="shared" si="31"/>
        <v>2.3486685871748421</v>
      </c>
      <c r="BA7" s="73">
        <f>AY7/2</f>
        <v>0.55487295372005641</v>
      </c>
      <c r="BB7" s="73">
        <f t="shared" si="33"/>
        <v>13.746671467937105</v>
      </c>
      <c r="BC7" s="73">
        <f t="shared" si="34"/>
        <v>1.7385328813880876</v>
      </c>
      <c r="BD7" s="73">
        <f t="shared" si="35"/>
        <v>3.5762909788333452</v>
      </c>
      <c r="BE7" s="73">
        <f>BC7/2</f>
        <v>0.8692664406940438</v>
      </c>
      <c r="BF7" s="73">
        <f t="shared" si="37"/>
        <v>1.7086563971696975</v>
      </c>
      <c r="BG7" s="73">
        <f t="shared" si="38"/>
        <v>2.0433416708421124</v>
      </c>
      <c r="BH7" s="73">
        <f t="shared" si="39"/>
        <v>12.11081756325259</v>
      </c>
      <c r="BI7" s="73">
        <f t="shared" si="40"/>
        <v>6.1089159349960864</v>
      </c>
      <c r="BJ7" s="73">
        <f t="shared" si="41"/>
        <v>1.6560728237728424</v>
      </c>
      <c r="BK7" s="73">
        <f t="shared" si="42"/>
        <v>2.8477606619494957</v>
      </c>
      <c r="BL7" s="73">
        <f t="shared" si="43"/>
        <v>1.5501212675353959</v>
      </c>
      <c r="BM7" s="73">
        <f t="shared" si="44"/>
        <v>5.2374818292840368</v>
      </c>
      <c r="BN7" s="73">
        <f t="shared" si="45"/>
        <v>6.0058408629770312</v>
      </c>
      <c r="BO7" s="73">
        <f t="shared" si="46"/>
        <v>0.35732691633272945</v>
      </c>
      <c r="BP7" s="73">
        <f t="shared" si="47"/>
        <v>1.0569008642286788</v>
      </c>
      <c r="BQ7" s="73">
        <f t="shared" si="48"/>
        <v>0.39927365981972318</v>
      </c>
      <c r="BR7" s="73">
        <f t="shared" si="49"/>
        <v>4.1927347977208171</v>
      </c>
      <c r="BS7" s="73">
        <f t="shared" si="50"/>
        <v>8.8369695077671171</v>
      </c>
      <c r="BT7" s="73">
        <f t="shared" si="51"/>
        <v>0.92767564817150927</v>
      </c>
      <c r="BU7" s="73">
        <f t="shared" si="52"/>
        <v>1.6675546968941377</v>
      </c>
      <c r="BV7" s="73">
        <f t="shared" si="53"/>
        <v>1.4326878381766537</v>
      </c>
      <c r="BW7" s="73">
        <f t="shared" si="54"/>
        <v>6.2547355179113833</v>
      </c>
      <c r="BX7" s="73">
        <f t="shared" si="55"/>
        <v>7.6138119864743121</v>
      </c>
      <c r="BY7" s="73">
        <f t="shared" si="56"/>
        <v>0.83147224762038974</v>
      </c>
      <c r="BZ7" s="73">
        <f t="shared" si="57"/>
        <v>1.6675546968941377</v>
      </c>
      <c r="CA7" s="73">
        <f t="shared" si="58"/>
        <v>1.4326878381766537</v>
      </c>
      <c r="CB7" s="73">
        <f t="shared" si="59"/>
        <v>8.674149696268314</v>
      </c>
      <c r="CC7" s="73">
        <f t="shared" si="60"/>
        <v>6.1501459638037081</v>
      </c>
      <c r="CD7" s="73">
        <f t="shared" si="61"/>
        <v>1.0170073772546915</v>
      </c>
      <c r="CE7" s="73">
        <f t="shared" si="62"/>
        <v>5.5811486159824648</v>
      </c>
      <c r="CF7" s="73">
        <f t="shared" si="63"/>
        <v>3.4531408347952315</v>
      </c>
      <c r="CG7" s="73">
        <f t="shared" si="64"/>
        <v>7.1545020728971807</v>
      </c>
      <c r="CH7" s="73">
        <f>CF7</f>
        <v>3.4531408347952315</v>
      </c>
      <c r="CI7" s="73">
        <f t="shared" si="66"/>
        <v>3.8910513245248164</v>
      </c>
      <c r="CJ7" s="73">
        <f t="shared" si="67"/>
        <v>8.4073182396058961</v>
      </c>
      <c r="CK7" s="73">
        <f>CI7</f>
        <v>3.8910513245248164</v>
      </c>
      <c r="CL7" s="73">
        <f>((J7+F7+(LOG(G7)*4/3))*0.25)</f>
        <v>3.4366678669842763</v>
      </c>
    </row>
    <row r="8" spans="1:90" x14ac:dyDescent="0.25">
      <c r="A8" s="68" t="str">
        <f>PLANTILLA!D15</f>
        <v>T. Orozco</v>
      </c>
      <c r="B8" s="2" t="str">
        <f>PLANTILLA!G15</f>
        <v>CAB</v>
      </c>
      <c r="C8" s="350">
        <f>PLANTILLA!P15</f>
        <v>6</v>
      </c>
      <c r="D8" s="428">
        <f>PLANTILLA!Q15</f>
        <v>0.92582009977255142</v>
      </c>
      <c r="E8" s="428">
        <f>PLANTILLA!R15</f>
        <v>0.99928545900129484</v>
      </c>
      <c r="F8" s="429">
        <v>1.5</v>
      </c>
      <c r="G8" s="108">
        <f>PLANTILLA!I15</f>
        <v>3.6</v>
      </c>
      <c r="H8" s="76">
        <f>PLANTILLA!W15</f>
        <v>1</v>
      </c>
      <c r="I8" s="76">
        <f>PLANTILLA!X15</f>
        <v>6</v>
      </c>
      <c r="J8" s="76">
        <f>PLANTILLA!Y15</f>
        <v>11.125</v>
      </c>
      <c r="K8" s="76">
        <f>PLANTILLA!Z15</f>
        <v>3</v>
      </c>
      <c r="L8" s="76">
        <f>PLANTILLA!AA15</f>
        <v>5</v>
      </c>
      <c r="M8" s="76">
        <f>PLANTILLA!AB15</f>
        <v>6.5</v>
      </c>
      <c r="N8" s="76">
        <f>PLANTILLA!AC15</f>
        <v>2</v>
      </c>
      <c r="O8" s="108">
        <f>((2*(L8+1))+(I8+1))/8</f>
        <v>2.375</v>
      </c>
      <c r="P8" s="108">
        <f>1.66*(M8+(LOG(G8)*4/3)+F8)+0.55*(N8+(LOG(G8)*4/3)+F8)-7.6</f>
        <v>9.2442380355942735</v>
      </c>
      <c r="Q8" s="76">
        <f>(0.5*M8+0.3*N8)/10</f>
        <v>0.38500000000000001</v>
      </c>
      <c r="R8" s="76">
        <f>(0.4*I8+0.3*N8)/10</f>
        <v>0.30000000000000004</v>
      </c>
      <c r="S8" s="108">
        <f t="shared" si="70"/>
        <v>3.9270850648893831</v>
      </c>
      <c r="T8" s="108">
        <f t="shared" si="71"/>
        <v>4.2387057729349413</v>
      </c>
      <c r="U8" s="73">
        <f>((H8+F8+(LOG(G8)*4/3))*0.597)+((I8+F8+(LOG(G8)*4/3))*0.276)</f>
        <v>4.2100361108931228</v>
      </c>
      <c r="V8" s="73">
        <f>((H8+F8+(LOG(G8)*4/3))*0.866)+((I8+F8+(LOG(G8)*4/3))*0.425)</f>
        <v>6.3100820379874234</v>
      </c>
      <c r="W8" s="73">
        <f>U8</f>
        <v>4.2100361108931228</v>
      </c>
      <c r="X8" s="73">
        <f>((I8+F8+(LOG(G8)*4/3))*0.516)</f>
        <v>4.252736120527894</v>
      </c>
      <c r="Y8" s="73">
        <f>(I8+F8+(LOG(G8)*4/3))*1</f>
        <v>8.2417366676897164</v>
      </c>
      <c r="Z8" s="73">
        <f>X8/2</f>
        <v>2.126368060263947</v>
      </c>
      <c r="AA8" s="73">
        <f>(J8+F8+(LOG(G8)*4/3))*0.238</f>
        <v>3.1812833269101524</v>
      </c>
      <c r="AB8" s="73">
        <f>((I8+F8+(LOG(G8)*4/3))*0.378)</f>
        <v>3.1153764603867127</v>
      </c>
      <c r="AC8" s="73">
        <f>(I8+F8+(LOG(G8)*4/3))*0.723</f>
        <v>5.9587756107396643</v>
      </c>
      <c r="AD8" s="73">
        <f>AB8/2</f>
        <v>1.5576882301933563</v>
      </c>
      <c r="AE8" s="73">
        <f>(J8+F8+(LOG(G8)*4/3))*0.385</f>
        <v>5.1461936170605407</v>
      </c>
      <c r="AF8" s="73">
        <f t="shared" si="15"/>
        <v>7.5823977342745392</v>
      </c>
      <c r="AG8" s="73">
        <f t="shared" si="16"/>
        <v>3.4120789804235425</v>
      </c>
      <c r="AH8" s="73">
        <f t="shared" si="17"/>
        <v>2.2322450235041829</v>
      </c>
      <c r="AI8" s="73">
        <f t="shared" si="18"/>
        <v>3.082141160601553</v>
      </c>
      <c r="AJ8" s="73">
        <f t="shared" si="72"/>
        <v>8.2417366676897164</v>
      </c>
      <c r="AK8" s="73">
        <f t="shared" si="73"/>
        <v>3.9477918638233738</v>
      </c>
      <c r="AL8" s="73">
        <f t="shared" si="74"/>
        <v>0.89557135673521104</v>
      </c>
      <c r="AM8" s="73">
        <f t="shared" si="75"/>
        <v>1.9708929870513334</v>
      </c>
      <c r="AN8" s="73">
        <f t="shared" si="19"/>
        <v>6.2142694474380464</v>
      </c>
      <c r="AO8" s="73">
        <f t="shared" si="20"/>
        <v>5.8351495607243189</v>
      </c>
      <c r="AP8" s="73">
        <f t="shared" si="21"/>
        <v>0.70837002350418266</v>
      </c>
      <c r="AQ8" s="73">
        <f t="shared" si="22"/>
        <v>1.3296201602946383</v>
      </c>
      <c r="AR8" s="73">
        <f t="shared" si="23"/>
        <v>2.2252689002762236</v>
      </c>
      <c r="AS8" s="73">
        <f t="shared" si="24"/>
        <v>4.8955915806076913</v>
      </c>
      <c r="AT8" s="73">
        <f>AR8/2</f>
        <v>1.1126344501381118</v>
      </c>
      <c r="AU8" s="73">
        <f t="shared" si="26"/>
        <v>12.618199414299092</v>
      </c>
      <c r="AV8" s="73">
        <f t="shared" si="27"/>
        <v>0.94142576679966317</v>
      </c>
      <c r="AW8" s="73">
        <f t="shared" si="28"/>
        <v>2.3813288436330868</v>
      </c>
      <c r="AX8" s="73">
        <f>AV8/2</f>
        <v>0.47071288339983158</v>
      </c>
      <c r="AY8" s="73">
        <f t="shared" si="30"/>
        <v>1.5576882301933563</v>
      </c>
      <c r="AZ8" s="73">
        <f t="shared" si="31"/>
        <v>3.2966946670758865</v>
      </c>
      <c r="BA8" s="73">
        <f>AY8/2</f>
        <v>0.77884411509667817</v>
      </c>
      <c r="BB8" s="73">
        <f t="shared" si="33"/>
        <v>13.366736667689716</v>
      </c>
      <c r="BC8" s="73">
        <f t="shared" si="34"/>
        <v>1.8321593769254982</v>
      </c>
      <c r="BD8" s="73">
        <f t="shared" si="35"/>
        <v>4.3051969038970341</v>
      </c>
      <c r="BE8" s="73">
        <f>BC8/2</f>
        <v>0.91607968846274912</v>
      </c>
      <c r="BF8" s="73">
        <f t="shared" si="37"/>
        <v>2.3983453702977071</v>
      </c>
      <c r="BG8" s="73">
        <f t="shared" si="38"/>
        <v>2.8681243603560209</v>
      </c>
      <c r="BH8" s="73">
        <f t="shared" si="39"/>
        <v>11.776095004234641</v>
      </c>
      <c r="BI8" s="73">
        <f t="shared" si="40"/>
        <v>5.2899038975761581</v>
      </c>
      <c r="BJ8" s="73">
        <f t="shared" si="41"/>
        <v>1.7452585369132216</v>
      </c>
      <c r="BK8" s="73">
        <f t="shared" si="42"/>
        <v>3.9972422838295123</v>
      </c>
      <c r="BL8" s="73">
        <f t="shared" si="43"/>
        <v>2.1758184802700851</v>
      </c>
      <c r="BM8" s="73">
        <f t="shared" si="44"/>
        <v>5.0927266703897818</v>
      </c>
      <c r="BN8" s="73">
        <f t="shared" si="45"/>
        <v>4.9832778475608119</v>
      </c>
      <c r="BO8" s="73">
        <f t="shared" si="46"/>
        <v>0.37657030671986524</v>
      </c>
      <c r="BP8" s="73">
        <f t="shared" si="47"/>
        <v>1.483512600184149</v>
      </c>
      <c r="BQ8" s="73">
        <f t="shared" si="48"/>
        <v>0.56043809340290074</v>
      </c>
      <c r="BR8" s="73">
        <f t="shared" si="49"/>
        <v>4.0768546836453634</v>
      </c>
      <c r="BS8" s="73">
        <f t="shared" si="50"/>
        <v>7.3128733546489748</v>
      </c>
      <c r="BT8" s="73">
        <f t="shared" si="51"/>
        <v>0.97763445013811179</v>
      </c>
      <c r="BU8" s="73">
        <f t="shared" si="52"/>
        <v>2.3406532136238791</v>
      </c>
      <c r="BV8" s="73">
        <f t="shared" si="53"/>
        <v>2.0109837469162906</v>
      </c>
      <c r="BW8" s="73">
        <f t="shared" si="54"/>
        <v>6.0818651837988211</v>
      </c>
      <c r="BX8" s="73">
        <f t="shared" si="55"/>
        <v>6.295844227800206</v>
      </c>
      <c r="BY8" s="73">
        <f t="shared" si="56"/>
        <v>0.8762501367904556</v>
      </c>
      <c r="BZ8" s="73">
        <f t="shared" si="57"/>
        <v>2.3406532136238791</v>
      </c>
      <c r="CA8" s="73">
        <f t="shared" si="58"/>
        <v>2.0109837469162906</v>
      </c>
      <c r="CB8" s="73">
        <f t="shared" si="59"/>
        <v>8.4344108373122104</v>
      </c>
      <c r="CC8" s="73">
        <f t="shared" si="60"/>
        <v>5.0773543175822962</v>
      </c>
      <c r="CD8" s="73">
        <f t="shared" si="61"/>
        <v>1.071777026818078</v>
      </c>
      <c r="CE8" s="73">
        <f t="shared" si="62"/>
        <v>5.4268950870820252</v>
      </c>
      <c r="CF8" s="73">
        <f t="shared" si="63"/>
        <v>3.6754448038663421</v>
      </c>
      <c r="CG8" s="73">
        <f t="shared" si="64"/>
        <v>9.0286954878186201</v>
      </c>
      <c r="CH8" s="73">
        <f>CF8</f>
        <v>3.6754448038663421</v>
      </c>
      <c r="CI8" s="73">
        <f t="shared" si="66"/>
        <v>4.3296019439706939</v>
      </c>
      <c r="CJ8" s="73">
        <f t="shared" si="67"/>
        <v>11.413937498067222</v>
      </c>
      <c r="CK8" s="73">
        <f>CI8</f>
        <v>4.3296019439706939</v>
      </c>
      <c r="CL8" s="73">
        <f>((J8+F8+(LOG(G8)*4/3))*0.25)</f>
        <v>3.3416841669224291</v>
      </c>
    </row>
    <row r="9" spans="1:90" x14ac:dyDescent="0.25">
      <c r="A9" s="68" t="str">
        <f>PLANTILLA!D14</f>
        <v>B. Corominola</v>
      </c>
      <c r="B9" s="2" t="str">
        <f>PLANTILLA!G14</f>
        <v>RAP</v>
      </c>
      <c r="C9" s="350">
        <f>PLANTILLA!P14</f>
        <v>7</v>
      </c>
      <c r="D9" s="428">
        <f>PLANTILLA!Q14</f>
        <v>1</v>
      </c>
      <c r="E9" s="428">
        <f>PLANTILLA!R14</f>
        <v>1</v>
      </c>
      <c r="F9" s="429">
        <v>1.5</v>
      </c>
      <c r="G9" s="108">
        <f>PLANTILLA!I14</f>
        <v>3.8</v>
      </c>
      <c r="H9" s="76">
        <f>PLANTILLA!W14</f>
        <v>0</v>
      </c>
      <c r="I9" s="76">
        <f>PLANTILLA!X14</f>
        <v>6</v>
      </c>
      <c r="J9" s="76">
        <f>PLANTILLA!Y14</f>
        <v>10.857142857142858</v>
      </c>
      <c r="K9" s="76">
        <f>PLANTILLA!Z14</f>
        <v>2</v>
      </c>
      <c r="L9" s="76">
        <f>PLANTILLA!AA14</f>
        <v>6.25</v>
      </c>
      <c r="M9" s="76">
        <f>PLANTILLA!AB14</f>
        <v>7</v>
      </c>
      <c r="N9" s="76">
        <f>PLANTILLA!AC14</f>
        <v>1</v>
      </c>
      <c r="O9" s="108">
        <f>((2*(L9+1))+(I9+1))/8</f>
        <v>2.6875</v>
      </c>
      <c r="P9" s="108">
        <f>1.66*(M9+(LOG(G9)*4/3)+F9)+0.55*(N9+(LOG(G9)*4/3)+F9)-7.6</f>
        <v>9.593428998030868</v>
      </c>
      <c r="Q9" s="76">
        <f>(0.5*M9+0.3*N9)/10</f>
        <v>0.38</v>
      </c>
      <c r="R9" s="76">
        <f>(0.4*I9+0.3*N9)/10</f>
        <v>0.27</v>
      </c>
      <c r="S9" s="108">
        <f t="shared" si="70"/>
        <v>3.27304479548908</v>
      </c>
      <c r="T9" s="108">
        <f t="shared" si="71"/>
        <v>3.4968444886352783</v>
      </c>
      <c r="U9" s="73">
        <f>((H9+F9+(LOG(G9)*4/3))*0.597)+((I9+F9+(LOG(G9)*4/3))*0.276)</f>
        <v>3.6403681064619668</v>
      </c>
      <c r="V9" s="73">
        <f>((H9+F9+(LOG(G9)*4/3))*0.866)+((I9+F9+(LOG(G9)*4/3))*0.425)</f>
        <v>5.4845008309764021</v>
      </c>
      <c r="W9" s="73">
        <f>U9</f>
        <v>3.6403681064619668</v>
      </c>
      <c r="X9" s="73">
        <f>((I9+F9+(LOG(G9)*4/3))*0.516)</f>
        <v>4.2688911144723649</v>
      </c>
      <c r="Y9" s="73">
        <f>(I9+F9+(LOG(G9)*4/3))*1</f>
        <v>8.2730447954890796</v>
      </c>
      <c r="Z9" s="73">
        <f>X9/2</f>
        <v>2.1344455572361825</v>
      </c>
      <c r="AA9" s="73">
        <f>(J9+F9+(LOG(G9)*4/3))*0.238</f>
        <v>3.1249846613264007</v>
      </c>
      <c r="AB9" s="73">
        <f>((I9+F9+(LOG(G9)*4/3))*0.378)</f>
        <v>3.1272109326948723</v>
      </c>
      <c r="AC9" s="73">
        <f>(I9+F9+(LOG(G9)*4/3))*0.723</f>
        <v>5.9814113871386043</v>
      </c>
      <c r="AD9" s="73">
        <f>AB9/2</f>
        <v>1.5636054663474361</v>
      </c>
      <c r="AE9" s="73">
        <f>(J9+F9+(LOG(G9)*4/3))*0.385</f>
        <v>5.0551222462632959</v>
      </c>
      <c r="AF9" s="73">
        <f t="shared" si="15"/>
        <v>7.6112012118499539</v>
      </c>
      <c r="AG9" s="73">
        <f t="shared" si="16"/>
        <v>3.4250405453324788</v>
      </c>
      <c r="AH9" s="73">
        <f t="shared" si="17"/>
        <v>2.1927413379895335</v>
      </c>
      <c r="AI9" s="73">
        <f t="shared" si="18"/>
        <v>2.512550339747579</v>
      </c>
      <c r="AJ9" s="73">
        <f t="shared" si="72"/>
        <v>8.2730447954890796</v>
      </c>
      <c r="AK9" s="73">
        <f t="shared" si="73"/>
        <v>3.9627884570392689</v>
      </c>
      <c r="AL9" s="73">
        <f t="shared" si="74"/>
        <v>0.8797225727263398</v>
      </c>
      <c r="AM9" s="73">
        <f t="shared" si="75"/>
        <v>1.6066648431038943</v>
      </c>
      <c r="AN9" s="73">
        <f t="shared" si="19"/>
        <v>6.2378757757987664</v>
      </c>
      <c r="AO9" s="73">
        <f t="shared" si="20"/>
        <v>5.8573157152062683</v>
      </c>
      <c r="AP9" s="73">
        <f t="shared" si="21"/>
        <v>0.54659848084667639</v>
      </c>
      <c r="AQ9" s="73">
        <f t="shared" si="22"/>
        <v>1.4286369011008551</v>
      </c>
      <c r="AR9" s="73">
        <f t="shared" si="23"/>
        <v>2.2337220947820517</v>
      </c>
      <c r="AS9" s="73">
        <f t="shared" si="24"/>
        <v>4.9141886085205133</v>
      </c>
      <c r="AT9" s="73">
        <f>AR9/2</f>
        <v>1.1168610473910259</v>
      </c>
      <c r="AU9" s="73">
        <f t="shared" si="26"/>
        <v>12.394897144084547</v>
      </c>
      <c r="AV9" s="73">
        <f t="shared" si="27"/>
        <v>1.1079958234135803</v>
      </c>
      <c r="AW9" s="73">
        <f t="shared" si="28"/>
        <v>2.6270021250783002</v>
      </c>
      <c r="AX9" s="73">
        <f>AV9/2</f>
        <v>0.55399791170679014</v>
      </c>
      <c r="AY9" s="73">
        <f t="shared" si="30"/>
        <v>1.5636054663474361</v>
      </c>
      <c r="AZ9" s="73">
        <f t="shared" si="31"/>
        <v>3.3092179181956318</v>
      </c>
      <c r="BA9" s="73">
        <f>AY9/2</f>
        <v>0.78180273317371807</v>
      </c>
      <c r="BB9" s="73">
        <f t="shared" si="33"/>
        <v>13.130187652631937</v>
      </c>
      <c r="BC9" s="73">
        <f t="shared" si="34"/>
        <v>2.1563303332587371</v>
      </c>
      <c r="BD9" s="73">
        <f t="shared" si="35"/>
        <v>4.8536976823144826</v>
      </c>
      <c r="BE9" s="73">
        <f>BC9/2</f>
        <v>1.0781651666293686</v>
      </c>
      <c r="BF9" s="73">
        <f t="shared" si="37"/>
        <v>2.4074560354873218</v>
      </c>
      <c r="BG9" s="73">
        <f t="shared" si="38"/>
        <v>2.8790195888301997</v>
      </c>
      <c r="BH9" s="73">
        <f t="shared" si="39"/>
        <v>11.567695321968737</v>
      </c>
      <c r="BI9" s="73">
        <f t="shared" si="40"/>
        <v>5.1374868231897928</v>
      </c>
      <c r="BJ9" s="73">
        <f t="shared" si="41"/>
        <v>2.0540537957128682</v>
      </c>
      <c r="BK9" s="73">
        <f t="shared" si="42"/>
        <v>4.0124267258122037</v>
      </c>
      <c r="BL9" s="73">
        <f t="shared" si="43"/>
        <v>2.1840838260091173</v>
      </c>
      <c r="BM9" s="73">
        <f t="shared" si="44"/>
        <v>5.002601495652768</v>
      </c>
      <c r="BN9" s="73">
        <f t="shared" si="45"/>
        <v>4.5888911512574566</v>
      </c>
      <c r="BO9" s="73">
        <f t="shared" si="46"/>
        <v>0.44319832936543213</v>
      </c>
      <c r="BP9" s="73">
        <f t="shared" si="47"/>
        <v>1.4891480631880343</v>
      </c>
      <c r="BQ9" s="73">
        <f t="shared" si="48"/>
        <v>0.56256704609325747</v>
      </c>
      <c r="BR9" s="73">
        <f t="shared" si="49"/>
        <v>4.0047072340527405</v>
      </c>
      <c r="BS9" s="73">
        <f t="shared" si="50"/>
        <v>6.7106356069989577</v>
      </c>
      <c r="BT9" s="73">
        <f t="shared" si="51"/>
        <v>1.1506110473910258</v>
      </c>
      <c r="BU9" s="73">
        <f t="shared" si="52"/>
        <v>2.3495447219188983</v>
      </c>
      <c r="BV9" s="73">
        <f t="shared" si="53"/>
        <v>2.0186229300993355</v>
      </c>
      <c r="BW9" s="73">
        <f t="shared" si="54"/>
        <v>5.9742353819475316</v>
      </c>
      <c r="BX9" s="73">
        <f t="shared" si="55"/>
        <v>5.7715336334019014</v>
      </c>
      <c r="BY9" s="73">
        <f t="shared" si="56"/>
        <v>1.0312884202541786</v>
      </c>
      <c r="BZ9" s="73">
        <f t="shared" si="57"/>
        <v>2.3495447219188983</v>
      </c>
      <c r="CA9" s="73">
        <f t="shared" si="58"/>
        <v>2.0186229300993355</v>
      </c>
      <c r="CB9" s="73">
        <f t="shared" si="59"/>
        <v>8.2851484088107519</v>
      </c>
      <c r="CC9" s="73">
        <f t="shared" si="60"/>
        <v>4.6446250919627268</v>
      </c>
      <c r="CD9" s="73">
        <f t="shared" si="61"/>
        <v>1.2614106297323837</v>
      </c>
      <c r="CE9" s="73">
        <f t="shared" si="62"/>
        <v>5.3308561869685667</v>
      </c>
      <c r="CF9" s="73">
        <f t="shared" si="63"/>
        <v>3.9237563384498104</v>
      </c>
      <c r="CG9" s="73">
        <f t="shared" si="64"/>
        <v>10.034198439720704</v>
      </c>
      <c r="CH9" s="73">
        <f>CF9</f>
        <v>3.9237563384498104</v>
      </c>
      <c r="CI9" s="73">
        <f t="shared" si="66"/>
        <v>4.4356069075896976</v>
      </c>
      <c r="CJ9" s="73">
        <f t="shared" si="67"/>
        <v>12.41804832502455</v>
      </c>
      <c r="CK9" s="73">
        <f>CI9</f>
        <v>4.4356069075896976</v>
      </c>
      <c r="CL9" s="73">
        <f>((J9+F9+(LOG(G9)*4/3))*0.25)</f>
        <v>3.2825469131579843</v>
      </c>
    </row>
    <row r="10" spans="1:90" x14ac:dyDescent="0.25">
      <c r="A10" s="68" t="str">
        <f>PLANTILLA!D18</f>
        <v>A. Balsebre</v>
      </c>
      <c r="C10" s="350">
        <f>PLANTILLA!P18</f>
        <v>6</v>
      </c>
      <c r="D10" s="428">
        <f>PLANTILLA!Q18</f>
        <v>0.92582009977255142</v>
      </c>
      <c r="E10" s="428">
        <f>PLANTILLA!R18</f>
        <v>0.99928545900129484</v>
      </c>
      <c r="F10" s="429">
        <v>1.5</v>
      </c>
      <c r="G10" s="108">
        <f>PLANTILLA!I18</f>
        <v>2</v>
      </c>
      <c r="H10" s="76">
        <f>PLANTILLA!W18</f>
        <v>0</v>
      </c>
      <c r="I10" s="76">
        <f>PLANTILLA!X18</f>
        <v>4</v>
      </c>
      <c r="J10" s="76">
        <f>PLANTILLA!Y18</f>
        <v>12.111111111111111</v>
      </c>
      <c r="K10" s="76">
        <f>PLANTILLA!Z18</f>
        <v>2</v>
      </c>
      <c r="L10" s="76">
        <f>PLANTILLA!AA18</f>
        <v>5</v>
      </c>
      <c r="M10" s="76">
        <f>PLANTILLA!AB18</f>
        <v>3.3333333333333335</v>
      </c>
      <c r="N10" s="76">
        <f>PLANTILLA!AC18</f>
        <v>4</v>
      </c>
      <c r="O10" s="108">
        <f t="shared" si="0"/>
        <v>2.125</v>
      </c>
      <c r="P10" s="108">
        <f t="shared" si="1"/>
        <v>4.3353683872231983</v>
      </c>
      <c r="Q10" s="76">
        <f t="shared" si="2"/>
        <v>0.28666666666666668</v>
      </c>
      <c r="R10" s="76">
        <f t="shared" si="3"/>
        <v>0.27999999999999997</v>
      </c>
      <c r="S10" s="108">
        <f t="shared" si="70"/>
        <v>5.4636100429092433</v>
      </c>
      <c r="T10" s="108">
        <f t="shared" si="71"/>
        <v>5.897156554360774</v>
      </c>
      <c r="U10" s="73">
        <f t="shared" si="4"/>
        <v>2.7638989149528741</v>
      </c>
      <c r="V10" s="73">
        <f t="shared" si="5"/>
        <v>4.1546729658696</v>
      </c>
      <c r="W10" s="73">
        <f t="shared" si="6"/>
        <v>2.7638989149528741</v>
      </c>
      <c r="X10" s="73">
        <f t="shared" si="7"/>
        <v>3.0451086370168192</v>
      </c>
      <c r="Y10" s="73">
        <f t="shared" si="8"/>
        <v>5.9013733275519753</v>
      </c>
      <c r="Z10" s="73">
        <f t="shared" si="9"/>
        <v>1.5225543185084096</v>
      </c>
      <c r="AA10" s="73">
        <f t="shared" si="10"/>
        <v>3.3349712964018141</v>
      </c>
      <c r="AB10" s="73">
        <f t="shared" si="11"/>
        <v>2.2307191178146466</v>
      </c>
      <c r="AC10" s="73">
        <f t="shared" si="12"/>
        <v>4.2666929158200784</v>
      </c>
      <c r="AD10" s="73">
        <f t="shared" si="13"/>
        <v>1.1153595589073233</v>
      </c>
      <c r="AE10" s="73">
        <f t="shared" si="14"/>
        <v>5.3948065088852877</v>
      </c>
      <c r="AF10" s="73">
        <f t="shared" si="15"/>
        <v>5.4292634613478175</v>
      </c>
      <c r="AG10" s="73">
        <f t="shared" si="16"/>
        <v>2.4431685576065179</v>
      </c>
      <c r="AH10" s="73">
        <f t="shared" si="17"/>
        <v>2.3400849012567355</v>
      </c>
      <c r="AI10" s="73">
        <f t="shared" si="18"/>
        <v>2.2940075166005611</v>
      </c>
      <c r="AJ10" s="73">
        <f t="shared" si="72"/>
        <v>5.9013733275519753</v>
      </c>
      <c r="AK10" s="73">
        <f t="shared" si="73"/>
        <v>2.8267578238973963</v>
      </c>
      <c r="AL10" s="73">
        <f t="shared" si="74"/>
        <v>0.93883645739042676</v>
      </c>
      <c r="AM10" s="73">
        <f t="shared" si="75"/>
        <v>1.4669163711595425</v>
      </c>
      <c r="AN10" s="73">
        <f t="shared" si="19"/>
        <v>4.4496354889741898</v>
      </c>
      <c r="AO10" s="73">
        <f t="shared" si="20"/>
        <v>4.1781723159067985</v>
      </c>
      <c r="AP10" s="73">
        <f t="shared" si="21"/>
        <v>0.98552934570117989</v>
      </c>
      <c r="AQ10" s="73">
        <f t="shared" si="22"/>
        <v>1.1595955183349689</v>
      </c>
      <c r="AR10" s="73">
        <f t="shared" si="23"/>
        <v>1.5933707984390335</v>
      </c>
      <c r="AS10" s="73">
        <f t="shared" si="24"/>
        <v>3.5054157565658732</v>
      </c>
      <c r="AT10" s="73">
        <f t="shared" si="25"/>
        <v>0.79668539921951675</v>
      </c>
      <c r="AU10" s="73">
        <f t="shared" si="26"/>
        <v>13.227785310097952</v>
      </c>
      <c r="AV10" s="73">
        <f t="shared" si="27"/>
        <v>0.89717853258175684</v>
      </c>
      <c r="AW10" s="73">
        <f t="shared" si="28"/>
        <v>1.7337690516393955</v>
      </c>
      <c r="AX10" s="73">
        <f t="shared" si="29"/>
        <v>0.44858926629087842</v>
      </c>
      <c r="AY10" s="73">
        <f t="shared" si="30"/>
        <v>1.1153595589073233</v>
      </c>
      <c r="AZ10" s="73">
        <f t="shared" si="31"/>
        <v>2.3605493310207901</v>
      </c>
      <c r="BA10" s="73">
        <f t="shared" si="32"/>
        <v>0.55767977945366165</v>
      </c>
      <c r="BB10" s="73">
        <f t="shared" si="33"/>
        <v>14.012484438663085</v>
      </c>
      <c r="BC10" s="73">
        <f t="shared" si="34"/>
        <v>1.7460474518706497</v>
      </c>
      <c r="BD10" s="73">
        <f t="shared" si="35"/>
        <v>3.4526567034811388</v>
      </c>
      <c r="BE10" s="73">
        <f t="shared" si="36"/>
        <v>0.87302372593532485</v>
      </c>
      <c r="BF10" s="73">
        <f t="shared" si="37"/>
        <v>1.7172996383176247</v>
      </c>
      <c r="BG10" s="73">
        <f t="shared" si="38"/>
        <v>2.0536779179880873</v>
      </c>
      <c r="BH10" s="73">
        <f t="shared" si="39"/>
        <v>12.344998790462178</v>
      </c>
      <c r="BI10" s="73">
        <f t="shared" si="40"/>
        <v>4.4133208881937058</v>
      </c>
      <c r="BJ10" s="73">
        <f t="shared" si="41"/>
        <v>1.663230971940026</v>
      </c>
      <c r="BK10" s="73">
        <f t="shared" si="42"/>
        <v>2.8621660638627078</v>
      </c>
      <c r="BL10" s="73">
        <f t="shared" si="43"/>
        <v>1.5579625584737216</v>
      </c>
      <c r="BM10" s="73">
        <f t="shared" si="44"/>
        <v>5.3387565711306353</v>
      </c>
      <c r="BN10" s="73">
        <f t="shared" si="45"/>
        <v>4.0128002882804266</v>
      </c>
      <c r="BO10" s="73">
        <f t="shared" si="46"/>
        <v>0.3588714130327027</v>
      </c>
      <c r="BP10" s="73">
        <f t="shared" si="47"/>
        <v>1.0622471989593556</v>
      </c>
      <c r="BQ10" s="73">
        <f t="shared" si="48"/>
        <v>0.40129338627353434</v>
      </c>
      <c r="BR10" s="73">
        <f t="shared" si="49"/>
        <v>4.2738077537922408</v>
      </c>
      <c r="BS10" s="73">
        <f t="shared" si="50"/>
        <v>5.8751660992318397</v>
      </c>
      <c r="BT10" s="73">
        <f t="shared" si="51"/>
        <v>0.93168539921951676</v>
      </c>
      <c r="BU10" s="73">
        <f t="shared" si="52"/>
        <v>1.6759900250247608</v>
      </c>
      <c r="BV10" s="73">
        <f t="shared" si="53"/>
        <v>1.4399350919226819</v>
      </c>
      <c r="BW10" s="73">
        <f t="shared" si="54"/>
        <v>6.3756804195917036</v>
      </c>
      <c r="BX10" s="73">
        <f t="shared" si="55"/>
        <v>5.0547216469275877</v>
      </c>
      <c r="BY10" s="73">
        <f t="shared" si="56"/>
        <v>0.83506617263378902</v>
      </c>
      <c r="BZ10" s="73">
        <f t="shared" si="57"/>
        <v>1.6759900250247608</v>
      </c>
      <c r="CA10" s="73">
        <f t="shared" si="58"/>
        <v>1.4399350919226819</v>
      </c>
      <c r="CB10" s="73">
        <f t="shared" si="59"/>
        <v>8.8418776807964061</v>
      </c>
      <c r="CC10" s="73">
        <f t="shared" si="60"/>
        <v>4.0707291281590177</v>
      </c>
      <c r="CD10" s="73">
        <f t="shared" si="61"/>
        <v>1.0214032524776924</v>
      </c>
      <c r="CE10" s="73">
        <f t="shared" si="62"/>
        <v>5.6890686820972132</v>
      </c>
      <c r="CF10" s="73">
        <f t="shared" si="63"/>
        <v>2.9519488369879121</v>
      </c>
      <c r="CG10" s="73">
        <f t="shared" si="64"/>
        <v>6.7992797001568572</v>
      </c>
      <c r="CH10" s="73">
        <f t="shared" si="65"/>
        <v>2.9519488369879121</v>
      </c>
      <c r="CI10" s="73">
        <f t="shared" si="66"/>
        <v>3.0732222497315469</v>
      </c>
      <c r="CJ10" s="73">
        <f t="shared" si="67"/>
        <v>7.7813134187519886</v>
      </c>
      <c r="CK10" s="73">
        <f t="shared" si="68"/>
        <v>3.0732222497315469</v>
      </c>
      <c r="CL10" s="73">
        <f t="shared" si="69"/>
        <v>3.5031211096657713</v>
      </c>
    </row>
    <row r="11" spans="1:90" x14ac:dyDescent="0.25">
      <c r="A11" s="68" t="str">
        <f>PLANTILLA!D16</f>
        <v>T. Lebon</v>
      </c>
      <c r="B11" s="2" t="str">
        <f>PLANTILLA!G16</f>
        <v>TEC</v>
      </c>
      <c r="C11" s="350">
        <f>PLANTILLA!P16</f>
        <v>5</v>
      </c>
      <c r="D11" s="428">
        <f>PLANTILLA!Q16</f>
        <v>0.84515425472851657</v>
      </c>
      <c r="E11" s="428">
        <f>PLANTILLA!R16</f>
        <v>0.92504826128926143</v>
      </c>
      <c r="F11" s="429">
        <v>1.5</v>
      </c>
      <c r="G11" s="108">
        <f>PLANTILLA!I16</f>
        <v>2.7</v>
      </c>
      <c r="H11" s="76">
        <f>PLANTILLA!W16</f>
        <v>0</v>
      </c>
      <c r="I11" s="76">
        <f>PLANTILLA!X16</f>
        <v>4</v>
      </c>
      <c r="J11" s="76">
        <f>PLANTILLA!Y16</f>
        <v>11.375</v>
      </c>
      <c r="K11" s="76">
        <f>PLANTILLA!Z16</f>
        <v>5</v>
      </c>
      <c r="L11" s="76">
        <f>PLANTILLA!AA16</f>
        <v>4.333333333333333</v>
      </c>
      <c r="M11" s="76">
        <f>PLANTILLA!AB16</f>
        <v>6</v>
      </c>
      <c r="N11" s="76">
        <f>PLANTILLA!AC16</f>
        <v>2</v>
      </c>
      <c r="O11" s="108">
        <f>((2*(L11+1))+(I11+1))/8</f>
        <v>1.9583333333333333</v>
      </c>
      <c r="P11" s="108">
        <f>1.66*(M11+(LOG(G11)*4/3)+F11)+0.55*(N11+(LOG(G11)*4/3)+F11)-7.6</f>
        <v>8.0460852250551493</v>
      </c>
      <c r="Q11" s="76">
        <f>(0.5*M11+0.3*N11)/10</f>
        <v>0.36</v>
      </c>
      <c r="R11" s="76">
        <f>(0.4*I11+0.3*N11)/10</f>
        <v>0.22000000000000003</v>
      </c>
      <c r="S11" s="108">
        <f t="shared" si="70"/>
        <v>3.4441317857027101</v>
      </c>
      <c r="T11" s="108">
        <f t="shared" si="71"/>
        <v>3.7697119812036979</v>
      </c>
      <c r="U11" s="73">
        <f>((H11+F11+(LOG(G11)*4/3))*0.597)+((I11+F11+(LOG(G11)*4/3))*0.276)</f>
        <v>2.9156074214810612</v>
      </c>
      <c r="V11" s="73">
        <f>((H11+F11+(LOG(G11)*4/3))*0.866)+((I11+F11+(LOG(G11)*4/3))*0.425)</f>
        <v>4.379020826039004</v>
      </c>
      <c r="W11" s="73">
        <f>U11</f>
        <v>2.9156074214810612</v>
      </c>
      <c r="X11" s="73">
        <f>((I11+F11+(LOG(G11)*4/3))*0.516)</f>
        <v>3.1347782697413833</v>
      </c>
      <c r="Y11" s="73">
        <f>(I11+F11+(LOG(G11)*4/3))*1</f>
        <v>6.0751516855453165</v>
      </c>
      <c r="Z11" s="73">
        <f>X11/2</f>
        <v>1.5673891348706916</v>
      </c>
      <c r="AA11" s="73">
        <f>(J11+F11+(LOG(G11)*4/3))*0.238</f>
        <v>3.201136101159785</v>
      </c>
      <c r="AB11" s="73">
        <f>((I11+F11+(LOG(G11)*4/3))*0.378)</f>
        <v>2.2964073371361295</v>
      </c>
      <c r="AC11" s="73">
        <f>(I11+F11+(LOG(G11)*4/3))*0.723</f>
        <v>4.3923346686492639</v>
      </c>
      <c r="AD11" s="73">
        <f>AB11/2</f>
        <v>1.1482036685680648</v>
      </c>
      <c r="AE11" s="73">
        <f>(J11+F11+(LOG(G11)*4/3))*0.385</f>
        <v>5.1783083989349468</v>
      </c>
      <c r="AF11" s="73">
        <f t="shared" si="15"/>
        <v>5.5891395507016917</v>
      </c>
      <c r="AG11" s="73">
        <f t="shared" si="16"/>
        <v>2.5151127978157608</v>
      </c>
      <c r="AH11" s="73">
        <f t="shared" si="17"/>
        <v>2.246175331486068</v>
      </c>
      <c r="AI11" s="73">
        <f t="shared" si="18"/>
        <v>4.1601891911006454</v>
      </c>
      <c r="AJ11" s="73">
        <f t="shared" si="72"/>
        <v>6.0751516855453165</v>
      </c>
      <c r="AK11" s="73">
        <f t="shared" si="73"/>
        <v>2.9099976573762065</v>
      </c>
      <c r="AL11" s="73">
        <f t="shared" si="74"/>
        <v>0.90116016293153622</v>
      </c>
      <c r="AM11" s="73">
        <f t="shared" si="75"/>
        <v>2.6602570337650389</v>
      </c>
      <c r="AN11" s="73">
        <f t="shared" si="19"/>
        <v>4.580664370901169</v>
      </c>
      <c r="AO11" s="73">
        <f t="shared" si="20"/>
        <v>4.3012073933660835</v>
      </c>
      <c r="AP11" s="73">
        <f t="shared" si="21"/>
        <v>0.68055033148606792</v>
      </c>
      <c r="AQ11" s="73">
        <f t="shared" si="22"/>
        <v>1.1616436854370509</v>
      </c>
      <c r="AR11" s="73">
        <f t="shared" si="23"/>
        <v>1.6402909550972355</v>
      </c>
      <c r="AS11" s="73">
        <f t="shared" si="24"/>
        <v>3.608640101213918</v>
      </c>
      <c r="AT11" s="73">
        <f>AR11/2</f>
        <v>0.82014547754861777</v>
      </c>
      <c r="AU11" s="73">
        <f t="shared" si="26"/>
        <v>12.696943191154778</v>
      </c>
      <c r="AV11" s="73">
        <f t="shared" si="27"/>
        <v>0.83310305245422445</v>
      </c>
      <c r="AW11" s="73">
        <f t="shared" si="28"/>
        <v>2.1660194438647773</v>
      </c>
      <c r="AX11" s="73">
        <f>AV11/2</f>
        <v>0.41655152622711222</v>
      </c>
      <c r="AY11" s="73">
        <f t="shared" si="30"/>
        <v>1.1482036685680648</v>
      </c>
      <c r="AZ11" s="73">
        <f t="shared" si="31"/>
        <v>2.4300606742181268</v>
      </c>
      <c r="BA11" s="73">
        <f>AY11/2</f>
        <v>0.57410183428403239</v>
      </c>
      <c r="BB11" s="73">
        <f t="shared" si="33"/>
        <v>13.450151685545316</v>
      </c>
      <c r="BC11" s="73">
        <f t="shared" si="34"/>
        <v>1.6213467097762984</v>
      </c>
      <c r="BD11" s="73">
        <f t="shared" si="35"/>
        <v>3.881075245402136</v>
      </c>
      <c r="BE11" s="73">
        <f>BC11/2</f>
        <v>0.81067335488814918</v>
      </c>
      <c r="BF11" s="73">
        <f t="shared" si="37"/>
        <v>1.767869140493687</v>
      </c>
      <c r="BG11" s="73">
        <f t="shared" si="38"/>
        <v>2.11415278656977</v>
      </c>
      <c r="BH11" s="73">
        <f t="shared" si="39"/>
        <v>11.849583634965423</v>
      </c>
      <c r="BI11" s="73">
        <f t="shared" si="40"/>
        <v>6.079809848449786</v>
      </c>
      <c r="BJ11" s="73">
        <f t="shared" si="41"/>
        <v>1.5444448895497545</v>
      </c>
      <c r="BK11" s="73">
        <f t="shared" si="42"/>
        <v>2.9464485674894783</v>
      </c>
      <c r="BL11" s="73">
        <f t="shared" si="43"/>
        <v>1.6038400449839636</v>
      </c>
      <c r="BM11" s="73">
        <f t="shared" si="44"/>
        <v>5.124507792192766</v>
      </c>
      <c r="BN11" s="73">
        <f t="shared" si="45"/>
        <v>6.0496825731666064</v>
      </c>
      <c r="BO11" s="73">
        <f t="shared" si="46"/>
        <v>0.33324122098168973</v>
      </c>
      <c r="BP11" s="73">
        <f t="shared" si="47"/>
        <v>1.093527303398157</v>
      </c>
      <c r="BQ11" s="73">
        <f t="shared" si="48"/>
        <v>0.41311031461708153</v>
      </c>
      <c r="BR11" s="73">
        <f t="shared" si="49"/>
        <v>4.1022962640913212</v>
      </c>
      <c r="BS11" s="73">
        <f t="shared" si="50"/>
        <v>8.9079784009446108</v>
      </c>
      <c r="BT11" s="73">
        <f t="shared" si="51"/>
        <v>0.8651454775486177</v>
      </c>
      <c r="BU11" s="73">
        <f t="shared" si="52"/>
        <v>1.7253430786948698</v>
      </c>
      <c r="BV11" s="73">
        <f t="shared" si="53"/>
        <v>1.4823370112730572</v>
      </c>
      <c r="BW11" s="73">
        <f t="shared" si="54"/>
        <v>6.1198190169231195</v>
      </c>
      <c r="BX11" s="73">
        <f t="shared" si="55"/>
        <v>7.6766014009175443</v>
      </c>
      <c r="BY11" s="73">
        <f t="shared" si="56"/>
        <v>0.77542668728431652</v>
      </c>
      <c r="BZ11" s="73">
        <f t="shared" si="57"/>
        <v>1.7253430786948698</v>
      </c>
      <c r="CA11" s="73">
        <f t="shared" si="58"/>
        <v>1.4823370112730572</v>
      </c>
      <c r="CB11" s="73">
        <f t="shared" si="59"/>
        <v>8.4870457135790947</v>
      </c>
      <c r="CC11" s="73">
        <f t="shared" si="60"/>
        <v>6.2035940918963917</v>
      </c>
      <c r="CD11" s="73">
        <f t="shared" si="61"/>
        <v>0.94845578279404008</v>
      </c>
      <c r="CE11" s="73">
        <f t="shared" si="62"/>
        <v>5.460761584331399</v>
      </c>
      <c r="CF11" s="73">
        <f t="shared" si="63"/>
        <v>4.1631661630127343</v>
      </c>
      <c r="CG11" s="73">
        <f t="shared" si="64"/>
        <v>8.1876207979240263</v>
      </c>
      <c r="CH11" s="73">
        <f>CF11</f>
        <v>4.1631661630127343</v>
      </c>
      <c r="CI11" s="73">
        <f t="shared" si="66"/>
        <v>4.4431528334280657</v>
      </c>
      <c r="CJ11" s="73">
        <f t="shared" si="67"/>
        <v>10.439882657511538</v>
      </c>
      <c r="CK11" s="73">
        <f>CI11</f>
        <v>4.4431528334280657</v>
      </c>
      <c r="CL11" s="73">
        <f>((J11+F11+(LOG(G11)*4/3))*0.25)</f>
        <v>3.3625379213863291</v>
      </c>
    </row>
    <row r="12" spans="1:90" x14ac:dyDescent="0.25">
      <c r="A12" s="68" t="str">
        <f>PLANTILLA!D22</f>
        <v>A. Baldoví</v>
      </c>
      <c r="B12" s="2" t="str">
        <f>PLANTILLA!G22</f>
        <v>RAP</v>
      </c>
      <c r="C12" s="350">
        <f>PLANTILLA!P22</f>
        <v>6</v>
      </c>
      <c r="D12" s="428">
        <f>PLANTILLA!Q22</f>
        <v>0.92582009977255142</v>
      </c>
      <c r="E12" s="428">
        <f>PLANTILLA!R22</f>
        <v>0.99928545900129484</v>
      </c>
      <c r="F12" s="429">
        <v>1.5</v>
      </c>
      <c r="G12" s="108">
        <f>PLANTILLA!I22</f>
        <v>3.4</v>
      </c>
      <c r="H12" s="76">
        <f>PLANTILLA!W22</f>
        <v>0</v>
      </c>
      <c r="I12" s="76">
        <f>PLANTILLA!X22</f>
        <v>4</v>
      </c>
      <c r="J12" s="76">
        <f>PLANTILLA!Y22</f>
        <v>10.714285714285714</v>
      </c>
      <c r="K12" s="76">
        <f>PLANTILLA!Z22</f>
        <v>6</v>
      </c>
      <c r="L12" s="76">
        <f>PLANTILLA!AA22</f>
        <v>5</v>
      </c>
      <c r="M12" s="76">
        <f>PLANTILLA!AB22</f>
        <v>9.1666666666666661</v>
      </c>
      <c r="N12" s="76">
        <f>PLANTILLA!AC22</f>
        <v>3</v>
      </c>
      <c r="O12" s="108">
        <f t="shared" si="0"/>
        <v>2.125</v>
      </c>
      <c r="P12" s="108">
        <f t="shared" si="1"/>
        <v>14.14775787555118</v>
      </c>
      <c r="Q12" s="76">
        <f t="shared" si="2"/>
        <v>0.54833333333333323</v>
      </c>
      <c r="R12" s="76">
        <f t="shared" si="3"/>
        <v>0.25</v>
      </c>
      <c r="S12" s="108">
        <f t="shared" si="70"/>
        <v>4.8222622676472389</v>
      </c>
      <c r="T12" s="108">
        <f t="shared" si="71"/>
        <v>5.2049167702606018</v>
      </c>
      <c r="U12" s="73">
        <f t="shared" si="4"/>
        <v>3.0321414594371854</v>
      </c>
      <c r="V12" s="73">
        <f t="shared" si="5"/>
        <v>4.5513523758687349</v>
      </c>
      <c r="W12" s="73">
        <f t="shared" si="6"/>
        <v>3.0321414594371854</v>
      </c>
      <c r="X12" s="73">
        <f t="shared" si="7"/>
        <v>3.2036574949250718</v>
      </c>
      <c r="Y12" s="73">
        <f t="shared" si="8"/>
        <v>6.2086385560563402</v>
      </c>
      <c r="Z12" s="73">
        <f t="shared" si="9"/>
        <v>1.6018287474625359</v>
      </c>
      <c r="AA12" s="73">
        <f t="shared" si="10"/>
        <v>3.0756559763414089</v>
      </c>
      <c r="AB12" s="73">
        <f t="shared" si="11"/>
        <v>2.3468653741892966</v>
      </c>
      <c r="AC12" s="73">
        <f t="shared" si="12"/>
        <v>4.4888456760287339</v>
      </c>
      <c r="AD12" s="73">
        <f t="shared" si="13"/>
        <v>1.1734326870946483</v>
      </c>
      <c r="AE12" s="73">
        <f t="shared" si="14"/>
        <v>4.9753258440816914</v>
      </c>
      <c r="AF12" s="73">
        <f t="shared" si="15"/>
        <v>5.7119474715718335</v>
      </c>
      <c r="AG12" s="73">
        <f t="shared" si="16"/>
        <v>2.5703763622073246</v>
      </c>
      <c r="AH12" s="73">
        <f t="shared" si="17"/>
        <v>2.1581283531471231</v>
      </c>
      <c r="AI12" s="73">
        <f t="shared" si="18"/>
        <v>4.8266794709611274</v>
      </c>
      <c r="AJ12" s="73">
        <f t="shared" si="72"/>
        <v>6.2086385560563402</v>
      </c>
      <c r="AK12" s="73">
        <f t="shared" si="73"/>
        <v>2.9739378683509869</v>
      </c>
      <c r="AL12" s="73">
        <f t="shared" si="74"/>
        <v>0.86583592611291771</v>
      </c>
      <c r="AM12" s="73">
        <f t="shared" si="75"/>
        <v>3.0864480970771835</v>
      </c>
      <c r="AN12" s="73">
        <f t="shared" si="19"/>
        <v>4.6813134712664803</v>
      </c>
      <c r="AO12" s="73">
        <f t="shared" si="20"/>
        <v>4.3957160976878882</v>
      </c>
      <c r="AP12" s="73">
        <f t="shared" si="21"/>
        <v>0.86984263886140889</v>
      </c>
      <c r="AQ12" s="73">
        <f t="shared" si="22"/>
        <v>1.2480879041442259</v>
      </c>
      <c r="AR12" s="73">
        <f t="shared" si="23"/>
        <v>1.6763324101352119</v>
      </c>
      <c r="AS12" s="73">
        <f t="shared" si="24"/>
        <v>3.687931302297466</v>
      </c>
      <c r="AT12" s="73">
        <f t="shared" si="25"/>
        <v>0.83816620506760597</v>
      </c>
      <c r="AU12" s="73">
        <f t="shared" si="26"/>
        <v>12.199240511202898</v>
      </c>
      <c r="AV12" s="73">
        <f t="shared" si="27"/>
        <v>0.93712301228732431</v>
      </c>
      <c r="AW12" s="73">
        <f t="shared" si="28"/>
        <v>2.8329644302578409</v>
      </c>
      <c r="AX12" s="73">
        <f t="shared" si="29"/>
        <v>0.46856150614366215</v>
      </c>
      <c r="AY12" s="73">
        <f t="shared" si="30"/>
        <v>1.1734326870946483</v>
      </c>
      <c r="AZ12" s="73">
        <f t="shared" si="31"/>
        <v>2.4834554224225363</v>
      </c>
      <c r="BA12" s="73">
        <f t="shared" si="32"/>
        <v>0.58671634354732416</v>
      </c>
      <c r="BB12" s="73">
        <f t="shared" si="33"/>
        <v>12.922924270342055</v>
      </c>
      <c r="BC12" s="73">
        <f t="shared" si="34"/>
        <v>1.8237855546822541</v>
      </c>
      <c r="BD12" s="73">
        <f t="shared" si="35"/>
        <v>4.8469598443870439</v>
      </c>
      <c r="BE12" s="73">
        <f t="shared" si="36"/>
        <v>0.91189277734112706</v>
      </c>
      <c r="BF12" s="73">
        <f t="shared" si="37"/>
        <v>1.8067138198123949</v>
      </c>
      <c r="BG12" s="73">
        <f t="shared" si="38"/>
        <v>2.1606062175076062</v>
      </c>
      <c r="BH12" s="73">
        <f t="shared" si="39"/>
        <v>11.38509628217135</v>
      </c>
      <c r="BI12" s="73">
        <f t="shared" si="40"/>
        <v>6.9824796763340853</v>
      </c>
      <c r="BJ12" s="73">
        <f t="shared" si="41"/>
        <v>1.7372818920095778</v>
      </c>
      <c r="BK12" s="73">
        <f t="shared" si="42"/>
        <v>3.0111896996873249</v>
      </c>
      <c r="BL12" s="73">
        <f t="shared" si="43"/>
        <v>1.6390805787988738</v>
      </c>
      <c r="BM12" s="73">
        <f t="shared" si="44"/>
        <v>4.9236341470003229</v>
      </c>
      <c r="BN12" s="73">
        <f t="shared" si="45"/>
        <v>6.973350097993241</v>
      </c>
      <c r="BO12" s="73">
        <f t="shared" si="46"/>
        <v>0.37484920491492968</v>
      </c>
      <c r="BP12" s="73">
        <f t="shared" si="47"/>
        <v>1.1175549400901412</v>
      </c>
      <c r="BQ12" s="73">
        <f t="shared" si="48"/>
        <v>0.42218742181183117</v>
      </c>
      <c r="BR12" s="73">
        <f t="shared" si="49"/>
        <v>3.9414919024543265</v>
      </c>
      <c r="BS12" s="73">
        <f t="shared" si="50"/>
        <v>10.270309183088452</v>
      </c>
      <c r="BT12" s="73">
        <f t="shared" si="51"/>
        <v>0.97316620506760598</v>
      </c>
      <c r="BU12" s="73">
        <f t="shared" si="52"/>
        <v>1.7632533499200005</v>
      </c>
      <c r="BV12" s="73">
        <f t="shared" si="53"/>
        <v>1.5149078076777469</v>
      </c>
      <c r="BW12" s="73">
        <f t="shared" si="54"/>
        <v>5.879930543005635</v>
      </c>
      <c r="BX12" s="73">
        <f t="shared" si="55"/>
        <v>8.8511715201104249</v>
      </c>
      <c r="BY12" s="73">
        <f t="shared" si="56"/>
        <v>0.87224526528281709</v>
      </c>
      <c r="BZ12" s="73">
        <f t="shared" si="57"/>
        <v>1.7632533499200005</v>
      </c>
      <c r="CA12" s="73">
        <f t="shared" si="58"/>
        <v>1.5149078076777469</v>
      </c>
      <c r="CB12" s="73">
        <f t="shared" si="59"/>
        <v>8.1543652145858374</v>
      </c>
      <c r="CC12" s="73">
        <f t="shared" si="60"/>
        <v>7.1537315076704235</v>
      </c>
      <c r="CD12" s="73">
        <f t="shared" si="61"/>
        <v>1.0668785062963384</v>
      </c>
      <c r="CE12" s="73">
        <f t="shared" si="62"/>
        <v>5.2467072537588741</v>
      </c>
      <c r="CF12" s="73">
        <f t="shared" si="63"/>
        <v>4.4288673543720201</v>
      </c>
      <c r="CG12" s="73">
        <f t="shared" si="64"/>
        <v>10.546093680786106</v>
      </c>
      <c r="CH12" s="73">
        <f t="shared" si="65"/>
        <v>4.4288673543720201</v>
      </c>
      <c r="CI12" s="73">
        <f t="shared" si="66"/>
        <v>5.665315153756433</v>
      </c>
      <c r="CJ12" s="73">
        <f t="shared" si="67"/>
        <v>14.035292849907798</v>
      </c>
      <c r="CK12" s="73">
        <f t="shared" si="68"/>
        <v>5.665315153756433</v>
      </c>
      <c r="CL12" s="73">
        <f t="shared" si="69"/>
        <v>3.2307310675855136</v>
      </c>
    </row>
    <row r="13" spans="1:90" x14ac:dyDescent="0.25">
      <c r="A13" s="68" t="str">
        <f>PLANTILLA!D23</f>
        <v>R. Abrain</v>
      </c>
      <c r="B13" s="2" t="str">
        <f>PLANTILLA!G23</f>
        <v>IMP</v>
      </c>
      <c r="C13" s="350">
        <f>PLANTILLA!P23</f>
        <v>5</v>
      </c>
      <c r="D13" s="428">
        <f>PLANTILLA!Q23</f>
        <v>0.84515425472851657</v>
      </c>
      <c r="E13" s="428">
        <f>PLANTILLA!R23</f>
        <v>0.92504826128926143</v>
      </c>
      <c r="F13" s="429">
        <v>2.5</v>
      </c>
      <c r="G13" s="108">
        <f>PLANTILLA!I23</f>
        <v>3.4</v>
      </c>
      <c r="H13" s="76">
        <f>PLANTILLA!W23</f>
        <v>0</v>
      </c>
      <c r="I13" s="76">
        <f>PLANTILLA!X23</f>
        <v>5</v>
      </c>
      <c r="J13" s="76">
        <f>PLANTILLA!Y23</f>
        <v>7.9</v>
      </c>
      <c r="K13" s="76">
        <f>PLANTILLA!Z23</f>
        <v>4</v>
      </c>
      <c r="L13" s="76">
        <f>PLANTILLA!AA23</f>
        <v>4.333333333333333</v>
      </c>
      <c r="M13" s="76">
        <f>PLANTILLA!AB23</f>
        <v>9</v>
      </c>
      <c r="N13" s="76">
        <f>PLANTILLA!AC23</f>
        <v>1</v>
      </c>
      <c r="O13" s="108">
        <f t="shared" si="0"/>
        <v>2.083333333333333</v>
      </c>
      <c r="P13" s="108">
        <f t="shared" si="1"/>
        <v>14.981091208884509</v>
      </c>
      <c r="Q13" s="76">
        <f t="shared" si="2"/>
        <v>0.48</v>
      </c>
      <c r="R13" s="76">
        <f t="shared" si="3"/>
        <v>0.22999999999999998</v>
      </c>
      <c r="S13" s="108">
        <f t="shared" si="70"/>
        <v>3.5569487822654962</v>
      </c>
      <c r="T13" s="108">
        <f t="shared" si="71"/>
        <v>3.8931937786748652</v>
      </c>
      <c r="U13" s="73">
        <f t="shared" si="4"/>
        <v>4.1811414594371854</v>
      </c>
      <c r="V13" s="73">
        <f t="shared" si="5"/>
        <v>6.2673523758687342</v>
      </c>
      <c r="W13" s="73">
        <f t="shared" si="6"/>
        <v>4.1811414594371854</v>
      </c>
      <c r="X13" s="73">
        <f t="shared" si="7"/>
        <v>4.2356574949250714</v>
      </c>
      <c r="Y13" s="73">
        <f t="shared" si="8"/>
        <v>8.2086385560563393</v>
      </c>
      <c r="Z13" s="73">
        <f t="shared" si="9"/>
        <v>2.1178287474625357</v>
      </c>
      <c r="AA13" s="73">
        <f t="shared" si="10"/>
        <v>2.6438559763414093</v>
      </c>
      <c r="AB13" s="73">
        <f t="shared" si="11"/>
        <v>3.1028653741892964</v>
      </c>
      <c r="AC13" s="73">
        <f t="shared" si="12"/>
        <v>5.9348456760287327</v>
      </c>
      <c r="AD13" s="73">
        <f t="shared" si="13"/>
        <v>1.5514326870946482</v>
      </c>
      <c r="AE13" s="73">
        <f t="shared" si="14"/>
        <v>4.2768258440816913</v>
      </c>
      <c r="AF13" s="73">
        <f t="shared" si="15"/>
        <v>7.5519474715718324</v>
      </c>
      <c r="AG13" s="73">
        <f t="shared" si="16"/>
        <v>3.3983763622073244</v>
      </c>
      <c r="AH13" s="73">
        <f t="shared" si="17"/>
        <v>1.8551426388614092</v>
      </c>
      <c r="AI13" s="73">
        <f t="shared" si="18"/>
        <v>4.2386794709611282</v>
      </c>
      <c r="AJ13" s="73">
        <f t="shared" si="72"/>
        <v>8.2086385560563393</v>
      </c>
      <c r="AK13" s="73">
        <f t="shared" si="73"/>
        <v>3.9319378683509862</v>
      </c>
      <c r="AL13" s="73">
        <f t="shared" si="74"/>
        <v>0.7442787832557749</v>
      </c>
      <c r="AM13" s="73">
        <f t="shared" si="75"/>
        <v>2.710448097077184</v>
      </c>
      <c r="AN13" s="73">
        <f t="shared" si="19"/>
        <v>6.1893134712664795</v>
      </c>
      <c r="AO13" s="73">
        <f t="shared" si="20"/>
        <v>5.8117160976878877</v>
      </c>
      <c r="AP13" s="73">
        <f t="shared" si="21"/>
        <v>0.70284263886140885</v>
      </c>
      <c r="AQ13" s="73">
        <f t="shared" si="22"/>
        <v>1.5240879041442257</v>
      </c>
      <c r="AR13" s="73">
        <f t="shared" si="23"/>
        <v>2.2163324101352115</v>
      </c>
      <c r="AS13" s="73">
        <f t="shared" si="24"/>
        <v>4.8759313022974657</v>
      </c>
      <c r="AT13" s="73">
        <f t="shared" si="25"/>
        <v>1.1081662050676058</v>
      </c>
      <c r="AU13" s="73">
        <f t="shared" si="26"/>
        <v>10.486554796917186</v>
      </c>
      <c r="AV13" s="73">
        <f t="shared" si="27"/>
        <v>0.98045634562065753</v>
      </c>
      <c r="AW13" s="73">
        <f t="shared" si="28"/>
        <v>3.0171310969245071</v>
      </c>
      <c r="AX13" s="73">
        <f t="shared" si="29"/>
        <v>0.49022817281032877</v>
      </c>
      <c r="AY13" s="73">
        <f t="shared" si="30"/>
        <v>1.5514326870946482</v>
      </c>
      <c r="AZ13" s="73">
        <f t="shared" si="31"/>
        <v>3.2834554224225361</v>
      </c>
      <c r="BA13" s="73">
        <f t="shared" si="32"/>
        <v>0.77571634354732411</v>
      </c>
      <c r="BB13" s="73">
        <f t="shared" si="33"/>
        <v>11.108638556056341</v>
      </c>
      <c r="BC13" s="73">
        <f t="shared" si="34"/>
        <v>1.9081188880155873</v>
      </c>
      <c r="BD13" s="73">
        <f t="shared" si="35"/>
        <v>5.1356265110537098</v>
      </c>
      <c r="BE13" s="73">
        <f t="shared" si="36"/>
        <v>0.95405944400779363</v>
      </c>
      <c r="BF13" s="73">
        <f t="shared" si="37"/>
        <v>2.3887138198123945</v>
      </c>
      <c r="BG13" s="73">
        <f t="shared" si="38"/>
        <v>2.8566062175076059</v>
      </c>
      <c r="BH13" s="73">
        <f t="shared" si="39"/>
        <v>9.7867105678856365</v>
      </c>
      <c r="BI13" s="73">
        <f t="shared" si="40"/>
        <v>6.5134796763340859</v>
      </c>
      <c r="BJ13" s="73">
        <f t="shared" si="41"/>
        <v>1.8176152253429112</v>
      </c>
      <c r="BK13" s="73">
        <f t="shared" si="42"/>
        <v>3.9811896996873246</v>
      </c>
      <c r="BL13" s="73">
        <f t="shared" si="43"/>
        <v>2.1670805787988736</v>
      </c>
      <c r="BM13" s="73">
        <f t="shared" si="44"/>
        <v>4.2323912898574658</v>
      </c>
      <c r="BN13" s="73">
        <f t="shared" si="45"/>
        <v>6.367350097993242</v>
      </c>
      <c r="BO13" s="73">
        <f t="shared" si="46"/>
        <v>0.39218253824826299</v>
      </c>
      <c r="BP13" s="73">
        <f t="shared" si="47"/>
        <v>1.4775549400901411</v>
      </c>
      <c r="BQ13" s="73">
        <f t="shared" si="48"/>
        <v>0.55818742181183112</v>
      </c>
      <c r="BR13" s="73">
        <f t="shared" si="49"/>
        <v>3.3881347595971842</v>
      </c>
      <c r="BS13" s="73">
        <f t="shared" si="50"/>
        <v>9.3656425164217865</v>
      </c>
      <c r="BT13" s="73">
        <f t="shared" si="51"/>
        <v>1.0181662050676059</v>
      </c>
      <c r="BU13" s="73">
        <f t="shared" si="52"/>
        <v>2.3312533499200003</v>
      </c>
      <c r="BV13" s="73">
        <f t="shared" si="53"/>
        <v>2.0029078076777469</v>
      </c>
      <c r="BW13" s="73">
        <f t="shared" si="54"/>
        <v>5.0544305430056351</v>
      </c>
      <c r="BX13" s="73">
        <f t="shared" si="55"/>
        <v>8.0685048534437591</v>
      </c>
      <c r="BY13" s="73">
        <f t="shared" si="56"/>
        <v>0.91257859861615043</v>
      </c>
      <c r="BZ13" s="73">
        <f t="shared" si="57"/>
        <v>2.3312533499200003</v>
      </c>
      <c r="CA13" s="73">
        <f t="shared" si="58"/>
        <v>2.0029078076777469</v>
      </c>
      <c r="CB13" s="73">
        <f t="shared" si="59"/>
        <v>7.0095509288715512</v>
      </c>
      <c r="CC13" s="73">
        <f t="shared" si="60"/>
        <v>6.5160648410037574</v>
      </c>
      <c r="CD13" s="73">
        <f t="shared" si="61"/>
        <v>1.1162118396296716</v>
      </c>
      <c r="CE13" s="73">
        <f t="shared" si="62"/>
        <v>4.5101072537588749</v>
      </c>
      <c r="CF13" s="73">
        <f t="shared" si="63"/>
        <v>4.4740340210386869</v>
      </c>
      <c r="CG13" s="73">
        <f t="shared" si="64"/>
        <v>11.212927014119439</v>
      </c>
      <c r="CH13" s="73">
        <f t="shared" si="65"/>
        <v>4.4740340210386869</v>
      </c>
      <c r="CI13" s="73">
        <f t="shared" si="66"/>
        <v>5.4483151537564325</v>
      </c>
      <c r="CJ13" s="73">
        <f t="shared" si="67"/>
        <v>14.991626183241129</v>
      </c>
      <c r="CK13" s="73">
        <f t="shared" si="68"/>
        <v>5.4483151537564325</v>
      </c>
      <c r="CL13" s="73">
        <f t="shared" si="69"/>
        <v>2.7771596390140854</v>
      </c>
    </row>
    <row r="14" spans="1:90" x14ac:dyDescent="0.25">
      <c r="R14" s="2"/>
      <c r="S14" s="350"/>
      <c r="T14" s="2"/>
      <c r="U14" s="165"/>
      <c r="V14" s="350"/>
      <c r="W14" s="428"/>
      <c r="X14" s="428"/>
      <c r="Y14" s="429"/>
      <c r="Z14" s="108"/>
      <c r="AA14" s="76"/>
      <c r="AB14" s="76"/>
      <c r="AC14" s="76"/>
      <c r="AD14" s="76"/>
      <c r="AE14" s="76"/>
      <c r="AF14" s="76"/>
      <c r="AG14" s="76"/>
      <c r="AH14" s="108"/>
      <c r="AI14" s="108"/>
      <c r="AJ14" s="108"/>
      <c r="AK14" s="108"/>
      <c r="AL14" s="108"/>
      <c r="AM14" s="108"/>
      <c r="AN14" s="76"/>
      <c r="AO14" s="76"/>
      <c r="AP14" s="108"/>
      <c r="AQ14" s="108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</row>
    <row r="15" spans="1:90" x14ac:dyDescent="0.25">
      <c r="B15" s="414"/>
      <c r="C15" s="412" t="s">
        <v>434</v>
      </c>
      <c r="D15" s="415" t="s">
        <v>430</v>
      </c>
      <c r="E15" s="415" t="s">
        <v>435</v>
      </c>
      <c r="F15" s="415" t="s">
        <v>430</v>
      </c>
      <c r="G15" s="415" t="s">
        <v>24</v>
      </c>
      <c r="H15" s="415" t="s">
        <v>436</v>
      </c>
      <c r="I15" s="415" t="s">
        <v>433</v>
      </c>
      <c r="J15" s="415" t="s">
        <v>432</v>
      </c>
      <c r="K15" s="415" t="s">
        <v>427</v>
      </c>
      <c r="L15" s="415" t="s">
        <v>437</v>
      </c>
      <c r="M15" s="415" t="s">
        <v>438</v>
      </c>
      <c r="R15" s="2"/>
      <c r="S15" s="350"/>
      <c r="T15" s="2"/>
      <c r="U15" s="165"/>
      <c r="V15" s="350"/>
      <c r="W15" s="428"/>
      <c r="X15" s="428"/>
      <c r="Y15" s="429"/>
      <c r="Z15" s="108"/>
      <c r="AA15" s="76"/>
      <c r="AB15" s="76"/>
      <c r="AC15" s="76"/>
      <c r="AD15" s="76"/>
      <c r="AE15" s="76"/>
      <c r="AF15" s="76"/>
      <c r="AG15" s="76"/>
      <c r="AH15" s="108"/>
      <c r="AI15" s="108"/>
      <c r="AJ15" s="108"/>
      <c r="AK15" s="108"/>
      <c r="AL15" s="108"/>
      <c r="AM15" s="108"/>
      <c r="AN15" s="76"/>
      <c r="AO15" s="76"/>
      <c r="AP15" s="108"/>
      <c r="AQ15" s="108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</row>
    <row r="16" spans="1:90" x14ac:dyDescent="0.25">
      <c r="B16" s="416" t="s">
        <v>11</v>
      </c>
      <c r="C16" s="413">
        <v>1</v>
      </c>
      <c r="D16" s="417">
        <f>U3</f>
        <v>11.700459665724619</v>
      </c>
      <c r="E16" s="417">
        <f t="shared" ref="E16:F16" si="76">V3</f>
        <v>17.179986090517655</v>
      </c>
      <c r="F16" s="417">
        <f t="shared" si="76"/>
        <v>11.700459665724619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17">
        <v>0</v>
      </c>
      <c r="R16" s="2"/>
      <c r="S16" s="350"/>
      <c r="T16" s="2"/>
      <c r="U16" s="165"/>
      <c r="V16" s="350"/>
      <c r="W16" s="428"/>
      <c r="X16" s="428"/>
      <c r="Y16" s="429"/>
      <c r="Z16" s="108"/>
      <c r="AA16" s="76"/>
      <c r="AB16" s="76"/>
      <c r="AC16" s="76"/>
      <c r="AD16" s="76"/>
      <c r="AE16" s="76"/>
      <c r="AF16" s="76"/>
      <c r="AG16" s="76"/>
      <c r="AH16" s="108"/>
      <c r="AI16" s="108"/>
      <c r="AJ16" s="108"/>
      <c r="AK16" s="108"/>
      <c r="AL16" s="108"/>
      <c r="AM16" s="108"/>
      <c r="AN16" s="76"/>
      <c r="AO16" s="76"/>
      <c r="AP16" s="108"/>
      <c r="AQ16" s="108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</row>
    <row r="17" spans="2:90" x14ac:dyDescent="0.25">
      <c r="B17" s="416" t="s">
        <v>439</v>
      </c>
      <c r="C17" s="413">
        <v>1</v>
      </c>
      <c r="D17" s="417" t="e">
        <f>AF4</f>
        <v>#REF!</v>
      </c>
      <c r="E17" s="417" t="e">
        <f t="shared" ref="E17" si="77">AG4</f>
        <v>#REF!</v>
      </c>
      <c r="F17" s="417">
        <v>0</v>
      </c>
      <c r="G17" s="417" t="e">
        <f>AL4</f>
        <v>#REF!</v>
      </c>
      <c r="H17" s="417" t="e">
        <f>AM4</f>
        <v>#REF!</v>
      </c>
      <c r="I17" s="417">
        <v>0</v>
      </c>
      <c r="J17" s="417">
        <v>0</v>
      </c>
      <c r="K17" s="417" t="e">
        <f>O4</f>
        <v>#REF!</v>
      </c>
      <c r="L17" s="417" t="e">
        <f>S4</f>
        <v>#REF!</v>
      </c>
      <c r="M17" s="417" t="e">
        <f>T4</f>
        <v>#REF!</v>
      </c>
      <c r="R17" s="2"/>
      <c r="S17" s="350"/>
      <c r="T17" s="2"/>
      <c r="U17" s="165"/>
      <c r="V17" s="350"/>
      <c r="W17" s="428"/>
      <c r="X17" s="428"/>
      <c r="Y17" s="429"/>
      <c r="Z17" s="108"/>
      <c r="AA17" s="76"/>
      <c r="AB17" s="76"/>
      <c r="AC17" s="76"/>
      <c r="AD17" s="76"/>
      <c r="AE17" s="76"/>
      <c r="AF17" s="76"/>
      <c r="AG17" s="76"/>
      <c r="AH17" s="108"/>
      <c r="AI17" s="108"/>
      <c r="AJ17" s="108"/>
      <c r="AK17" s="108"/>
      <c r="AL17" s="108"/>
      <c r="AM17" s="108"/>
      <c r="AN17" s="76"/>
      <c r="AO17" s="76"/>
      <c r="AP17" s="108"/>
      <c r="AQ17" s="108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</row>
    <row r="18" spans="2:90" x14ac:dyDescent="0.25">
      <c r="B18" s="416" t="s">
        <v>440</v>
      </c>
      <c r="C18" s="413">
        <v>1</v>
      </c>
      <c r="D18" s="417">
        <f>(AB5+AD5)/2</f>
        <v>1.9931713232780304</v>
      </c>
      <c r="E18" s="417">
        <f t="shared" ref="E18" si="78">AC5</f>
        <v>5.0831141683598435</v>
      </c>
      <c r="F18" s="417">
        <f>D18</f>
        <v>1.9931713232780304</v>
      </c>
      <c r="G18" s="417">
        <f>AE5</f>
        <v>4.3567758711183133</v>
      </c>
      <c r="H18" s="417">
        <v>0</v>
      </c>
      <c r="I18" s="417">
        <v>0</v>
      </c>
      <c r="J18" s="417">
        <v>0</v>
      </c>
      <c r="K18" s="417">
        <f t="shared" ref="K18:K19" si="79">O5</f>
        <v>1.75</v>
      </c>
      <c r="L18" s="417">
        <f t="shared" ref="L18:M18" si="80">S5</f>
        <v>3.7315981605802442</v>
      </c>
      <c r="M18" s="417">
        <f t="shared" si="80"/>
        <v>4.0277066587989534</v>
      </c>
      <c r="R18" s="2"/>
      <c r="S18" s="350"/>
      <c r="T18" s="2"/>
      <c r="U18" s="165"/>
      <c r="V18" s="350"/>
      <c r="W18" s="428"/>
      <c r="X18" s="428"/>
      <c r="Y18" s="429"/>
      <c r="Z18" s="108"/>
      <c r="AA18" s="76"/>
      <c r="AB18" s="76"/>
      <c r="AC18" s="76"/>
      <c r="AD18" s="76"/>
      <c r="AE18" s="76"/>
      <c r="AF18" s="76"/>
      <c r="AG18" s="76"/>
      <c r="AH18" s="108"/>
      <c r="AI18" s="108"/>
      <c r="AJ18" s="108"/>
      <c r="AK18" s="108"/>
      <c r="AL18" s="108"/>
      <c r="AM18" s="108"/>
      <c r="AN18" s="76"/>
      <c r="AO18" s="76"/>
      <c r="AP18" s="108"/>
      <c r="AQ18" s="108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</row>
    <row r="19" spans="2:90" x14ac:dyDescent="0.25">
      <c r="B19" s="416" t="s">
        <v>441</v>
      </c>
      <c r="C19" s="413">
        <v>1</v>
      </c>
      <c r="D19" s="417">
        <v>0</v>
      </c>
      <c r="E19" s="417">
        <f>AG6</f>
        <v>2.9543709326052534</v>
      </c>
      <c r="F19" s="417">
        <f>AF6</f>
        <v>6.5652687391227857</v>
      </c>
      <c r="G19" s="417">
        <f>AH6</f>
        <v>1.5591389993842451</v>
      </c>
      <c r="H19" s="417">
        <v>0</v>
      </c>
      <c r="I19" s="417">
        <f>0</f>
        <v>0</v>
      </c>
      <c r="J19" s="417">
        <f>AI6</f>
        <v>4.1960630637002154</v>
      </c>
      <c r="K19" s="417">
        <f t="shared" si="79"/>
        <v>1.5</v>
      </c>
      <c r="L19" s="417">
        <f t="shared" ref="L19:M19" si="81">S6</f>
        <v>2.903521512962262</v>
      </c>
      <c r="M19" s="417">
        <f t="shared" si="81"/>
        <v>3.1339207568656526</v>
      </c>
      <c r="R19" s="2"/>
      <c r="S19" s="350"/>
      <c r="T19" s="2"/>
      <c r="U19" s="165"/>
      <c r="V19" s="350"/>
      <c r="W19" s="428"/>
      <c r="X19" s="428"/>
      <c r="Y19" s="429"/>
      <c r="Z19" s="108"/>
      <c r="AA19" s="76"/>
      <c r="AB19" s="76"/>
      <c r="AC19" s="76"/>
      <c r="AD19" s="76"/>
      <c r="AE19" s="76"/>
      <c r="AF19" s="76"/>
      <c r="AG19" s="76"/>
      <c r="AH19" s="108"/>
      <c r="AI19" s="108"/>
      <c r="AJ19" s="108"/>
      <c r="AK19" s="108"/>
      <c r="AL19" s="108"/>
      <c r="AM19" s="108"/>
      <c r="AN19" s="76"/>
      <c r="AO19" s="76"/>
      <c r="AP19" s="108"/>
      <c r="AQ19" s="108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</row>
    <row r="20" spans="2:90" x14ac:dyDescent="0.25">
      <c r="B20" s="416" t="s">
        <v>424</v>
      </c>
      <c r="C20" s="413">
        <v>1</v>
      </c>
      <c r="D20" s="417">
        <f>BZ7</f>
        <v>1.6675546968941377</v>
      </c>
      <c r="E20" s="417">
        <f>CA7</f>
        <v>1.4326878381766537</v>
      </c>
      <c r="F20" s="417">
        <v>0</v>
      </c>
      <c r="G20" s="417">
        <f>BW7</f>
        <v>6.2547355179113833</v>
      </c>
      <c r="H20" s="417">
        <f>CC7</f>
        <v>6.1501459638037081</v>
      </c>
      <c r="I20" s="417">
        <f>CD7</f>
        <v>1.0170073772546915</v>
      </c>
      <c r="J20" s="417">
        <v>0</v>
      </c>
      <c r="K20" s="417">
        <v>0</v>
      </c>
      <c r="L20" s="417">
        <f t="shared" ref="L20:M20" si="82">S7</f>
        <v>6.8716714679371051</v>
      </c>
      <c r="M20" s="417">
        <f t="shared" si="82"/>
        <v>7.3415330378261938</v>
      </c>
      <c r="R20" s="2"/>
      <c r="S20" s="350"/>
      <c r="T20" s="2"/>
      <c r="U20" s="165"/>
      <c r="V20" s="350"/>
      <c r="W20" s="428"/>
      <c r="X20" s="428"/>
      <c r="Y20" s="429"/>
      <c r="Z20" s="108"/>
      <c r="AA20" s="76"/>
      <c r="AB20" s="76"/>
      <c r="AC20" s="76"/>
      <c r="AD20" s="76"/>
      <c r="AE20" s="76"/>
      <c r="AF20" s="76"/>
      <c r="AG20" s="76"/>
      <c r="AH20" s="108"/>
      <c r="AI20" s="108"/>
      <c r="AJ20" s="108"/>
      <c r="AK20" s="108"/>
      <c r="AL20" s="108"/>
      <c r="AM20" s="108"/>
      <c r="AN20" s="76"/>
      <c r="AO20" s="76"/>
      <c r="AP20" s="108"/>
      <c r="AQ20" s="108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</row>
    <row r="21" spans="2:90" x14ac:dyDescent="0.25">
      <c r="B21" s="416" t="s">
        <v>421</v>
      </c>
      <c r="C21" s="413">
        <f>1-0.175</f>
        <v>0.82499999999999996</v>
      </c>
      <c r="D21" s="417">
        <f>AY8</f>
        <v>1.5576882301933563</v>
      </c>
      <c r="E21" s="417">
        <f>AZ8</f>
        <v>3.2966946670758865</v>
      </c>
      <c r="F21" s="417">
        <f>BA8</f>
        <v>0.77884411509667817</v>
      </c>
      <c r="G21" s="417">
        <f>BB8</f>
        <v>13.366736667689716</v>
      </c>
      <c r="H21" s="417">
        <f>BC8</f>
        <v>1.8321593769254982</v>
      </c>
      <c r="I21" s="417">
        <f t="shared" ref="I21:J21" si="83">BD8</f>
        <v>4.3051969038970341</v>
      </c>
      <c r="J21" s="417">
        <f t="shared" si="83"/>
        <v>0.91607968846274912</v>
      </c>
      <c r="K21" s="417">
        <v>0</v>
      </c>
      <c r="L21" s="417">
        <f t="shared" ref="L21:M21" si="84">S8</f>
        <v>3.9270850648893831</v>
      </c>
      <c r="M21" s="417">
        <f t="shared" si="84"/>
        <v>4.2387057729349413</v>
      </c>
      <c r="R21" s="2"/>
      <c r="S21" s="350"/>
      <c r="T21" s="2"/>
      <c r="U21" s="165"/>
      <c r="V21" s="350"/>
      <c r="W21" s="428"/>
      <c r="X21" s="428"/>
      <c r="Y21" s="429"/>
      <c r="Z21" s="108"/>
      <c r="AA21" s="76"/>
      <c r="AB21" s="76"/>
      <c r="AC21" s="76"/>
      <c r="AD21" s="76"/>
      <c r="AE21" s="76"/>
      <c r="AF21" s="76"/>
      <c r="AG21" s="76"/>
      <c r="AH21" s="108"/>
      <c r="AI21" s="108"/>
      <c r="AJ21" s="108"/>
      <c r="AK21" s="108"/>
      <c r="AL21" s="108"/>
      <c r="AM21" s="108"/>
      <c r="AN21" s="76"/>
      <c r="AO21" s="76"/>
      <c r="AP21" s="108"/>
      <c r="AQ21" s="108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2:90" x14ac:dyDescent="0.25">
      <c r="B22" s="416" t="s">
        <v>421</v>
      </c>
      <c r="C22" s="413">
        <f>1-0.175</f>
        <v>0.82499999999999996</v>
      </c>
      <c r="D22" s="417">
        <f>BA9</f>
        <v>0.78180273317371807</v>
      </c>
      <c r="E22" s="417">
        <f>AZ9</f>
        <v>3.3092179181956318</v>
      </c>
      <c r="F22" s="417">
        <f>AY9</f>
        <v>1.5636054663474361</v>
      </c>
      <c r="G22" s="417">
        <f>BB9</f>
        <v>13.130187652631937</v>
      </c>
      <c r="H22" s="417">
        <f>BE9</f>
        <v>1.0781651666293686</v>
      </c>
      <c r="I22" s="417">
        <f t="shared" ref="I22" si="85">BD9</f>
        <v>4.8536976823144826</v>
      </c>
      <c r="J22" s="417">
        <f>BC9</f>
        <v>2.1563303332587371</v>
      </c>
      <c r="K22" s="417">
        <v>0</v>
      </c>
      <c r="L22" s="417">
        <f t="shared" ref="L22:M22" si="86">S9</f>
        <v>3.27304479548908</v>
      </c>
      <c r="M22" s="417">
        <f t="shared" si="86"/>
        <v>3.4968444886352783</v>
      </c>
      <c r="R22" s="2"/>
      <c r="S22" s="350"/>
      <c r="T22" s="2"/>
      <c r="U22" s="165"/>
      <c r="V22" s="350"/>
      <c r="W22" s="428"/>
      <c r="X22" s="428"/>
      <c r="Y22" s="429"/>
      <c r="Z22" s="108"/>
      <c r="AA22" s="76"/>
      <c r="AB22" s="76"/>
      <c r="AC22" s="76"/>
      <c r="AD22" s="76"/>
      <c r="AE22" s="76"/>
      <c r="AF22" s="76"/>
      <c r="AG22" s="76"/>
      <c r="AH22" s="108"/>
      <c r="AI22" s="108"/>
      <c r="AJ22" s="108"/>
      <c r="AK22" s="108"/>
      <c r="AL22" s="108"/>
      <c r="AM22" s="108"/>
      <c r="AN22" s="76"/>
      <c r="AO22" s="76"/>
      <c r="AP22" s="108"/>
      <c r="AQ22" s="108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</row>
    <row r="23" spans="2:90" x14ac:dyDescent="0.25">
      <c r="B23" s="416" t="s">
        <v>422</v>
      </c>
      <c r="C23" s="413">
        <f>1-0.175</f>
        <v>0.82499999999999996</v>
      </c>
      <c r="D23" s="417">
        <v>0</v>
      </c>
      <c r="E23" s="417">
        <f>BG10</f>
        <v>2.0536779179880873</v>
      </c>
      <c r="F23" s="417">
        <f>BF10</f>
        <v>1.7172996383176247</v>
      </c>
      <c r="G23" s="417">
        <f>BH10</f>
        <v>12.344998790462178</v>
      </c>
      <c r="H23" s="417">
        <v>0</v>
      </c>
      <c r="I23" s="417">
        <f>BJ10</f>
        <v>1.663230971940026</v>
      </c>
      <c r="J23" s="417">
        <f>BI10</f>
        <v>4.4133208881937058</v>
      </c>
      <c r="K23" s="417">
        <v>0</v>
      </c>
      <c r="L23" s="417">
        <f t="shared" ref="L23:M23" si="87">S10</f>
        <v>5.4636100429092433</v>
      </c>
      <c r="M23" s="417">
        <f t="shared" si="87"/>
        <v>5.897156554360774</v>
      </c>
      <c r="R23" s="2"/>
      <c r="S23" s="350"/>
      <c r="T23" s="2"/>
      <c r="U23" s="165"/>
      <c r="V23" s="350"/>
      <c r="W23" s="428"/>
      <c r="X23" s="428"/>
      <c r="Y23" s="429"/>
      <c r="Z23" s="108"/>
      <c r="AA23" s="76"/>
      <c r="AB23" s="76"/>
      <c r="AC23" s="76"/>
      <c r="AD23" s="76"/>
      <c r="AE23" s="76"/>
      <c r="AF23" s="76"/>
      <c r="AG23" s="76"/>
      <c r="AH23" s="108"/>
      <c r="AI23" s="108"/>
      <c r="AJ23" s="108"/>
      <c r="AK23" s="108"/>
      <c r="AL23" s="108"/>
      <c r="AM23" s="108"/>
      <c r="AN23" s="76"/>
      <c r="AO23" s="76"/>
      <c r="AP23" s="108"/>
      <c r="AQ23" s="108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</row>
    <row r="24" spans="2:90" x14ac:dyDescent="0.25">
      <c r="B24" s="416" t="s">
        <v>423</v>
      </c>
      <c r="C24" s="413">
        <v>1</v>
      </c>
      <c r="D24" s="417">
        <v>0</v>
      </c>
      <c r="E24" s="417">
        <f>BV11</f>
        <v>1.4823370112730572</v>
      </c>
      <c r="F24" s="417">
        <f>BU11</f>
        <v>1.7253430786948698</v>
      </c>
      <c r="G24" s="417">
        <f>BW11</f>
        <v>6.1198190169231195</v>
      </c>
      <c r="H24" s="417">
        <v>0</v>
      </c>
      <c r="I24" s="417">
        <f>BY11</f>
        <v>0.77542668728431652</v>
      </c>
      <c r="J24" s="417">
        <f>BX11</f>
        <v>7.6766014009175443</v>
      </c>
      <c r="K24" s="417">
        <v>0</v>
      </c>
      <c r="L24" s="417">
        <f t="shared" ref="L24:M24" si="88">S11</f>
        <v>3.4441317857027101</v>
      </c>
      <c r="M24" s="417">
        <f t="shared" si="88"/>
        <v>3.7697119812036979</v>
      </c>
    </row>
    <row r="25" spans="2:90" x14ac:dyDescent="0.25">
      <c r="B25" s="416" t="s">
        <v>13</v>
      </c>
      <c r="C25" s="413">
        <f>1-0.055</f>
        <v>0.94499999999999995</v>
      </c>
      <c r="D25" s="417">
        <v>0</v>
      </c>
      <c r="E25" s="417">
        <v>0</v>
      </c>
      <c r="F25" s="417">
        <v>0</v>
      </c>
      <c r="G25" s="417">
        <f>CL12</f>
        <v>3.2307310675855136</v>
      </c>
      <c r="H25" s="417">
        <f>CI12</f>
        <v>5.665315153756433</v>
      </c>
      <c r="I25" s="417">
        <f t="shared" ref="I25:J25" si="89">CJ12</f>
        <v>14.035292849907798</v>
      </c>
      <c r="J25" s="417">
        <f t="shared" si="89"/>
        <v>5.665315153756433</v>
      </c>
      <c r="K25" s="417">
        <v>0</v>
      </c>
      <c r="L25" s="417">
        <f t="shared" ref="L25:M25" si="90">S12</f>
        <v>4.8222622676472389</v>
      </c>
      <c r="M25" s="417">
        <f t="shared" si="90"/>
        <v>5.2049167702606018</v>
      </c>
    </row>
    <row r="26" spans="2:90" x14ac:dyDescent="0.25">
      <c r="B26" s="416" t="s">
        <v>13</v>
      </c>
      <c r="C26" s="413">
        <f>1-0.055</f>
        <v>0.94499999999999995</v>
      </c>
      <c r="D26" s="417">
        <v>0</v>
      </c>
      <c r="E26" s="417">
        <v>0</v>
      </c>
      <c r="F26" s="417">
        <v>0</v>
      </c>
      <c r="G26" s="417">
        <f>CL13</f>
        <v>2.7771596390140854</v>
      </c>
      <c r="H26" s="417">
        <f>CI13</f>
        <v>5.4483151537564325</v>
      </c>
      <c r="I26" s="417">
        <f t="shared" ref="I26" si="91">CJ13</f>
        <v>14.991626183241129</v>
      </c>
      <c r="J26" s="417">
        <f t="shared" ref="J26" si="92">CK13</f>
        <v>5.4483151537564325</v>
      </c>
      <c r="K26" s="417">
        <v>0</v>
      </c>
      <c r="L26" s="417">
        <f t="shared" ref="L26:M26" si="93">S13</f>
        <v>3.5569487822654962</v>
      </c>
      <c r="M26" s="417">
        <f t="shared" si="93"/>
        <v>3.8931937786748652</v>
      </c>
    </row>
    <row r="27" spans="2:90" x14ac:dyDescent="0.25">
      <c r="C27" s="412"/>
      <c r="D27" s="418" t="e">
        <f>SUM(D16:D26)</f>
        <v>#REF!</v>
      </c>
      <c r="E27" s="418" t="e">
        <f t="shared" ref="E27:M27" si="94">SUM(E16:E26)</f>
        <v>#REF!</v>
      </c>
      <c r="F27" s="418">
        <f t="shared" si="94"/>
        <v>26.043992026582043</v>
      </c>
      <c r="G27" s="418" t="e">
        <f t="shared" si="94"/>
        <v>#REF!</v>
      </c>
      <c r="H27" s="418" t="e">
        <f t="shared" si="94"/>
        <v>#REF!</v>
      </c>
      <c r="I27" s="418">
        <f t="shared" si="94"/>
        <v>41.641478655839478</v>
      </c>
      <c r="J27" s="418">
        <f t="shared" si="94"/>
        <v>30.472025682045818</v>
      </c>
      <c r="K27" s="419" t="e">
        <f t="shared" si="94"/>
        <v>#REF!</v>
      </c>
      <c r="L27" s="419" t="e">
        <f t="shared" si="94"/>
        <v>#REF!</v>
      </c>
      <c r="M27" s="419" t="e">
        <f t="shared" si="94"/>
        <v>#REF!</v>
      </c>
    </row>
    <row r="28" spans="2:90" ht="15.75" x14ac:dyDescent="0.25">
      <c r="C28" s="2" t="s">
        <v>446</v>
      </c>
      <c r="D28" s="420" t="e">
        <f>D27*0.34</f>
        <v>#REF!</v>
      </c>
      <c r="E28" s="420" t="e">
        <f>E27*0.245</f>
        <v>#REF!</v>
      </c>
      <c r="F28" s="420">
        <f>F27*0.34</f>
        <v>8.8549572890378947</v>
      </c>
      <c r="G28" s="420" t="e">
        <f>G27*0.125</f>
        <v>#REF!</v>
      </c>
      <c r="H28" s="420" t="e">
        <f>H27*0.25</f>
        <v>#REF!</v>
      </c>
      <c r="I28" s="420">
        <f>I27*0.19</f>
        <v>7.9118809446095009</v>
      </c>
      <c r="J28" s="420">
        <f>J27*0.25</f>
        <v>7.6180064205114544</v>
      </c>
    </row>
    <row r="29" spans="2:90" ht="15.75" x14ac:dyDescent="0.25">
      <c r="C29" s="2" t="s">
        <v>442</v>
      </c>
      <c r="D29" s="420" t="e">
        <f>D28*1.2/1.05</f>
        <v>#REF!</v>
      </c>
      <c r="E29" s="420" t="e">
        <f t="shared" ref="E29:F29" si="95">E28*1.2/1.05</f>
        <v>#REF!</v>
      </c>
      <c r="F29" s="420">
        <f t="shared" si="95"/>
        <v>10.119951187471878</v>
      </c>
      <c r="G29" s="420" t="e">
        <f>G28</f>
        <v>#REF!</v>
      </c>
      <c r="H29" s="420" t="e">
        <f>H28*0.925/1.05</f>
        <v>#REF!</v>
      </c>
      <c r="I29" s="420">
        <f t="shared" ref="I29:J29" si="96">I28*0.925/1.05</f>
        <v>6.9699903559655132</v>
      </c>
      <c r="J29" s="420">
        <f t="shared" si="96"/>
        <v>6.7111008942600909</v>
      </c>
    </row>
    <row r="30" spans="2:90" ht="15.75" x14ac:dyDescent="0.25">
      <c r="C30" s="2" t="s">
        <v>443</v>
      </c>
      <c r="D30" s="420" t="e">
        <f>D28*0.925/1.05</f>
        <v>#REF!</v>
      </c>
      <c r="E30" s="420" t="e">
        <f t="shared" ref="E30:F30" si="97">E28*0.925/1.05</f>
        <v>#REF!</v>
      </c>
      <c r="F30" s="420">
        <f t="shared" si="97"/>
        <v>7.8007957070095744</v>
      </c>
      <c r="G30" s="420" t="e">
        <f>G29</f>
        <v>#REF!</v>
      </c>
      <c r="H30" s="420" t="e">
        <f>H28*1.135/1.05</f>
        <v>#REF!</v>
      </c>
      <c r="I30" s="420">
        <f t="shared" ref="I30:J30" si="98">I28*1.135/1.05</f>
        <v>8.5523665448874127</v>
      </c>
      <c r="J30" s="420">
        <f t="shared" si="98"/>
        <v>8.2347021783623813</v>
      </c>
    </row>
  </sheetData>
  <conditionalFormatting sqref="AV14:AV23 BC14:BC23 BN14:BN23 BU14:BU23 CA14:CA23 CF14:CF23 AS3:AS13 AZ3:AZ13 BK3:BK13 BR3:BR13 BX3:BX13 CC3:CC13 Y3:Y13 AF3:AF13 AU3:AU13 BB3:BB13 BH3:BH13 BM3:BM13">
    <cfRule type="cellIs" dxfId="48" priority="11" operator="greaterThan">
      <formula>12</formula>
    </cfRule>
  </conditionalFormatting>
  <conditionalFormatting sqref="Z14:Z23 W3:W13 G3:G12 H12:N12 G13:N13 H7:N7">
    <cfRule type="cellIs" dxfId="47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46" priority="13" operator="greaterThan">
      <formula>12.5</formula>
    </cfRule>
  </conditionalFormatting>
  <conditionalFormatting sqref="AN14:AO23 AG3:AH13 Q3:R13">
    <cfRule type="cellIs" dxfId="45" priority="14" operator="greaterThan">
      <formula>0.6</formula>
    </cfRule>
  </conditionalFormatting>
  <conditionalFormatting sqref="AH14:AH23 AE3:AE13 O3:O13">
    <cfRule type="cellIs" dxfId="44" priority="15" operator="greaterThan">
      <formula>3.2</formula>
    </cfRule>
  </conditionalFormatting>
  <conditionalFormatting sqref="AP14:AQ23 AI3:AN13 S3:T13">
    <cfRule type="cellIs" dxfId="43" priority="16" operator="greaterThan">
      <formula>15</formula>
    </cfRule>
  </conditionalFormatting>
  <conditionalFormatting sqref="E2:K6 I3:N6 E7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O7" sqref="O7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145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146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ht="19.5" thickBot="1" x14ac:dyDescent="0.35">
      <c r="B2" s="81" t="s">
        <v>49</v>
      </c>
      <c r="C2" s="81" t="s">
        <v>147</v>
      </c>
      <c r="D2" s="81" t="s">
        <v>51</v>
      </c>
      <c r="E2" s="82" t="s">
        <v>148</v>
      </c>
      <c r="F2" s="81" t="s">
        <v>149</v>
      </c>
      <c r="G2" s="82" t="s">
        <v>150</v>
      </c>
      <c r="H2" s="82" t="s">
        <v>151</v>
      </c>
      <c r="I2" s="82" t="s">
        <v>53</v>
      </c>
      <c r="J2" s="82" t="s">
        <v>152</v>
      </c>
      <c r="K2" s="83" t="s">
        <v>153</v>
      </c>
      <c r="L2" s="86" t="s">
        <v>11</v>
      </c>
      <c r="M2" s="87" t="s">
        <v>153</v>
      </c>
      <c r="N2" s="88" t="s">
        <v>16</v>
      </c>
      <c r="O2" s="87" t="s">
        <v>153</v>
      </c>
      <c r="P2" s="88" t="s">
        <v>154</v>
      </c>
      <c r="Q2" s="87" t="s">
        <v>153</v>
      </c>
      <c r="R2" s="88" t="s">
        <v>109</v>
      </c>
      <c r="S2" s="87" t="s">
        <v>153</v>
      </c>
      <c r="T2" s="88" t="s">
        <v>155</v>
      </c>
      <c r="U2" s="87" t="s">
        <v>153</v>
      </c>
      <c r="V2" s="88" t="s">
        <v>156</v>
      </c>
      <c r="W2" s="87" t="s">
        <v>153</v>
      </c>
      <c r="X2" s="88" t="s">
        <v>157</v>
      </c>
      <c r="Y2" s="87" t="s">
        <v>153</v>
      </c>
      <c r="Z2" s="89" t="s">
        <v>158</v>
      </c>
      <c r="AA2" s="90" t="s">
        <v>11</v>
      </c>
      <c r="AB2" s="90" t="s">
        <v>16</v>
      </c>
      <c r="AC2" s="90" t="s">
        <v>154</v>
      </c>
      <c r="AD2" s="90" t="s">
        <v>109</v>
      </c>
      <c r="AE2" s="90" t="s">
        <v>155</v>
      </c>
      <c r="AF2" s="90" t="s">
        <v>156</v>
      </c>
      <c r="AG2" s="91" t="s">
        <v>157</v>
      </c>
      <c r="AH2" s="82" t="s">
        <v>159</v>
      </c>
      <c r="AI2" s="82" t="s">
        <v>157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2" t="s">
        <v>13</v>
      </c>
      <c r="AU2" s="85" t="s">
        <v>160</v>
      </c>
      <c r="AV2" s="82" t="s">
        <v>161</v>
      </c>
    </row>
    <row r="3" spans="1:48" ht="19.5" thickBot="1" x14ac:dyDescent="0.35">
      <c r="A3" s="20">
        <v>1</v>
      </c>
      <c r="B3" s="442" t="s">
        <v>454</v>
      </c>
      <c r="C3" s="1">
        <v>17</v>
      </c>
      <c r="D3" s="93">
        <f ca="1">67+$B$24-$B$26-602</f>
        <v>73</v>
      </c>
      <c r="E3" s="21"/>
      <c r="F3" s="94">
        <f t="shared" ref="F3:F10" ca="1" si="0">G3-TODAY()</f>
        <v>-12</v>
      </c>
      <c r="G3" s="95">
        <v>44233</v>
      </c>
      <c r="H3" s="117"/>
      <c r="I3" s="97"/>
      <c r="J3" s="98">
        <f t="shared" ref="J3:K9" si="1">COUNT(L3,N3,P3,R3,T3,V3,X3)</f>
        <v>4</v>
      </c>
      <c r="K3" s="99">
        <f t="shared" si="1"/>
        <v>5</v>
      </c>
      <c r="L3" s="100"/>
      <c r="M3" s="101"/>
      <c r="N3" s="102">
        <v>6</v>
      </c>
      <c r="O3" s="101">
        <v>6.99</v>
      </c>
      <c r="P3" s="112">
        <v>3</v>
      </c>
      <c r="Q3" s="113">
        <v>3.99</v>
      </c>
      <c r="R3" s="112"/>
      <c r="S3" s="393">
        <v>2.99</v>
      </c>
      <c r="T3" s="441">
        <v>3</v>
      </c>
      <c r="U3" s="393">
        <v>4.99</v>
      </c>
      <c r="V3" s="102">
        <v>4</v>
      </c>
      <c r="W3" s="101">
        <v>4.99</v>
      </c>
      <c r="X3" s="102"/>
      <c r="Y3" s="101"/>
      <c r="Z3" s="103">
        <f t="shared" ref="Z3:Z9" si="2">SUM(AA3:AG3)</f>
        <v>26</v>
      </c>
      <c r="AA3" s="119"/>
      <c r="AB3" s="104">
        <v>14</v>
      </c>
      <c r="AC3" s="105">
        <v>3</v>
      </c>
      <c r="AD3" s="105">
        <v>0</v>
      </c>
      <c r="AE3" s="105">
        <v>4</v>
      </c>
      <c r="AF3" s="105">
        <v>5</v>
      </c>
      <c r="AG3" s="106"/>
      <c r="AH3" s="107">
        <v>0</v>
      </c>
      <c r="AI3" s="107">
        <v>0</v>
      </c>
      <c r="AJ3" s="108">
        <f t="shared" ref="AJ3:AJ9" si="3">AA3+AB3/3+AG3</f>
        <v>4.666666666666667</v>
      </c>
      <c r="AK3" s="73">
        <f t="shared" ref="AK3:AK9" si="4">AB3+AC3/4+AG3</f>
        <v>14.75</v>
      </c>
      <c r="AL3" s="73">
        <f t="shared" ref="AL3:AL9" si="5">AB3+AD3/3+AG3</f>
        <v>14</v>
      </c>
      <c r="AM3" s="73">
        <f t="shared" ref="AM3:AM9" si="6">AB3+AD3/1.5+AG3</f>
        <v>14</v>
      </c>
      <c r="AN3" s="73">
        <f t="shared" ref="AN3:AN9" si="7">AC3+AB3*0.6+AE3*0.17+AG3</f>
        <v>12.08</v>
      </c>
      <c r="AO3" s="73">
        <f t="shared" ref="AO3:AO9" si="8">AC3+AB3*0.4+AE3*0.3+AG3</f>
        <v>9.8000000000000007</v>
      </c>
      <c r="AP3" s="73">
        <f t="shared" ref="AP3:AP9" si="9">AC3+AB3*0.16+AE3*0.5+AG3</f>
        <v>7.24</v>
      </c>
      <c r="AQ3" s="73">
        <f t="shared" ref="AQ3:AQ9" si="10">AD3+AC3*0.45+AB3*0.25+AE3*0.25+AG3</f>
        <v>5.85</v>
      </c>
      <c r="AR3" s="73">
        <f t="shared" ref="AR3:AR9" si="11">AD3+AC3*0.63+AB3*0.25+AE3*0.17+AG3</f>
        <v>6.07</v>
      </c>
      <c r="AS3" s="73">
        <f t="shared" ref="AS3:AS9" si="12">AF3*0.6+AC3*0.4+AD3*0.15+AE3*0.5+AG3</f>
        <v>6.2</v>
      </c>
      <c r="AT3" s="109">
        <f t="shared" ref="AT3:AT9" si="13">AF3+AC3*0.25+AD3*0.22+AE3*0.35+AG3</f>
        <v>7.15</v>
      </c>
      <c r="AU3" s="110"/>
      <c r="AV3" s="111" t="s">
        <v>165</v>
      </c>
    </row>
    <row r="4" spans="1:48" ht="19.5" thickBot="1" x14ac:dyDescent="0.35">
      <c r="A4" s="20">
        <v>2</v>
      </c>
      <c r="B4" s="442" t="s">
        <v>170</v>
      </c>
      <c r="C4" s="1">
        <v>18</v>
      </c>
      <c r="D4" s="93">
        <f ca="1">84+$B$24-$B$26-401-112-112</f>
        <v>67</v>
      </c>
      <c r="E4" s="21"/>
      <c r="F4" s="94">
        <f t="shared" ca="1" si="0"/>
        <v>-110</v>
      </c>
      <c r="G4" s="120">
        <v>44135</v>
      </c>
      <c r="H4" s="96">
        <v>5</v>
      </c>
      <c r="I4" s="121"/>
      <c r="J4" s="98">
        <f t="shared" si="1"/>
        <v>5</v>
      </c>
      <c r="K4" s="99">
        <f t="shared" si="1"/>
        <v>7</v>
      </c>
      <c r="L4" s="100"/>
      <c r="M4" s="101">
        <v>1.99</v>
      </c>
      <c r="N4" s="394">
        <v>3</v>
      </c>
      <c r="O4" s="393">
        <v>3.99</v>
      </c>
      <c r="P4" s="102">
        <v>5</v>
      </c>
      <c r="Q4" s="101">
        <v>5.99</v>
      </c>
      <c r="R4" s="112">
        <v>4</v>
      </c>
      <c r="S4" s="113">
        <v>5.99</v>
      </c>
      <c r="T4" s="112">
        <v>5</v>
      </c>
      <c r="U4" s="113">
        <v>5.99</v>
      </c>
      <c r="V4" s="112">
        <v>1</v>
      </c>
      <c r="W4" s="113">
        <v>1.99</v>
      </c>
      <c r="X4" s="102"/>
      <c r="Y4" s="101">
        <v>6.99</v>
      </c>
      <c r="Z4" s="103">
        <f t="shared" si="2"/>
        <v>26</v>
      </c>
      <c r="AA4" s="119"/>
      <c r="AB4" s="104">
        <v>2</v>
      </c>
      <c r="AC4" s="105">
        <v>9</v>
      </c>
      <c r="AD4" s="105">
        <v>6</v>
      </c>
      <c r="AE4" s="105">
        <v>7</v>
      </c>
      <c r="AF4" s="105">
        <v>-2</v>
      </c>
      <c r="AG4" s="106">
        <v>4</v>
      </c>
      <c r="AH4" s="107">
        <v>0</v>
      </c>
      <c r="AI4" s="107">
        <v>0</v>
      </c>
      <c r="AJ4" s="108">
        <f t="shared" si="3"/>
        <v>4.666666666666667</v>
      </c>
      <c r="AK4" s="73">
        <f t="shared" si="4"/>
        <v>8.25</v>
      </c>
      <c r="AL4" s="73">
        <f t="shared" si="5"/>
        <v>8</v>
      </c>
      <c r="AM4" s="73">
        <f t="shared" si="6"/>
        <v>10</v>
      </c>
      <c r="AN4" s="73">
        <f t="shared" si="7"/>
        <v>15.389999999999999</v>
      </c>
      <c r="AO4" s="73">
        <f t="shared" si="8"/>
        <v>15.9</v>
      </c>
      <c r="AP4" s="73">
        <f t="shared" si="9"/>
        <v>16.82</v>
      </c>
      <c r="AQ4" s="73">
        <f t="shared" si="10"/>
        <v>16.3</v>
      </c>
      <c r="AR4" s="73">
        <f t="shared" si="11"/>
        <v>17.36</v>
      </c>
      <c r="AS4" s="73">
        <f t="shared" si="12"/>
        <v>10.8</v>
      </c>
      <c r="AT4" s="109">
        <f t="shared" si="13"/>
        <v>8.02</v>
      </c>
      <c r="AU4" s="110"/>
      <c r="AV4" s="111" t="s">
        <v>165</v>
      </c>
    </row>
    <row r="5" spans="1:48" ht="19.5" thickBot="1" x14ac:dyDescent="0.35">
      <c r="A5" s="20">
        <v>7</v>
      </c>
      <c r="B5" s="442" t="s">
        <v>172</v>
      </c>
      <c r="C5" s="1">
        <v>17</v>
      </c>
      <c r="D5" s="93">
        <f ca="1">68+$B$24-$B$26-345-112-112</f>
        <v>107</v>
      </c>
      <c r="E5" s="21"/>
      <c r="F5" s="94">
        <f t="shared" ca="1" si="0"/>
        <v>-107</v>
      </c>
      <c r="G5" s="95">
        <v>44138</v>
      </c>
      <c r="H5" s="97"/>
      <c r="I5" s="97"/>
      <c r="J5" s="98">
        <f t="shared" si="1"/>
        <v>3</v>
      </c>
      <c r="K5" s="99">
        <f t="shared" si="1"/>
        <v>6</v>
      </c>
      <c r="L5" s="114"/>
      <c r="M5" s="115">
        <v>1.99</v>
      </c>
      <c r="N5" s="112">
        <v>1</v>
      </c>
      <c r="O5" s="113">
        <v>1.99</v>
      </c>
      <c r="P5" s="326"/>
      <c r="Q5" s="325">
        <v>5.99</v>
      </c>
      <c r="R5" s="394">
        <v>4</v>
      </c>
      <c r="S5" s="113">
        <v>5.99</v>
      </c>
      <c r="T5" s="112">
        <v>3</v>
      </c>
      <c r="U5" s="113">
        <v>3.99</v>
      </c>
      <c r="V5" s="116"/>
      <c r="W5" s="115">
        <v>4.99</v>
      </c>
      <c r="X5" s="116"/>
      <c r="Y5" s="115"/>
      <c r="Z5" s="103">
        <f t="shared" si="2"/>
        <v>20</v>
      </c>
      <c r="AA5" s="104"/>
      <c r="AB5" s="104">
        <v>-2</v>
      </c>
      <c r="AC5" s="105">
        <v>9</v>
      </c>
      <c r="AD5" s="105">
        <v>6</v>
      </c>
      <c r="AE5" s="105">
        <v>2</v>
      </c>
      <c r="AF5" s="105">
        <v>5</v>
      </c>
      <c r="AG5" s="106"/>
      <c r="AH5" s="107">
        <v>0</v>
      </c>
      <c r="AI5" s="107">
        <v>0</v>
      </c>
      <c r="AJ5" s="108">
        <f t="shared" si="3"/>
        <v>-0.66666666666666663</v>
      </c>
      <c r="AK5" s="73">
        <f t="shared" si="4"/>
        <v>0.25</v>
      </c>
      <c r="AL5" s="73">
        <f t="shared" si="5"/>
        <v>0</v>
      </c>
      <c r="AM5" s="73">
        <f t="shared" si="6"/>
        <v>2</v>
      </c>
      <c r="AN5" s="73">
        <f t="shared" si="7"/>
        <v>8.14</v>
      </c>
      <c r="AO5" s="73">
        <f t="shared" si="8"/>
        <v>8.7999999999999989</v>
      </c>
      <c r="AP5" s="73">
        <f t="shared" si="9"/>
        <v>9.68</v>
      </c>
      <c r="AQ5" s="73">
        <f t="shared" si="10"/>
        <v>10.050000000000001</v>
      </c>
      <c r="AR5" s="73">
        <f t="shared" si="11"/>
        <v>11.51</v>
      </c>
      <c r="AS5" s="73">
        <f t="shared" si="12"/>
        <v>8.5</v>
      </c>
      <c r="AT5" s="109">
        <f t="shared" si="13"/>
        <v>9.27</v>
      </c>
      <c r="AU5" s="110" t="s">
        <v>163</v>
      </c>
      <c r="AV5" s="111" t="s">
        <v>165</v>
      </c>
    </row>
    <row r="6" spans="1:48" ht="19.5" thickBot="1" x14ac:dyDescent="0.35">
      <c r="A6" s="20">
        <v>3</v>
      </c>
      <c r="B6" s="442" t="s">
        <v>411</v>
      </c>
      <c r="C6" s="1">
        <v>16</v>
      </c>
      <c r="D6" s="93">
        <f ca="1">-340+$B$24-$B$26-112</f>
        <v>156</v>
      </c>
      <c r="E6" s="21" t="s">
        <v>108</v>
      </c>
      <c r="F6" s="94">
        <f t="shared" ca="1" si="0"/>
        <v>-44</v>
      </c>
      <c r="G6" s="95">
        <v>44201</v>
      </c>
      <c r="H6" s="117"/>
      <c r="I6" s="97"/>
      <c r="J6" s="98">
        <f t="shared" si="1"/>
        <v>4</v>
      </c>
      <c r="K6" s="99">
        <f t="shared" si="1"/>
        <v>6</v>
      </c>
      <c r="L6" s="149"/>
      <c r="M6" s="150"/>
      <c r="N6" s="112">
        <v>2</v>
      </c>
      <c r="O6" s="113">
        <v>2.99</v>
      </c>
      <c r="P6" s="394">
        <v>4</v>
      </c>
      <c r="Q6" s="113">
        <v>5.99</v>
      </c>
      <c r="R6" s="112"/>
      <c r="S6" s="113">
        <v>2.99</v>
      </c>
      <c r="T6" s="112">
        <v>3</v>
      </c>
      <c r="U6" s="113">
        <v>3.99</v>
      </c>
      <c r="V6" s="151">
        <v>4</v>
      </c>
      <c r="W6" s="150">
        <v>5.99</v>
      </c>
      <c r="X6" s="151"/>
      <c r="Y6" s="150">
        <v>2.99</v>
      </c>
      <c r="Z6" s="103">
        <f t="shared" si="2"/>
        <v>19</v>
      </c>
      <c r="AA6" s="119"/>
      <c r="AB6" s="104">
        <v>0</v>
      </c>
      <c r="AC6" s="105">
        <v>9</v>
      </c>
      <c r="AD6" s="105">
        <v>0</v>
      </c>
      <c r="AE6" s="105">
        <v>2</v>
      </c>
      <c r="AF6" s="105">
        <v>8</v>
      </c>
      <c r="AG6" s="106">
        <v>0</v>
      </c>
      <c r="AH6" s="107">
        <v>0</v>
      </c>
      <c r="AI6" s="107">
        <v>0</v>
      </c>
      <c r="AJ6" s="108">
        <f t="shared" si="3"/>
        <v>0</v>
      </c>
      <c r="AK6" s="73">
        <f t="shared" si="4"/>
        <v>2.25</v>
      </c>
      <c r="AL6" s="73">
        <f t="shared" si="5"/>
        <v>0</v>
      </c>
      <c r="AM6" s="73">
        <f t="shared" si="6"/>
        <v>0</v>
      </c>
      <c r="AN6" s="73">
        <f t="shared" si="7"/>
        <v>9.34</v>
      </c>
      <c r="AO6" s="73">
        <f t="shared" si="8"/>
        <v>9.6</v>
      </c>
      <c r="AP6" s="73">
        <f t="shared" si="9"/>
        <v>10</v>
      </c>
      <c r="AQ6" s="73">
        <f t="shared" si="10"/>
        <v>4.55</v>
      </c>
      <c r="AR6" s="73">
        <f t="shared" si="11"/>
        <v>6.01</v>
      </c>
      <c r="AS6" s="73">
        <f t="shared" si="12"/>
        <v>9.4</v>
      </c>
      <c r="AT6" s="109">
        <f t="shared" si="13"/>
        <v>10.95</v>
      </c>
      <c r="AU6" s="110"/>
      <c r="AV6" s="123" t="s">
        <v>178</v>
      </c>
    </row>
    <row r="7" spans="1:48" ht="19.5" thickBot="1" x14ac:dyDescent="0.35">
      <c r="A7" s="20">
        <v>4</v>
      </c>
      <c r="B7" s="442" t="s">
        <v>171</v>
      </c>
      <c r="C7" s="1">
        <v>17</v>
      </c>
      <c r="D7" s="93">
        <f ca="1">-24+$B$24-$B$26-112-112+5-112-112</f>
        <v>141</v>
      </c>
      <c r="E7" s="21" t="s">
        <v>119</v>
      </c>
      <c r="F7" s="94">
        <f t="shared" ca="1" si="0"/>
        <v>-141</v>
      </c>
      <c r="G7" s="95">
        <v>44104</v>
      </c>
      <c r="H7" s="117"/>
      <c r="I7" s="97"/>
      <c r="J7" s="98">
        <f t="shared" si="1"/>
        <v>4</v>
      </c>
      <c r="K7" s="122">
        <f t="shared" si="1"/>
        <v>6</v>
      </c>
      <c r="L7" s="100"/>
      <c r="M7" s="101"/>
      <c r="N7" s="112">
        <v>2</v>
      </c>
      <c r="O7" s="113">
        <v>2.99</v>
      </c>
      <c r="P7" s="102">
        <v>5</v>
      </c>
      <c r="Q7" s="115">
        <v>5.99</v>
      </c>
      <c r="R7" s="102"/>
      <c r="S7" s="101">
        <v>5.99</v>
      </c>
      <c r="T7" s="112">
        <v>3</v>
      </c>
      <c r="U7" s="113">
        <v>3.99</v>
      </c>
      <c r="V7" s="112">
        <v>3</v>
      </c>
      <c r="W7" s="113">
        <v>3.99</v>
      </c>
      <c r="X7" s="102"/>
      <c r="Y7" s="101">
        <v>2.99</v>
      </c>
      <c r="Z7" s="103">
        <f t="shared" si="2"/>
        <v>19</v>
      </c>
      <c r="AA7" s="119"/>
      <c r="AB7" s="104">
        <v>0</v>
      </c>
      <c r="AC7" s="105">
        <v>9</v>
      </c>
      <c r="AD7" s="105">
        <v>6</v>
      </c>
      <c r="AE7" s="105">
        <v>2</v>
      </c>
      <c r="AF7" s="105">
        <v>2</v>
      </c>
      <c r="AG7" s="106">
        <v>0</v>
      </c>
      <c r="AH7" s="107">
        <v>0</v>
      </c>
      <c r="AI7" s="107">
        <v>0</v>
      </c>
      <c r="AJ7" s="108">
        <f t="shared" si="3"/>
        <v>0</v>
      </c>
      <c r="AK7" s="73">
        <f t="shared" si="4"/>
        <v>2.25</v>
      </c>
      <c r="AL7" s="73">
        <f t="shared" si="5"/>
        <v>2</v>
      </c>
      <c r="AM7" s="73">
        <f t="shared" si="6"/>
        <v>4</v>
      </c>
      <c r="AN7" s="73">
        <f t="shared" si="7"/>
        <v>9.34</v>
      </c>
      <c r="AO7" s="73">
        <f t="shared" si="8"/>
        <v>9.6</v>
      </c>
      <c r="AP7" s="73">
        <f t="shared" si="9"/>
        <v>10</v>
      </c>
      <c r="AQ7" s="73">
        <f t="shared" si="10"/>
        <v>10.55</v>
      </c>
      <c r="AR7" s="73">
        <f t="shared" si="11"/>
        <v>12.01</v>
      </c>
      <c r="AS7" s="73">
        <f t="shared" si="12"/>
        <v>6.6999999999999993</v>
      </c>
      <c r="AT7" s="109">
        <f t="shared" si="13"/>
        <v>6.2700000000000005</v>
      </c>
      <c r="AU7" s="110" t="s">
        <v>163</v>
      </c>
      <c r="AV7" s="111" t="s">
        <v>165</v>
      </c>
    </row>
    <row r="8" spans="1:48" ht="19.5" thickBot="1" x14ac:dyDescent="0.35">
      <c r="A8" s="20">
        <v>9</v>
      </c>
      <c r="B8" s="442" t="s">
        <v>448</v>
      </c>
      <c r="C8" s="1">
        <v>17</v>
      </c>
      <c r="D8" s="93">
        <f ca="1">2+$B$24-$B$26-397-112</f>
        <v>101</v>
      </c>
      <c r="E8" s="21"/>
      <c r="F8" s="94">
        <f t="shared" ca="1" si="0"/>
        <v>-40</v>
      </c>
      <c r="G8" s="95">
        <v>44205</v>
      </c>
      <c r="H8" s="97"/>
      <c r="I8" s="97"/>
      <c r="J8" s="98">
        <f t="shared" si="1"/>
        <v>2</v>
      </c>
      <c r="K8" s="99">
        <f t="shared" si="1"/>
        <v>5</v>
      </c>
      <c r="L8" s="100"/>
      <c r="M8" s="101"/>
      <c r="N8" s="112">
        <v>4</v>
      </c>
      <c r="O8" s="113">
        <v>4.99</v>
      </c>
      <c r="P8" s="102"/>
      <c r="Q8" s="101">
        <v>5.99</v>
      </c>
      <c r="R8" s="102"/>
      <c r="S8" s="101">
        <v>4.99</v>
      </c>
      <c r="T8" s="102"/>
      <c r="U8" s="101">
        <v>2.99</v>
      </c>
      <c r="V8" s="112">
        <v>2</v>
      </c>
      <c r="W8" s="113">
        <v>2.99</v>
      </c>
      <c r="X8" s="102"/>
      <c r="Y8" s="101"/>
      <c r="Z8" s="103">
        <f t="shared" si="2"/>
        <v>19</v>
      </c>
      <c r="AA8" s="119"/>
      <c r="AB8" s="104">
        <v>6</v>
      </c>
      <c r="AC8" s="105">
        <v>9</v>
      </c>
      <c r="AD8" s="105">
        <v>4</v>
      </c>
      <c r="AE8" s="105">
        <v>0</v>
      </c>
      <c r="AF8" s="105">
        <v>0</v>
      </c>
      <c r="AG8" s="106"/>
      <c r="AH8" s="107">
        <v>0</v>
      </c>
      <c r="AI8" s="107">
        <v>0</v>
      </c>
      <c r="AJ8" s="108">
        <f t="shared" si="3"/>
        <v>2</v>
      </c>
      <c r="AK8" s="73">
        <f t="shared" si="4"/>
        <v>8.25</v>
      </c>
      <c r="AL8" s="73">
        <f t="shared" si="5"/>
        <v>7.333333333333333</v>
      </c>
      <c r="AM8" s="73">
        <f t="shared" si="6"/>
        <v>8.6666666666666661</v>
      </c>
      <c r="AN8" s="73">
        <f t="shared" si="7"/>
        <v>12.6</v>
      </c>
      <c r="AO8" s="73">
        <f t="shared" si="8"/>
        <v>11.4</v>
      </c>
      <c r="AP8" s="73">
        <f t="shared" si="9"/>
        <v>9.9600000000000009</v>
      </c>
      <c r="AQ8" s="73">
        <f t="shared" si="10"/>
        <v>9.5500000000000007</v>
      </c>
      <c r="AR8" s="73">
        <f t="shared" si="11"/>
        <v>11.17</v>
      </c>
      <c r="AS8" s="73">
        <f t="shared" si="12"/>
        <v>4.2</v>
      </c>
      <c r="AT8" s="109">
        <f t="shared" si="13"/>
        <v>3.13</v>
      </c>
      <c r="AU8" s="110" t="s">
        <v>163</v>
      </c>
      <c r="AV8" s="123" t="s">
        <v>178</v>
      </c>
    </row>
    <row r="9" spans="1:48" ht="19.5" thickBot="1" x14ac:dyDescent="0.35">
      <c r="A9" s="20">
        <v>5</v>
      </c>
      <c r="B9" s="442" t="s">
        <v>173</v>
      </c>
      <c r="C9" s="1">
        <v>17</v>
      </c>
      <c r="D9" s="93">
        <f ca="1">68+$B$24-$B$26-296-112-33-112</f>
        <v>123</v>
      </c>
      <c r="E9" s="21" t="s">
        <v>108</v>
      </c>
      <c r="F9" s="94">
        <f t="shared" ca="1" si="0"/>
        <v>-96</v>
      </c>
      <c r="G9" s="95">
        <v>44149</v>
      </c>
      <c r="H9" s="97"/>
      <c r="I9" s="97"/>
      <c r="J9" s="98">
        <f t="shared" si="1"/>
        <v>4</v>
      </c>
      <c r="K9" s="99">
        <f t="shared" si="1"/>
        <v>7</v>
      </c>
      <c r="L9" s="100"/>
      <c r="M9" s="101">
        <v>1.99</v>
      </c>
      <c r="N9" s="100">
        <v>3</v>
      </c>
      <c r="O9" s="101">
        <v>3.99</v>
      </c>
      <c r="P9" s="100">
        <v>4</v>
      </c>
      <c r="Q9" s="101">
        <v>5.99</v>
      </c>
      <c r="R9" s="112"/>
      <c r="S9" s="393">
        <v>2.99</v>
      </c>
      <c r="T9" s="100">
        <v>4</v>
      </c>
      <c r="U9" s="101">
        <v>5.99</v>
      </c>
      <c r="V9" s="112">
        <v>2</v>
      </c>
      <c r="W9" s="113">
        <v>2.99</v>
      </c>
      <c r="X9" s="102"/>
      <c r="Y9" s="101">
        <v>2.99</v>
      </c>
      <c r="Z9" s="103">
        <f t="shared" si="2"/>
        <v>18</v>
      </c>
      <c r="AA9" s="105"/>
      <c r="AB9" s="105">
        <v>2</v>
      </c>
      <c r="AC9" s="105">
        <v>9</v>
      </c>
      <c r="AD9" s="105">
        <v>0</v>
      </c>
      <c r="AE9" s="105">
        <v>7</v>
      </c>
      <c r="AF9" s="105">
        <v>0</v>
      </c>
      <c r="AG9" s="106">
        <v>0</v>
      </c>
      <c r="AH9" s="107">
        <v>0</v>
      </c>
      <c r="AI9" s="107">
        <v>0</v>
      </c>
      <c r="AJ9" s="108">
        <f t="shared" si="3"/>
        <v>0.66666666666666663</v>
      </c>
      <c r="AK9" s="73">
        <f t="shared" si="4"/>
        <v>4.25</v>
      </c>
      <c r="AL9" s="73">
        <f t="shared" si="5"/>
        <v>2</v>
      </c>
      <c r="AM9" s="73">
        <f t="shared" si="6"/>
        <v>2</v>
      </c>
      <c r="AN9" s="73">
        <f t="shared" si="7"/>
        <v>11.389999999999999</v>
      </c>
      <c r="AO9" s="73">
        <f t="shared" si="8"/>
        <v>11.9</v>
      </c>
      <c r="AP9" s="73">
        <f t="shared" si="9"/>
        <v>12.82</v>
      </c>
      <c r="AQ9" s="73">
        <f t="shared" si="10"/>
        <v>6.3</v>
      </c>
      <c r="AR9" s="73">
        <f t="shared" si="11"/>
        <v>7.36</v>
      </c>
      <c r="AS9" s="73">
        <f t="shared" si="12"/>
        <v>7.1</v>
      </c>
      <c r="AT9" s="109">
        <f t="shared" si="13"/>
        <v>4.6999999999999993</v>
      </c>
      <c r="AU9" s="110"/>
      <c r="AV9" s="111" t="s">
        <v>165</v>
      </c>
    </row>
    <row r="10" spans="1:48" ht="19.5" thickBot="1" x14ac:dyDescent="0.35">
      <c r="A10" s="20">
        <v>6</v>
      </c>
      <c r="B10" s="442" t="s">
        <v>455</v>
      </c>
      <c r="C10" s="1">
        <v>16</v>
      </c>
      <c r="D10" s="93">
        <f ca="1">58+$B$24-$B$26-524</f>
        <v>142</v>
      </c>
      <c r="E10" s="21"/>
      <c r="F10" s="94">
        <f t="shared" ca="1" si="0"/>
        <v>-30</v>
      </c>
      <c r="G10" s="95">
        <v>44215</v>
      </c>
      <c r="H10" s="117"/>
      <c r="I10" s="118"/>
      <c r="J10" s="98">
        <f t="shared" ref="J10:J11" si="14">COUNT(L10,N10,P10,R10,T10,V10,X10)</f>
        <v>3</v>
      </c>
      <c r="K10" s="99">
        <f t="shared" ref="K10:K11" si="15">COUNT(M10,O10,Q10,S10,U10,W10,Y10)</f>
        <v>6</v>
      </c>
      <c r="L10" s="100"/>
      <c r="M10" s="101"/>
      <c r="N10" s="112"/>
      <c r="O10" s="393">
        <v>2.99</v>
      </c>
      <c r="P10" s="102">
        <v>2</v>
      </c>
      <c r="Q10" s="101">
        <v>3.99</v>
      </c>
      <c r="R10" s="112"/>
      <c r="S10" s="393">
        <v>2.99</v>
      </c>
      <c r="T10" s="112">
        <v>3</v>
      </c>
      <c r="U10" s="113">
        <v>3.99</v>
      </c>
      <c r="V10" s="102">
        <v>5</v>
      </c>
      <c r="W10" s="101">
        <v>6.99</v>
      </c>
      <c r="X10" s="102"/>
      <c r="Y10" s="101">
        <v>1.99</v>
      </c>
      <c r="Z10" s="103">
        <f t="shared" ref="Z10:Z11" si="16">SUM(AA10:AG10)</f>
        <v>16</v>
      </c>
      <c r="AA10" s="119"/>
      <c r="AB10" s="104">
        <v>0</v>
      </c>
      <c r="AC10" s="105">
        <v>3</v>
      </c>
      <c r="AD10" s="105">
        <v>0</v>
      </c>
      <c r="AE10" s="105">
        <v>2</v>
      </c>
      <c r="AF10" s="105">
        <v>12</v>
      </c>
      <c r="AG10" s="106">
        <v>-1</v>
      </c>
      <c r="AH10" s="107">
        <v>0</v>
      </c>
      <c r="AI10" s="107">
        <v>0</v>
      </c>
      <c r="AJ10" s="108">
        <f t="shared" ref="AJ10:AJ11" si="17">AA10+AB10/3+AG10</f>
        <v>-1</v>
      </c>
      <c r="AK10" s="73">
        <f t="shared" ref="AK10:AK11" si="18">AB10+AC10/4+AG10</f>
        <v>-0.25</v>
      </c>
      <c r="AL10" s="73">
        <f t="shared" ref="AL10:AL11" si="19">AB10+AD10/3+AG10</f>
        <v>-1</v>
      </c>
      <c r="AM10" s="73">
        <f t="shared" ref="AM10:AM11" si="20">AB10+AD10/1.5+AG10</f>
        <v>-1</v>
      </c>
      <c r="AN10" s="73">
        <f t="shared" ref="AN10:AN11" si="21">AC10+AB10*0.6+AE10*0.17+AG10</f>
        <v>2.34</v>
      </c>
      <c r="AO10" s="73">
        <f t="shared" ref="AO10:AO11" si="22">AC10+AB10*0.4+AE10*0.3+AG10</f>
        <v>2.6</v>
      </c>
      <c r="AP10" s="73">
        <f t="shared" ref="AP10:AP11" si="23">AC10+AB10*0.16+AE10*0.5+AG10</f>
        <v>3</v>
      </c>
      <c r="AQ10" s="73">
        <f t="shared" ref="AQ10:AQ11" si="24">AD10+AC10*0.45+AB10*0.25+AE10*0.25+AG10</f>
        <v>0.85000000000000009</v>
      </c>
      <c r="AR10" s="73">
        <f t="shared" ref="AR10:AR11" si="25">AD10+AC10*0.63+AB10*0.25+AE10*0.17+AG10</f>
        <v>1.23</v>
      </c>
      <c r="AS10" s="73">
        <f t="shared" ref="AS10:AS11" si="26">AF10*0.6+AC10*0.4+AD10*0.15+AE10*0.5+AG10</f>
        <v>8.3999999999999986</v>
      </c>
      <c r="AT10" s="109">
        <f t="shared" ref="AT10:AT11" si="27">AF10+AC10*0.25+AD10*0.22+AE10*0.35+AG10</f>
        <v>12.45</v>
      </c>
      <c r="AU10" s="110"/>
      <c r="AV10" s="111" t="s">
        <v>165</v>
      </c>
    </row>
    <row r="11" spans="1:48" ht="19.5" thickBot="1" x14ac:dyDescent="0.35">
      <c r="A11" s="20">
        <v>8</v>
      </c>
      <c r="B11" s="442" t="s">
        <v>456</v>
      </c>
      <c r="C11" s="1">
        <v>16</v>
      </c>
      <c r="D11" s="93">
        <f ca="1">-52+$B$24-$B$26-112-112-117-112</f>
        <v>103</v>
      </c>
      <c r="E11" s="21"/>
      <c r="F11" s="94">
        <f t="shared" ref="F11" ca="1" si="28">G11-TODAY()</f>
        <v>9</v>
      </c>
      <c r="G11" s="95">
        <v>44254</v>
      </c>
      <c r="H11" s="117"/>
      <c r="I11" s="97"/>
      <c r="J11" s="98">
        <f t="shared" si="14"/>
        <v>1</v>
      </c>
      <c r="K11" s="99">
        <f t="shared" si="15"/>
        <v>5</v>
      </c>
      <c r="L11" s="100"/>
      <c r="M11" s="101"/>
      <c r="N11" s="112"/>
      <c r="O11" s="393">
        <v>2.99</v>
      </c>
      <c r="P11" s="394"/>
      <c r="Q11" s="113">
        <v>3.99</v>
      </c>
      <c r="R11" s="102"/>
      <c r="S11" s="101">
        <v>4.99</v>
      </c>
      <c r="T11" s="112"/>
      <c r="U11" s="113">
        <v>3.99</v>
      </c>
      <c r="V11" s="102">
        <v>4</v>
      </c>
      <c r="W11" s="101">
        <v>5.99</v>
      </c>
      <c r="X11" s="102"/>
      <c r="Y11" s="101"/>
      <c r="Z11" s="103">
        <f t="shared" si="16"/>
        <v>17</v>
      </c>
      <c r="AA11" s="104"/>
      <c r="AB11" s="104">
        <v>0</v>
      </c>
      <c r="AC11" s="105">
        <v>3</v>
      </c>
      <c r="AD11" s="105">
        <v>4</v>
      </c>
      <c r="AE11" s="105">
        <v>2</v>
      </c>
      <c r="AF11" s="105">
        <v>8</v>
      </c>
      <c r="AG11" s="106"/>
      <c r="AH11" s="107">
        <v>0</v>
      </c>
      <c r="AI11" s="107">
        <v>0</v>
      </c>
      <c r="AJ11" s="108">
        <f t="shared" si="17"/>
        <v>0</v>
      </c>
      <c r="AK11" s="73">
        <f t="shared" si="18"/>
        <v>0.75</v>
      </c>
      <c r="AL11" s="73">
        <f t="shared" si="19"/>
        <v>1.3333333333333333</v>
      </c>
      <c r="AM11" s="73">
        <f t="shared" si="20"/>
        <v>2.6666666666666665</v>
      </c>
      <c r="AN11" s="73">
        <f t="shared" si="21"/>
        <v>3.34</v>
      </c>
      <c r="AO11" s="73">
        <f t="shared" si="22"/>
        <v>3.6</v>
      </c>
      <c r="AP11" s="73">
        <f t="shared" si="23"/>
        <v>4</v>
      </c>
      <c r="AQ11" s="73">
        <f t="shared" si="24"/>
        <v>5.85</v>
      </c>
      <c r="AR11" s="73">
        <f t="shared" si="25"/>
        <v>6.23</v>
      </c>
      <c r="AS11" s="73">
        <f t="shared" si="26"/>
        <v>7.6</v>
      </c>
      <c r="AT11" s="109">
        <f t="shared" si="27"/>
        <v>10.33</v>
      </c>
      <c r="AU11" s="110"/>
      <c r="AV11" s="124" t="s">
        <v>167</v>
      </c>
    </row>
    <row r="12" spans="1:48" ht="19.5" thickBot="1" x14ac:dyDescent="0.35">
      <c r="A12" s="20">
        <v>10</v>
      </c>
      <c r="B12" s="442" t="s">
        <v>413</v>
      </c>
      <c r="C12" s="1">
        <v>17</v>
      </c>
      <c r="D12" s="93">
        <f ca="1">-417+$B$24-$B$26-112</f>
        <v>79</v>
      </c>
      <c r="E12" s="21"/>
      <c r="F12" s="94">
        <f t="shared" ref="F12" ca="1" si="29">G12-TODAY()</f>
        <v>-60</v>
      </c>
      <c r="G12" s="95">
        <v>44185</v>
      </c>
      <c r="H12" s="97"/>
      <c r="I12" s="152"/>
      <c r="J12" s="98">
        <f>COUNT(L12,N12,P12,R12,T12,V12,X12)</f>
        <v>3</v>
      </c>
      <c r="K12" s="122">
        <f>COUNT(M12,O12,Q12,S12,U12,W12,Y12)</f>
        <v>5</v>
      </c>
      <c r="L12" s="100"/>
      <c r="M12" s="101"/>
      <c r="N12" s="112">
        <v>2</v>
      </c>
      <c r="O12" s="113">
        <v>2.99</v>
      </c>
      <c r="P12" s="112"/>
      <c r="Q12" s="393">
        <v>3.99</v>
      </c>
      <c r="R12" s="112"/>
      <c r="S12" s="101">
        <v>6.99</v>
      </c>
      <c r="T12" s="112">
        <v>4</v>
      </c>
      <c r="U12" s="113">
        <v>4.99</v>
      </c>
      <c r="V12" s="112">
        <v>3</v>
      </c>
      <c r="W12" s="113">
        <v>3.99</v>
      </c>
      <c r="X12" s="102"/>
      <c r="Y12" s="101"/>
      <c r="Z12" s="103">
        <f t="shared" ref="Z12" si="30">SUM(AA12:AG12)</f>
        <v>18</v>
      </c>
      <c r="AA12" s="119"/>
      <c r="AB12" s="104">
        <v>0</v>
      </c>
      <c r="AC12" s="105">
        <v>3</v>
      </c>
      <c r="AD12" s="105">
        <v>9</v>
      </c>
      <c r="AE12" s="105">
        <v>4</v>
      </c>
      <c r="AF12" s="105">
        <v>2</v>
      </c>
      <c r="AG12" s="106"/>
      <c r="AH12" s="107">
        <v>0</v>
      </c>
      <c r="AI12" s="107">
        <v>0</v>
      </c>
      <c r="AJ12" s="108">
        <f t="shared" ref="AJ12" si="31">AA12+AB12/3+AG12</f>
        <v>0</v>
      </c>
      <c r="AK12" s="73">
        <f t="shared" ref="AK12" si="32">AB12+AC12/4+AG12</f>
        <v>0.75</v>
      </c>
      <c r="AL12" s="73">
        <f t="shared" ref="AL12" si="33">AB12+AD12/3+AG12</f>
        <v>3</v>
      </c>
      <c r="AM12" s="73">
        <f t="shared" ref="AM12" si="34">AB12+AD12/1.5+AG12</f>
        <v>6</v>
      </c>
      <c r="AN12" s="73">
        <f t="shared" ref="AN12" si="35">AC12+AB12*0.6+AE12*0.17+AG12</f>
        <v>3.68</v>
      </c>
      <c r="AO12" s="73">
        <f t="shared" ref="AO12" si="36">AC12+AB12*0.4+AE12*0.3+AG12</f>
        <v>4.2</v>
      </c>
      <c r="AP12" s="73">
        <f t="shared" ref="AP12" si="37">AC12+AB12*0.16+AE12*0.5+AG12</f>
        <v>5</v>
      </c>
      <c r="AQ12" s="73">
        <f t="shared" ref="AQ12" si="38">AD12+AC12*0.45+AB12*0.25+AE12*0.25+AG12</f>
        <v>11.35</v>
      </c>
      <c r="AR12" s="73">
        <f t="shared" ref="AR12" si="39">AD12+AC12*0.63+AB12*0.25+AE12*0.17+AG12</f>
        <v>11.57</v>
      </c>
      <c r="AS12" s="73">
        <f t="shared" ref="AS12" si="40">AF12*0.6+AC12*0.4+AD12*0.15+AE12*0.5+AG12</f>
        <v>5.75</v>
      </c>
      <c r="AT12" s="109">
        <f t="shared" ref="AT12" si="41">AF12+AC12*0.25+AD12*0.22+AE12*0.35+AG12</f>
        <v>6.1300000000000008</v>
      </c>
      <c r="AU12" s="110" t="s">
        <v>179</v>
      </c>
      <c r="AV12" s="111" t="s">
        <v>165</v>
      </c>
    </row>
    <row r="13" spans="1:48" s="18" customFormat="1" ht="10.5" customHeight="1" thickBot="1" x14ac:dyDescent="0.35">
      <c r="A13" s="125"/>
      <c r="B13" s="126"/>
      <c r="C13" s="127"/>
      <c r="D13" s="128"/>
      <c r="E13" s="129"/>
      <c r="F13" s="130"/>
      <c r="G13" s="131"/>
      <c r="H13" s="132"/>
      <c r="I13" s="132"/>
      <c r="J13" s="133"/>
      <c r="K13" s="134"/>
      <c r="L13" s="135"/>
      <c r="M13" s="136"/>
      <c r="N13" s="137"/>
      <c r="O13" s="136"/>
      <c r="P13" s="137"/>
      <c r="Q13" s="136"/>
      <c r="R13" s="137"/>
      <c r="S13" s="136"/>
      <c r="T13" s="137"/>
      <c r="U13" s="136"/>
      <c r="V13" s="137"/>
      <c r="W13" s="136"/>
      <c r="X13" s="137"/>
      <c r="Y13" s="136"/>
      <c r="Z13" s="138"/>
      <c r="AA13" s="139"/>
      <c r="AB13" s="140"/>
      <c r="AC13" s="141"/>
      <c r="AD13" s="141"/>
      <c r="AE13" s="141"/>
      <c r="AF13" s="141"/>
      <c r="AG13" s="142"/>
      <c r="AH13" s="143"/>
      <c r="AI13" s="143"/>
      <c r="AJ13" s="144"/>
      <c r="AK13" s="145"/>
      <c r="AL13" s="145"/>
      <c r="AM13" s="145"/>
      <c r="AN13" s="145"/>
      <c r="AO13" s="145"/>
      <c r="AP13" s="145"/>
      <c r="AQ13" s="145"/>
      <c r="AR13" s="145"/>
      <c r="AS13" s="145"/>
      <c r="AT13" s="146"/>
      <c r="AU13" s="147"/>
      <c r="AV13" s="148"/>
    </row>
    <row r="14" spans="1:48" ht="19.5" thickBot="1" x14ac:dyDescent="0.35">
      <c r="A14" s="20">
        <v>18</v>
      </c>
      <c r="B14" s="442" t="s">
        <v>457</v>
      </c>
      <c r="C14" s="1">
        <v>16</v>
      </c>
      <c r="D14" s="93">
        <f ca="1">-27+$B$24-$B$26-112-112-112-112-50</f>
        <v>83</v>
      </c>
      <c r="E14" s="21"/>
      <c r="F14" s="94">
        <f t="shared" ref="F14:F21" ca="1" si="42">G14-TODAY()</f>
        <v>29</v>
      </c>
      <c r="G14" s="95">
        <v>44274</v>
      </c>
      <c r="H14" s="97"/>
      <c r="I14" s="97"/>
      <c r="J14" s="98">
        <f t="shared" ref="J14:K15" si="43">COUNT(L14,N14,P14,R14,T14,V14,X14)</f>
        <v>1</v>
      </c>
      <c r="K14" s="122">
        <f t="shared" si="43"/>
        <v>1</v>
      </c>
      <c r="L14" s="100"/>
      <c r="M14" s="101"/>
      <c r="N14" s="102">
        <v>3</v>
      </c>
      <c r="O14" s="101"/>
      <c r="P14" s="100"/>
      <c r="Q14" s="101"/>
      <c r="R14" s="112"/>
      <c r="S14" s="113"/>
      <c r="T14" s="112"/>
      <c r="U14" s="393">
        <v>3.99</v>
      </c>
      <c r="V14" s="112"/>
      <c r="W14" s="113"/>
      <c r="X14" s="102"/>
      <c r="Y14" s="101"/>
      <c r="Z14" s="103">
        <f>SUM(AA14:AG14)</f>
        <v>4</v>
      </c>
      <c r="AA14" s="119"/>
      <c r="AB14" s="104">
        <v>2</v>
      </c>
      <c r="AC14" s="105"/>
      <c r="AD14" s="105"/>
      <c r="AE14" s="105">
        <v>2</v>
      </c>
      <c r="AF14" s="105"/>
      <c r="AG14" s="106"/>
      <c r="AH14" s="107">
        <v>0</v>
      </c>
      <c r="AI14" s="107">
        <v>0</v>
      </c>
      <c r="AJ14" s="108">
        <f>AA14+AB14/3+AG14</f>
        <v>0.66666666666666663</v>
      </c>
      <c r="AK14" s="73">
        <f>AB14+AC14/4+AG14</f>
        <v>2</v>
      </c>
      <c r="AL14" s="73">
        <f>AB14+AD14/3+AG14</f>
        <v>2</v>
      </c>
      <c r="AM14" s="73">
        <f>AB14+AD14/1.5+AG14</f>
        <v>2</v>
      </c>
      <c r="AN14" s="73">
        <f>AC14+AB14*0.6+AE14*0.17+AG14</f>
        <v>1.54</v>
      </c>
      <c r="AO14" s="73">
        <f>AC14+AB14*0.4+AE14*0.3+AG14</f>
        <v>1.4</v>
      </c>
      <c r="AP14" s="73">
        <f>AC14+AB14*0.16+AE14*0.5+AG14</f>
        <v>1.32</v>
      </c>
      <c r="AQ14" s="73">
        <f>AD14+AC14*0.45+AB14*0.25+AE14*0.25+AG14</f>
        <v>1</v>
      </c>
      <c r="AR14" s="73">
        <f>AD14+AC14*0.63+AB14*0.25+AE14*0.17+AG14</f>
        <v>0.84000000000000008</v>
      </c>
      <c r="AS14" s="73">
        <f>AF14*0.6+AC14*0.4+AD14*0.15+AE14*0.5+AG14</f>
        <v>1</v>
      </c>
      <c r="AT14" s="109">
        <f>AF14+AC14*0.25+AD14*0.22+AE14*0.35+AG14</f>
        <v>0.7</v>
      </c>
      <c r="AU14" s="110" t="s">
        <v>163</v>
      </c>
      <c r="AV14" s="123" t="s">
        <v>169</v>
      </c>
    </row>
    <row r="15" spans="1:48" ht="19.5" thickBot="1" x14ac:dyDescent="0.35">
      <c r="A15" s="20">
        <v>12</v>
      </c>
      <c r="B15" s="442" t="s">
        <v>461</v>
      </c>
      <c r="C15" s="1">
        <v>16</v>
      </c>
      <c r="D15" s="93">
        <f ca="1">84+$B$24-$B$26-347-112-105</f>
        <v>128</v>
      </c>
      <c r="E15" s="21"/>
      <c r="F15" s="94">
        <f t="shared" ca="1" si="42"/>
        <v>38</v>
      </c>
      <c r="G15" s="95">
        <v>44283</v>
      </c>
      <c r="H15" s="96"/>
      <c r="I15" s="97"/>
      <c r="J15" s="98">
        <f t="shared" si="43"/>
        <v>1</v>
      </c>
      <c r="K15" s="99">
        <f t="shared" si="43"/>
        <v>1</v>
      </c>
      <c r="L15" s="100"/>
      <c r="M15" s="101"/>
      <c r="N15" s="100"/>
      <c r="O15" s="101"/>
      <c r="P15" s="392"/>
      <c r="Q15" s="325"/>
      <c r="R15" s="100"/>
      <c r="S15" s="101">
        <v>4.99</v>
      </c>
      <c r="T15" s="102"/>
      <c r="U15" s="101"/>
      <c r="V15" s="102">
        <v>3</v>
      </c>
      <c r="W15" s="101"/>
      <c r="X15" s="102"/>
      <c r="Y15" s="101"/>
      <c r="Z15" s="103">
        <f>SUM(AA15:AG15)</f>
        <v>6</v>
      </c>
      <c r="AA15" s="104"/>
      <c r="AB15" s="104"/>
      <c r="AC15" s="105"/>
      <c r="AD15" s="105">
        <v>4</v>
      </c>
      <c r="AE15" s="105"/>
      <c r="AF15" s="105">
        <v>2</v>
      </c>
      <c r="AG15" s="106"/>
      <c r="AH15" s="107">
        <v>0</v>
      </c>
      <c r="AI15" s="107">
        <v>0</v>
      </c>
      <c r="AJ15" s="108">
        <f>AA15+AB15/3+AG15</f>
        <v>0</v>
      </c>
      <c r="AK15" s="73">
        <f>AB15+AC15/4+AG15</f>
        <v>0</v>
      </c>
      <c r="AL15" s="73">
        <f>AB15+AD15/3+AG15</f>
        <v>1.3333333333333333</v>
      </c>
      <c r="AM15" s="73">
        <f>AB15+AD15/1.5+AG15</f>
        <v>2.6666666666666665</v>
      </c>
      <c r="AN15" s="73">
        <f>AC15+AB15*0.6+AE15*0.17+AG15</f>
        <v>0</v>
      </c>
      <c r="AO15" s="73">
        <f>AC15+AB15*0.4+AE15*0.3+AG15</f>
        <v>0</v>
      </c>
      <c r="AP15" s="73">
        <f>AC15+AB15*0.16+AE15*0.5+AG15</f>
        <v>0</v>
      </c>
      <c r="AQ15" s="73">
        <f>AD15+AC15*0.45+AB15*0.25+AE15*0.25+AG15</f>
        <v>4</v>
      </c>
      <c r="AR15" s="73">
        <f>AD15+AC15*0.63+AB15*0.25+AE15*0.17+AG15</f>
        <v>4</v>
      </c>
      <c r="AS15" s="73">
        <f>AF15*0.6+AC15*0.4+AD15*0.15+AE15*0.5+AG15</f>
        <v>1.7999999999999998</v>
      </c>
      <c r="AT15" s="109">
        <f>AF15+AC15*0.25+AD15*0.22+AE15*0.35+AG15</f>
        <v>2.88</v>
      </c>
      <c r="AU15" s="110" t="s">
        <v>163</v>
      </c>
      <c r="AV15" s="111" t="s">
        <v>165</v>
      </c>
    </row>
    <row r="16" spans="1:48" ht="19.5" thickBot="1" x14ac:dyDescent="0.35">
      <c r="A16" s="20">
        <v>14</v>
      </c>
      <c r="B16" s="442" t="s">
        <v>460</v>
      </c>
      <c r="C16" s="1">
        <v>16</v>
      </c>
      <c r="D16" s="93">
        <f ca="1">2+$B$24-$B$26-112-112-112-160</f>
        <v>114</v>
      </c>
      <c r="E16" s="21"/>
      <c r="F16" s="94">
        <f t="shared" ca="1" si="42"/>
        <v>2</v>
      </c>
      <c r="G16" s="95">
        <v>44247</v>
      </c>
      <c r="H16" s="97"/>
      <c r="I16" s="97"/>
      <c r="J16" s="98">
        <f t="shared" ref="J16:K20" si="44">COUNT(L16,N16,P16,R16,T16,V16,X16)</f>
        <v>1</v>
      </c>
      <c r="K16" s="99">
        <f t="shared" si="44"/>
        <v>6</v>
      </c>
      <c r="L16" s="100"/>
      <c r="M16" s="101">
        <v>6.99</v>
      </c>
      <c r="N16" s="394">
        <v>2</v>
      </c>
      <c r="O16" s="393">
        <v>2.99</v>
      </c>
      <c r="P16" s="112"/>
      <c r="Q16" s="393">
        <v>0.99</v>
      </c>
      <c r="R16" s="102"/>
      <c r="S16" s="393">
        <v>0.99</v>
      </c>
      <c r="T16" s="116"/>
      <c r="U16" s="101">
        <v>1.99</v>
      </c>
      <c r="V16" s="102"/>
      <c r="W16" s="101">
        <v>1.99</v>
      </c>
      <c r="X16" s="102"/>
      <c r="Y16" s="101"/>
      <c r="Z16" s="103">
        <f t="shared" ref="Z16:Z20" si="45">SUM(AA16:AG16)</f>
        <v>5.5</v>
      </c>
      <c r="AA16" s="119">
        <v>7.5</v>
      </c>
      <c r="AB16" s="104">
        <v>-2</v>
      </c>
      <c r="AC16" s="105">
        <v>0</v>
      </c>
      <c r="AD16" s="105">
        <v>0</v>
      </c>
      <c r="AE16" s="105">
        <v>0</v>
      </c>
      <c r="AF16" s="105">
        <v>0</v>
      </c>
      <c r="AG16" s="106"/>
      <c r="AH16" s="107">
        <v>0</v>
      </c>
      <c r="AI16" s="107">
        <v>0</v>
      </c>
      <c r="AJ16" s="108">
        <f t="shared" ref="AJ16:AJ20" si="46">AA16+AB16/3+AG16</f>
        <v>6.833333333333333</v>
      </c>
      <c r="AK16" s="73">
        <f t="shared" ref="AK16:AK20" si="47">AB16+AC16/4+AG16</f>
        <v>-2</v>
      </c>
      <c r="AL16" s="73">
        <f t="shared" ref="AL16:AL20" si="48">AB16+AD16/3+AG16</f>
        <v>-2</v>
      </c>
      <c r="AM16" s="73">
        <f t="shared" ref="AM16:AM20" si="49">AB16+AD16/1.5+AG16</f>
        <v>-2</v>
      </c>
      <c r="AN16" s="73">
        <f t="shared" ref="AN16:AN20" si="50">AC16+AB16*0.6+AE16*0.17+AG16</f>
        <v>-1.2</v>
      </c>
      <c r="AO16" s="73">
        <f t="shared" ref="AO16:AO20" si="51">AC16+AB16*0.4+AE16*0.3+AG16</f>
        <v>-0.8</v>
      </c>
      <c r="AP16" s="73">
        <f t="shared" ref="AP16:AP20" si="52">AC16+AB16*0.16+AE16*0.5+AG16</f>
        <v>-0.32</v>
      </c>
      <c r="AQ16" s="73">
        <f t="shared" ref="AQ16:AQ20" si="53">AD16+AC16*0.45+AB16*0.25+AE16*0.25+AG16</f>
        <v>-0.5</v>
      </c>
      <c r="AR16" s="73">
        <f t="shared" ref="AR16:AR20" si="54">AD16+AC16*0.63+AB16*0.25+AE16*0.17+AG16</f>
        <v>-0.5</v>
      </c>
      <c r="AS16" s="73">
        <f t="shared" ref="AS16:AS20" si="55">AF16*0.6+AC16*0.4+AD16*0.15+AE16*0.5+AG16</f>
        <v>0</v>
      </c>
      <c r="AT16" s="109">
        <f t="shared" ref="AT16:AT20" si="56">AF16+AC16*0.25+AD16*0.22+AE16*0.35+AG16</f>
        <v>0</v>
      </c>
      <c r="AU16" s="110" t="s">
        <v>163</v>
      </c>
      <c r="AV16" s="111" t="s">
        <v>165</v>
      </c>
    </row>
    <row r="17" spans="1:48" ht="19.5" thickBot="1" x14ac:dyDescent="0.35">
      <c r="A17" s="20">
        <v>12</v>
      </c>
      <c r="B17" s="442" t="s">
        <v>458</v>
      </c>
      <c r="C17" s="1">
        <v>16</v>
      </c>
      <c r="D17" s="93">
        <f ca="1">-49+$B$24-$B$26-112+38-112-112-172</f>
        <v>89</v>
      </c>
      <c r="E17" s="21"/>
      <c r="F17" s="94">
        <f t="shared" ca="1" si="42"/>
        <v>23</v>
      </c>
      <c r="G17" s="95">
        <v>44268</v>
      </c>
      <c r="H17" s="117"/>
      <c r="I17" s="97"/>
      <c r="J17" s="98">
        <f t="shared" si="44"/>
        <v>1</v>
      </c>
      <c r="K17" s="99">
        <f t="shared" si="44"/>
        <v>2</v>
      </c>
      <c r="L17" s="100"/>
      <c r="M17" s="101"/>
      <c r="N17" s="102"/>
      <c r="O17" s="101"/>
      <c r="P17" s="102">
        <v>3</v>
      </c>
      <c r="Q17" s="101"/>
      <c r="R17" s="100"/>
      <c r="S17" s="101">
        <v>2.99</v>
      </c>
      <c r="T17" s="112"/>
      <c r="U17" s="393">
        <v>4.99</v>
      </c>
      <c r="V17" s="102"/>
      <c r="W17" s="101"/>
      <c r="X17" s="102"/>
      <c r="Y17" s="101"/>
      <c r="Z17" s="103">
        <f t="shared" si="45"/>
        <v>7</v>
      </c>
      <c r="AA17" s="119"/>
      <c r="AB17" s="104"/>
      <c r="AC17" s="105">
        <v>3</v>
      </c>
      <c r="AD17" s="105">
        <v>0</v>
      </c>
      <c r="AE17" s="105">
        <v>4</v>
      </c>
      <c r="AF17" s="105"/>
      <c r="AG17" s="106"/>
      <c r="AH17" s="107">
        <v>0</v>
      </c>
      <c r="AI17" s="107">
        <v>0</v>
      </c>
      <c r="AJ17" s="108">
        <f t="shared" si="46"/>
        <v>0</v>
      </c>
      <c r="AK17" s="73">
        <f t="shared" si="47"/>
        <v>0.75</v>
      </c>
      <c r="AL17" s="73">
        <f t="shared" si="48"/>
        <v>0</v>
      </c>
      <c r="AM17" s="73">
        <f t="shared" si="49"/>
        <v>0</v>
      </c>
      <c r="AN17" s="73">
        <f t="shared" si="50"/>
        <v>3.68</v>
      </c>
      <c r="AO17" s="73">
        <f t="shared" si="51"/>
        <v>4.2</v>
      </c>
      <c r="AP17" s="73">
        <f t="shared" si="52"/>
        <v>5</v>
      </c>
      <c r="AQ17" s="73">
        <f t="shared" si="53"/>
        <v>2.35</v>
      </c>
      <c r="AR17" s="73">
        <f t="shared" si="54"/>
        <v>2.5700000000000003</v>
      </c>
      <c r="AS17" s="73">
        <f t="shared" si="55"/>
        <v>3.2</v>
      </c>
      <c r="AT17" s="109">
        <f t="shared" si="56"/>
        <v>2.15</v>
      </c>
      <c r="AU17" s="110" t="s">
        <v>163</v>
      </c>
      <c r="AV17" s="123" t="s">
        <v>174</v>
      </c>
    </row>
    <row r="18" spans="1:48" ht="19.5" thickBot="1" x14ac:dyDescent="0.35">
      <c r="A18" s="20">
        <v>6</v>
      </c>
      <c r="B18" s="443" t="s">
        <v>462</v>
      </c>
      <c r="C18" s="1">
        <v>15</v>
      </c>
      <c r="D18" s="93">
        <f ca="1">-361+$B$24-$B$26-110</f>
        <v>137</v>
      </c>
      <c r="E18" s="21"/>
      <c r="F18" s="94">
        <f t="shared" ca="1" si="42"/>
        <v>87</v>
      </c>
      <c r="G18" s="95">
        <v>44332</v>
      </c>
      <c r="H18" s="117"/>
      <c r="I18" s="97"/>
      <c r="J18" s="98">
        <f t="shared" ref="J18:K18" si="57">COUNT(L18,N18,P18,R18,T18,V18,X18)</f>
        <v>1</v>
      </c>
      <c r="K18" s="122">
        <f t="shared" si="57"/>
        <v>1</v>
      </c>
      <c r="L18" s="100"/>
      <c r="M18" s="101"/>
      <c r="N18" s="394">
        <v>3</v>
      </c>
      <c r="O18" s="393"/>
      <c r="P18" s="326"/>
      <c r="Q18" s="393"/>
      <c r="R18" s="100"/>
      <c r="S18" s="393"/>
      <c r="T18" s="102"/>
      <c r="U18" s="101">
        <v>3.99</v>
      </c>
      <c r="V18" s="112"/>
      <c r="W18" s="113"/>
      <c r="X18" s="102"/>
      <c r="Y18" s="101"/>
      <c r="Z18" s="103">
        <f>SUM(AA18:AG18)</f>
        <v>4</v>
      </c>
      <c r="AA18" s="119"/>
      <c r="AB18" s="104">
        <v>2</v>
      </c>
      <c r="AC18" s="105"/>
      <c r="AD18" s="105"/>
      <c r="AE18" s="105">
        <v>2</v>
      </c>
      <c r="AF18" s="105"/>
      <c r="AG18" s="106"/>
      <c r="AH18" s="107">
        <v>0</v>
      </c>
      <c r="AI18" s="107">
        <v>0</v>
      </c>
      <c r="AJ18" s="108">
        <f>AA18+AB18/3+AG18</f>
        <v>0.66666666666666663</v>
      </c>
      <c r="AK18" s="73">
        <f>AB18+AC18/4+AG18</f>
        <v>2</v>
      </c>
      <c r="AL18" s="73">
        <f>AB18+AD18/3+AG18</f>
        <v>2</v>
      </c>
      <c r="AM18" s="73">
        <f>AB18+AD18/1.5+AG18</f>
        <v>2</v>
      </c>
      <c r="AN18" s="73">
        <f>AC18+AB18*0.6+AE18*0.17+AG18</f>
        <v>1.54</v>
      </c>
      <c r="AO18" s="73">
        <f>AC18+AB18*0.4+AE18*0.3+AG18</f>
        <v>1.4</v>
      </c>
      <c r="AP18" s="73">
        <f>AC18+AB18*0.16+AE18*0.5+AG18</f>
        <v>1.32</v>
      </c>
      <c r="AQ18" s="73">
        <f>AD18+AC18*0.45+AB18*0.25+AE18*0.25+AG18</f>
        <v>1</v>
      </c>
      <c r="AR18" s="73">
        <f>AD18+AC18*0.63+AB18*0.25+AE18*0.17+AG18</f>
        <v>0.84000000000000008</v>
      </c>
      <c r="AS18" s="73">
        <f>AF18*0.6+AC18*0.4+AD18*0.15+AE18*0.5+AG18</f>
        <v>1</v>
      </c>
      <c r="AT18" s="109">
        <f>AF18+AC18*0.25+AD18*0.22+AE18*0.35+AG18</f>
        <v>0.7</v>
      </c>
      <c r="AU18" s="110" t="s">
        <v>163</v>
      </c>
      <c r="AV18" s="124" t="s">
        <v>164</v>
      </c>
    </row>
    <row r="19" spans="1:48" ht="19.5" thickBot="1" x14ac:dyDescent="0.35">
      <c r="A19" s="20">
        <v>9</v>
      </c>
      <c r="B19" s="342"/>
      <c r="C19" s="1">
        <v>17</v>
      </c>
      <c r="D19" s="93">
        <f ca="1">39+$B$24-$B$26-338-112</f>
        <v>197</v>
      </c>
      <c r="E19" s="21"/>
      <c r="F19" s="94">
        <f t="shared" ca="1" si="42"/>
        <v>-152</v>
      </c>
      <c r="G19" s="95">
        <v>44093</v>
      </c>
      <c r="H19" s="96"/>
      <c r="I19" s="97"/>
      <c r="J19" s="98">
        <f>COUNT(L19,N19,P19,R19,T19,V19,X19)</f>
        <v>0</v>
      </c>
      <c r="K19" s="99">
        <f>COUNT(M19,O19,Q19,S19,U19,W19,Y19)</f>
        <v>0</v>
      </c>
      <c r="L19" s="100"/>
      <c r="M19" s="101"/>
      <c r="N19" s="102"/>
      <c r="O19" s="101"/>
      <c r="P19" s="102"/>
      <c r="Q19" s="101"/>
      <c r="R19" s="102"/>
      <c r="S19" s="101"/>
      <c r="T19" s="112"/>
      <c r="U19" s="113"/>
      <c r="V19" s="102"/>
      <c r="W19" s="101"/>
      <c r="X19" s="102"/>
      <c r="Y19" s="101"/>
      <c r="Z19" s="103">
        <f>SUM(AA19:AG19)</f>
        <v>0</v>
      </c>
      <c r="AA19" s="104"/>
      <c r="AB19" s="104"/>
      <c r="AC19" s="105"/>
      <c r="AD19" s="105"/>
      <c r="AE19" s="105"/>
      <c r="AF19" s="105"/>
      <c r="AG19" s="106"/>
      <c r="AH19" s="107">
        <v>0</v>
      </c>
      <c r="AI19" s="107">
        <v>0</v>
      </c>
      <c r="AJ19" s="108">
        <f>AA19+AB19/3+AG19</f>
        <v>0</v>
      </c>
      <c r="AK19" s="73">
        <f>AB19+AC19/4+AG19</f>
        <v>0</v>
      </c>
      <c r="AL19" s="73">
        <f>AB19+AD19/3+AG19</f>
        <v>0</v>
      </c>
      <c r="AM19" s="73">
        <f>AB19+AD19/1.5+AG19</f>
        <v>0</v>
      </c>
      <c r="AN19" s="73">
        <f>AC19+AB19*0.6+AE19*0.17+AG19</f>
        <v>0</v>
      </c>
      <c r="AO19" s="73">
        <f>AC19+AB19*0.4+AE19*0.3+AG19</f>
        <v>0</v>
      </c>
      <c r="AP19" s="73">
        <f>AC19+AB19*0.16+AE19*0.5+AG19</f>
        <v>0</v>
      </c>
      <c r="AQ19" s="73">
        <f>AD19+AC19*0.45+AB19*0.25+AE19*0.25+AG19</f>
        <v>0</v>
      </c>
      <c r="AR19" s="73">
        <f>AD19+AC19*0.63+AB19*0.25+AE19*0.17+AG19</f>
        <v>0</v>
      </c>
      <c r="AS19" s="73">
        <f>AF19*0.6+AC19*0.4+AD19*0.15+AE19*0.5+AG19</f>
        <v>0</v>
      </c>
      <c r="AT19" s="109">
        <f>AF19+AC19*0.25+AD19*0.22+AE19*0.35+AG19</f>
        <v>0</v>
      </c>
      <c r="AU19" s="110"/>
      <c r="AV19" s="111" t="s">
        <v>165</v>
      </c>
    </row>
    <row r="20" spans="1:48" ht="19.5" thickBot="1" x14ac:dyDescent="0.35">
      <c r="A20" s="20">
        <v>16</v>
      </c>
      <c r="B20" s="442" t="s">
        <v>177</v>
      </c>
      <c r="C20" s="1">
        <v>17</v>
      </c>
      <c r="D20" s="93">
        <f ca="1">$B$24-$B$26-63-112-43-112-112</f>
        <v>166</v>
      </c>
      <c r="E20" s="21"/>
      <c r="F20" s="94">
        <f t="shared" ca="1" si="42"/>
        <v>-166</v>
      </c>
      <c r="G20" s="95">
        <v>44079</v>
      </c>
      <c r="H20" s="97"/>
      <c r="I20" s="97"/>
      <c r="J20" s="98">
        <f t="shared" si="44"/>
        <v>2</v>
      </c>
      <c r="K20" s="122">
        <f t="shared" si="44"/>
        <v>5</v>
      </c>
      <c r="L20" s="100"/>
      <c r="M20" s="101">
        <v>0.99</v>
      </c>
      <c r="N20" s="102"/>
      <c r="O20" s="101">
        <v>3.99</v>
      </c>
      <c r="P20" s="102">
        <v>3</v>
      </c>
      <c r="Q20" s="101">
        <v>5.99</v>
      </c>
      <c r="R20" s="102"/>
      <c r="S20" s="101">
        <v>2.99</v>
      </c>
      <c r="T20" s="112">
        <v>3</v>
      </c>
      <c r="U20" s="113">
        <v>3.99</v>
      </c>
      <c r="V20" s="102"/>
      <c r="W20" s="101"/>
      <c r="X20" s="102"/>
      <c r="Y20" s="101"/>
      <c r="Z20" s="103">
        <f t="shared" si="45"/>
        <v>13</v>
      </c>
      <c r="AA20" s="119"/>
      <c r="AB20" s="104">
        <v>2</v>
      </c>
      <c r="AC20" s="105">
        <v>9</v>
      </c>
      <c r="AD20" s="105">
        <v>0</v>
      </c>
      <c r="AE20" s="105">
        <v>2</v>
      </c>
      <c r="AF20" s="105"/>
      <c r="AG20" s="106"/>
      <c r="AH20" s="107">
        <v>0</v>
      </c>
      <c r="AI20" s="107">
        <v>0</v>
      </c>
      <c r="AJ20" s="108">
        <f t="shared" si="46"/>
        <v>0.66666666666666663</v>
      </c>
      <c r="AK20" s="73">
        <f t="shared" si="47"/>
        <v>4.25</v>
      </c>
      <c r="AL20" s="73">
        <f t="shared" si="48"/>
        <v>2</v>
      </c>
      <c r="AM20" s="73">
        <f t="shared" si="49"/>
        <v>2</v>
      </c>
      <c r="AN20" s="73">
        <f t="shared" si="50"/>
        <v>10.54</v>
      </c>
      <c r="AO20" s="73">
        <f t="shared" si="51"/>
        <v>10.4</v>
      </c>
      <c r="AP20" s="73">
        <f t="shared" si="52"/>
        <v>10.32</v>
      </c>
      <c r="AQ20" s="73">
        <f t="shared" si="53"/>
        <v>5.05</v>
      </c>
      <c r="AR20" s="73">
        <f t="shared" si="54"/>
        <v>6.51</v>
      </c>
      <c r="AS20" s="73">
        <f t="shared" si="55"/>
        <v>4.5999999999999996</v>
      </c>
      <c r="AT20" s="109">
        <f t="shared" si="56"/>
        <v>2.95</v>
      </c>
      <c r="AU20" s="110" t="s">
        <v>175</v>
      </c>
      <c r="AV20" s="111" t="s">
        <v>165</v>
      </c>
    </row>
    <row r="21" spans="1:48" ht="19.5" thickBot="1" x14ac:dyDescent="0.35">
      <c r="A21" s="20">
        <v>14</v>
      </c>
      <c r="B21" s="442" t="s">
        <v>459</v>
      </c>
      <c r="C21" s="1">
        <v>16</v>
      </c>
      <c r="D21" s="93">
        <f ca="1">14+$B$24-$B$26-112-112-112+2-112-19-45</f>
        <v>112</v>
      </c>
      <c r="E21" s="21"/>
      <c r="F21" s="94">
        <f t="shared" ca="1" si="42"/>
        <v>0</v>
      </c>
      <c r="G21" s="95">
        <v>44245</v>
      </c>
      <c r="H21" s="117"/>
      <c r="I21" s="97"/>
      <c r="J21" s="98">
        <f>COUNT(L21,N21,P21,R21,T21,V21,X21)</f>
        <v>2</v>
      </c>
      <c r="K21" s="122">
        <f>COUNT(M21,O21,Q21,S21,U21,W21,Y21)</f>
        <v>5</v>
      </c>
      <c r="L21" s="100"/>
      <c r="M21" s="101"/>
      <c r="N21" s="112">
        <v>1</v>
      </c>
      <c r="O21" s="113">
        <v>1.99</v>
      </c>
      <c r="P21" s="102"/>
      <c r="Q21" s="101">
        <v>5.99</v>
      </c>
      <c r="R21" s="102">
        <v>4</v>
      </c>
      <c r="S21" s="101">
        <v>5.99</v>
      </c>
      <c r="T21" s="394"/>
      <c r="U21" s="393">
        <v>2.99</v>
      </c>
      <c r="V21" s="102"/>
      <c r="W21" s="101">
        <v>2.99</v>
      </c>
      <c r="X21" s="102"/>
      <c r="Y21" s="101"/>
      <c r="Z21" s="103">
        <f>SUM(AA21:AG21)</f>
        <v>13</v>
      </c>
      <c r="AA21" s="119"/>
      <c r="AB21" s="104">
        <v>-2</v>
      </c>
      <c r="AC21" s="105">
        <v>9</v>
      </c>
      <c r="AD21" s="105">
        <v>6</v>
      </c>
      <c r="AE21" s="105">
        <v>0</v>
      </c>
      <c r="AF21" s="105">
        <v>0</v>
      </c>
      <c r="AG21" s="106"/>
      <c r="AH21" s="107">
        <v>0</v>
      </c>
      <c r="AI21" s="107">
        <v>0</v>
      </c>
      <c r="AJ21" s="108">
        <f>AA21+AB21/3+AG21</f>
        <v>-0.66666666666666663</v>
      </c>
      <c r="AK21" s="73">
        <f>AB21+AC21/4+AG21</f>
        <v>0.25</v>
      </c>
      <c r="AL21" s="73">
        <f>AB21+AD21/3+AG21</f>
        <v>0</v>
      </c>
      <c r="AM21" s="73">
        <f>AB21+AD21/1.5+AG21</f>
        <v>2</v>
      </c>
      <c r="AN21" s="73">
        <f>AC21+AB21*0.6+AE21*0.17+AG21</f>
        <v>7.8</v>
      </c>
      <c r="AO21" s="73">
        <f>AC21+AB21*0.4+AE21*0.3+AG21</f>
        <v>8.1999999999999993</v>
      </c>
      <c r="AP21" s="73">
        <f>AC21+AB21*0.16+AE21*0.5+AG21</f>
        <v>8.68</v>
      </c>
      <c r="AQ21" s="73">
        <f>AD21+AC21*0.45+AB21*0.25+AE21*0.25+AG21</f>
        <v>9.5500000000000007</v>
      </c>
      <c r="AR21" s="73">
        <f>AD21+AC21*0.63+AB21*0.25+AE21*0.17+AG21</f>
        <v>11.17</v>
      </c>
      <c r="AS21" s="73">
        <f>AF21*0.6+AC21*0.4+AD21*0.15+AE21*0.5+AG21</f>
        <v>4.5</v>
      </c>
      <c r="AT21" s="109">
        <f>AF21+AC21*0.25+AD21*0.22+AE21*0.35+AG21</f>
        <v>3.5700000000000003</v>
      </c>
      <c r="AU21" s="110" t="s">
        <v>175</v>
      </c>
      <c r="AV21" s="123" t="s">
        <v>176</v>
      </c>
    </row>
    <row r="22" spans="1:48" x14ac:dyDescent="0.3">
      <c r="B22" s="1"/>
      <c r="C22" s="1"/>
      <c r="D22" s="93"/>
      <c r="E22" s="21"/>
      <c r="F22" s="1"/>
      <c r="G22" s="107"/>
      <c r="H22" s="107"/>
      <c r="I22" s="107"/>
      <c r="J22" s="1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2"/>
      <c r="AB22" s="107"/>
      <c r="AC22" s="107"/>
      <c r="AI22" s="107"/>
      <c r="AJ22" s="107"/>
      <c r="AV22" s="153"/>
    </row>
    <row r="23" spans="1:48" x14ac:dyDescent="0.3">
      <c r="B23" s="154" t="s">
        <v>180</v>
      </c>
      <c r="C23" s="1"/>
      <c r="D23" s="1"/>
      <c r="E23" s="22"/>
      <c r="F23" s="93"/>
      <c r="G23" s="155" t="s">
        <v>181</v>
      </c>
      <c r="H23" s="107"/>
      <c r="I23" s="107"/>
      <c r="J23" s="1"/>
      <c r="K23" s="107"/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2"/>
      <c r="AB23" s="107"/>
      <c r="AC23" s="107"/>
      <c r="AI23" s="107"/>
      <c r="AJ23" s="107"/>
      <c r="AV23" s="153"/>
    </row>
    <row r="24" spans="1:48" x14ac:dyDescent="0.3">
      <c r="B24" s="156">
        <f ca="1">TODAY()</f>
        <v>44245</v>
      </c>
      <c r="C24" s="157"/>
      <c r="D24" s="1"/>
      <c r="E24" s="22"/>
      <c r="F24" s="93"/>
      <c r="G24" s="158" t="s">
        <v>182</v>
      </c>
      <c r="H24" s="107"/>
      <c r="I24" s="107"/>
      <c r="J24" s="1"/>
      <c r="K24" s="107"/>
      <c r="L24" s="107"/>
      <c r="M24" s="107"/>
      <c r="N24" s="107"/>
      <c r="O24" s="107"/>
      <c r="P24" s="107"/>
      <c r="Q24" s="1"/>
      <c r="R24" s="1"/>
      <c r="S24" s="1"/>
      <c r="T24" s="1"/>
      <c r="U24" s="1"/>
      <c r="V24" s="1"/>
      <c r="W24" s="1"/>
      <c r="X24" s="1"/>
      <c r="Y24" s="1"/>
      <c r="Z24" s="122"/>
      <c r="AB24" s="107"/>
      <c r="AC24" s="107"/>
      <c r="AI24" s="107"/>
      <c r="AJ24" s="107"/>
      <c r="AV24" s="159"/>
    </row>
    <row r="25" spans="1:48" x14ac:dyDescent="0.3">
      <c r="B25" s="160">
        <f ca="1">B26-B24</f>
        <v>-608</v>
      </c>
      <c r="C25" s="157"/>
      <c r="D25" s="1"/>
      <c r="E25" s="22"/>
      <c r="F25" s="1"/>
      <c r="G25" s="155" t="s">
        <v>157</v>
      </c>
      <c r="H25" s="107"/>
      <c r="I25" s="1"/>
      <c r="J25" s="1"/>
      <c r="K25" s="107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2"/>
      <c r="AB25" s="107"/>
      <c r="AC25" s="107"/>
      <c r="AI25" s="107"/>
      <c r="AJ25" s="107"/>
      <c r="AV25" s="153"/>
    </row>
    <row r="26" spans="1:48" x14ac:dyDescent="0.3">
      <c r="B26" s="161">
        <v>43637</v>
      </c>
      <c r="C26" s="157"/>
      <c r="D26" s="1"/>
      <c r="E26" s="22"/>
      <c r="F26" s="1"/>
      <c r="G26" s="158" t="s">
        <v>183</v>
      </c>
      <c r="H26" s="107"/>
      <c r="I26" s="107"/>
      <c r="J26" s="1"/>
      <c r="K26" s="107"/>
      <c r="L26" s="107"/>
      <c r="M26" s="107"/>
      <c r="N26" s="107"/>
      <c r="O26" s="107"/>
      <c r="P26" s="107"/>
      <c r="Q26" s="1"/>
      <c r="R26" s="1"/>
      <c r="S26" s="1"/>
      <c r="T26" s="1"/>
      <c r="U26" s="1"/>
      <c r="V26" s="1"/>
      <c r="W26" s="1"/>
      <c r="X26" s="1"/>
      <c r="Y26" s="1"/>
      <c r="Z26" s="122"/>
      <c r="AB26" s="107"/>
      <c r="AC26" s="107"/>
      <c r="AI26" s="107"/>
      <c r="AJ26" s="107"/>
      <c r="AV26" s="153"/>
    </row>
    <row r="27" spans="1:48" x14ac:dyDescent="0.3">
      <c r="B27" s="1"/>
      <c r="C27" s="157"/>
      <c r="D27" s="1"/>
      <c r="E27" s="22"/>
      <c r="F27" s="1"/>
      <c r="G27" s="158" t="s">
        <v>184</v>
      </c>
      <c r="H27" s="107"/>
      <c r="I27" s="107"/>
      <c r="J27" s="1"/>
      <c r="K27" s="107"/>
      <c r="L27" s="107"/>
      <c r="M27" s="107"/>
      <c r="N27" s="107"/>
      <c r="O27" s="107"/>
      <c r="P27" s="1"/>
      <c r="Q27" s="1"/>
      <c r="R27" s="1"/>
      <c r="S27" s="1"/>
      <c r="T27" s="1"/>
      <c r="U27" s="1"/>
      <c r="V27" s="1"/>
      <c r="W27" s="1"/>
      <c r="X27" s="1"/>
      <c r="Y27" s="1"/>
      <c r="Z27" s="122"/>
      <c r="AB27" s="107"/>
      <c r="AC27" s="107"/>
      <c r="AI27" s="107"/>
      <c r="AJ27" s="107"/>
      <c r="AV27" s="153"/>
    </row>
  </sheetData>
  <conditionalFormatting sqref="F14:F21 F3:F12">
    <cfRule type="cellIs" dxfId="42" priority="25" operator="lessThan">
      <formula>14</formula>
    </cfRule>
  </conditionalFormatting>
  <conditionalFormatting sqref="F14:F21 F3:F12">
    <cfRule type="cellIs" dxfId="41" priority="26" operator="between">
      <formula>14</formula>
      <formula>42</formula>
    </cfRule>
  </conditionalFormatting>
  <conditionalFormatting sqref="F14:F21 F3:F12">
    <cfRule type="cellIs" dxfId="40" priority="27" operator="greaterThan">
      <formula>42</formula>
    </cfRule>
  </conditionalFormatting>
  <conditionalFormatting sqref="L21:M21 L13:Y15 L12:M12 P12:Y12 P21:Y21 L17:Y19 L3:Y11">
    <cfRule type="cellIs" dxfId="39" priority="28" operator="greaterThan">
      <formula>5</formula>
    </cfRule>
  </conditionalFormatting>
  <conditionalFormatting sqref="T20:U21">
    <cfRule type="cellIs" dxfId="38" priority="29" operator="greaterThan">
      <formula>5</formula>
    </cfRule>
  </conditionalFormatting>
  <conditionalFormatting sqref="V3:V9">
    <cfRule type="cellIs" dxfId="37" priority="31" operator="greaterThan">
      <formula>5</formula>
    </cfRule>
  </conditionalFormatting>
  <conditionalFormatting sqref="F12">
    <cfRule type="cellIs" dxfId="36" priority="33" operator="lessThan">
      <formula>14</formula>
    </cfRule>
  </conditionalFormatting>
  <conditionalFormatting sqref="F12">
    <cfRule type="cellIs" dxfId="35" priority="34" operator="between">
      <formula>14</formula>
      <formula>42</formula>
    </cfRule>
  </conditionalFormatting>
  <conditionalFormatting sqref="F12">
    <cfRule type="cellIs" dxfId="34" priority="35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T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54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T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I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A7:AG7">
    <cfRule type="colorScale" priority="63">
      <colorScale>
        <cfvo type="min"/>
        <cfvo type="max"/>
        <color rgb="FFFCFCFF"/>
        <color rgb="FFF8696B"/>
      </colorScale>
    </cfRule>
  </conditionalFormatting>
  <conditionalFormatting sqref="J7:K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16">
    <cfRule type="cellIs" dxfId="33" priority="80" operator="greaterThan">
      <formula>5</formula>
    </cfRule>
  </conditionalFormatting>
  <conditionalFormatting sqref="P16:Q16">
    <cfRule type="cellIs" dxfId="32" priority="81" operator="greaterThan">
      <formula>5</formula>
    </cfRule>
  </conditionalFormatting>
  <conditionalFormatting sqref="N16:O16">
    <cfRule type="cellIs" dxfId="31" priority="82" operator="greaterThan">
      <formula>5</formula>
    </cfRule>
  </conditionalFormatting>
  <conditionalFormatting sqref="L16:M16 R16 V16:Y16">
    <cfRule type="cellIs" dxfId="30" priority="83" operator="greaterThan">
      <formula>5</formula>
    </cfRule>
  </conditionalFormatting>
  <conditionalFormatting sqref="AJ21:AT21 AJ16:AT1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6:AI16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21:AG21 AA16:AG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J21:K21 J16:K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O20">
    <cfRule type="cellIs" dxfId="29" priority="91" operator="greaterThan">
      <formula>5</formula>
    </cfRule>
  </conditionalFormatting>
  <conditionalFormatting sqref="L20:M21 P20:S21 V20:Y21">
    <cfRule type="cellIs" dxfId="28" priority="92" operator="greaterThan">
      <formula>5</formula>
    </cfRule>
  </conditionalFormatting>
  <conditionalFormatting sqref="AJ20:AT2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">
    <cfRule type="colorScale" priority="94">
      <colorScale>
        <cfvo type="min"/>
        <cfvo type="max"/>
        <color rgb="FFFCFCFF"/>
        <color rgb="FF63BE7B"/>
      </colorScale>
    </cfRule>
  </conditionalFormatting>
  <conditionalFormatting sqref="AA20:AG20">
    <cfRule type="colorScale" priority="95">
      <colorScale>
        <cfvo type="min"/>
        <cfvo type="max"/>
        <color rgb="FFFCFCFF"/>
        <color rgb="FFF8696B"/>
      </colorScale>
    </cfRule>
  </conditionalFormatting>
  <conditionalFormatting sqref="J20:K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T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I11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11:AG1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 X3:Y9">
    <cfRule type="cellIs" dxfId="27" priority="104" operator="greaterThan">
      <formula>5</formula>
    </cfRule>
  </conditionalFormatting>
  <conditionalFormatting sqref="AJ10:AT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110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9 P12:R12 V12:W12">
    <cfRule type="cellIs" dxfId="26" priority="129" operator="greaterThan">
      <formula>5</formula>
    </cfRule>
  </conditionalFormatting>
  <conditionalFormatting sqref="AJ3:AT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9">
    <cfRule type="cellIs" dxfId="25" priority="24" operator="greaterThan">
      <formula>5</formula>
    </cfRule>
  </conditionalFormatting>
  <conditionalFormatting sqref="W3:W9">
    <cfRule type="cellIs" dxfId="24" priority="23" operator="greaterThan">
      <formula>5</formula>
    </cfRule>
  </conditionalFormatting>
  <conditionalFormatting sqref="S12">
    <cfRule type="cellIs" dxfId="23" priority="14" operator="greaterThan">
      <formula>5</formula>
    </cfRule>
  </conditionalFormatting>
  <conditionalFormatting sqref="S12">
    <cfRule type="cellIs" dxfId="22" priority="13" operator="greaterThan">
      <formula>5</formula>
    </cfRule>
  </conditionalFormatting>
  <conditionalFormatting sqref="T12:U12">
    <cfRule type="cellIs" dxfId="21" priority="12" operator="greaterThan">
      <formula>5</formula>
    </cfRule>
  </conditionalFormatting>
  <conditionalFormatting sqref="V9:W9">
    <cfRule type="cellIs" dxfId="20" priority="10" operator="greaterThan">
      <formula>5</formula>
    </cfRule>
  </conditionalFormatting>
  <conditionalFormatting sqref="Z14:Z21 Z3:Z12">
    <cfRule type="colorScale" priority="64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S3:S9">
    <cfRule type="cellIs" dxfId="19" priority="9" operator="greaterThan">
      <formula>5</formula>
    </cfRule>
  </conditionalFormatting>
  <conditionalFormatting sqref="N6:O9">
    <cfRule type="cellIs" dxfId="18" priority="8" operator="greaterThan">
      <formula>5</formula>
    </cfRule>
  </conditionalFormatting>
  <conditionalFormatting sqref="N7:O9">
    <cfRule type="cellIs" dxfId="17" priority="7" operator="greaterThan">
      <formula>5</formula>
    </cfRule>
  </conditionalFormatting>
  <conditionalFormatting sqref="O10">
    <cfRule type="cellIs" dxfId="16" priority="6" operator="greaterThan">
      <formula>5</formula>
    </cfRule>
  </conditionalFormatting>
  <conditionalFormatting sqref="V8:W9">
    <cfRule type="cellIs" dxfId="15" priority="4" operator="greaterThan">
      <formula>5</formula>
    </cfRule>
  </conditionalFormatting>
  <conditionalFormatting sqref="N12:O12">
    <cfRule type="cellIs" dxfId="14" priority="3" operator="greaterThan">
      <formula>5</formula>
    </cfRule>
  </conditionalFormatting>
  <conditionalFormatting sqref="N21:O21">
    <cfRule type="cellIs" dxfId="13" priority="2" operator="greaterThan">
      <formula>5</formula>
    </cfRule>
  </conditionalFormatting>
  <conditionalFormatting sqref="S16">
    <cfRule type="cellIs" dxfId="12" priority="1" operator="greaterThan">
      <formula>5</formula>
    </cfRule>
  </conditionalFormatting>
  <conditionalFormatting sqref="AJ18:AT19 AJ12:AT15 AJ4:AT4 AJ6:AT6 AJ8:AT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9 AH12:AI15 AH4:AI4 AH6:AI6 AH8:AI9">
    <cfRule type="colorScale" priority="853">
      <colorScale>
        <cfvo type="min"/>
        <cfvo type="max"/>
        <color rgb="FFFCFCFF"/>
        <color rgb="FF63BE7B"/>
      </colorScale>
    </cfRule>
  </conditionalFormatting>
  <conditionalFormatting sqref="AA18:AG19 AA12:AG15 AA4:AG4 AA6:AG6 AA8:AG9">
    <cfRule type="colorScale" priority="858">
      <colorScale>
        <cfvo type="min"/>
        <cfvo type="max"/>
        <color rgb="FFFCFCFF"/>
        <color rgb="FFF8696B"/>
      </colorScale>
    </cfRule>
  </conditionalFormatting>
  <conditionalFormatting sqref="J18:K19 J12:K15 J4:K4 J6:K6 J8:K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5" t="s">
        <v>197</v>
      </c>
      <c r="B1" s="125" t="s">
        <v>198</v>
      </c>
      <c r="C1" s="125" t="s">
        <v>199</v>
      </c>
      <c r="D1" s="125" t="s">
        <v>200</v>
      </c>
      <c r="E1" s="125" t="s">
        <v>201</v>
      </c>
      <c r="F1" s="125" t="s">
        <v>202</v>
      </c>
      <c r="G1" s="125" t="s">
        <v>203</v>
      </c>
      <c r="H1" s="125" t="s">
        <v>64</v>
      </c>
      <c r="I1" s="125" t="s">
        <v>204</v>
      </c>
      <c r="J1" s="125" t="s">
        <v>205</v>
      </c>
      <c r="K1" s="125" t="s">
        <v>206</v>
      </c>
      <c r="L1" s="125" t="s">
        <v>207</v>
      </c>
      <c r="M1" s="125" t="s">
        <v>208</v>
      </c>
      <c r="N1" s="125" t="s">
        <v>209</v>
      </c>
      <c r="O1" s="125" t="s">
        <v>210</v>
      </c>
      <c r="P1" s="125" t="s">
        <v>211</v>
      </c>
      <c r="Q1" s="125" t="s">
        <v>108</v>
      </c>
      <c r="R1" s="125" t="s">
        <v>106</v>
      </c>
      <c r="S1" s="125" t="s">
        <v>124</v>
      </c>
      <c r="T1" s="125" t="s">
        <v>119</v>
      </c>
      <c r="U1" s="125" t="s">
        <v>212</v>
      </c>
      <c r="V1" s="125" t="s">
        <v>213</v>
      </c>
      <c r="W1" s="125" t="s">
        <v>214</v>
      </c>
    </row>
    <row r="2" spans="1:23" x14ac:dyDescent="0.25">
      <c r="A2" s="2" t="s">
        <v>215</v>
      </c>
      <c r="B2" s="165">
        <v>41104</v>
      </c>
      <c r="C2" s="2" t="s">
        <v>216</v>
      </c>
      <c r="D2" s="2" t="s">
        <v>217</v>
      </c>
      <c r="E2" s="166">
        <v>71222460</v>
      </c>
      <c r="F2" s="166">
        <v>41951340</v>
      </c>
      <c r="G2" s="2">
        <v>91</v>
      </c>
      <c r="H2" s="167">
        <v>592340</v>
      </c>
      <c r="I2" s="166">
        <v>198822</v>
      </c>
      <c r="J2" s="167">
        <v>558930</v>
      </c>
      <c r="K2" s="166">
        <v>182586</v>
      </c>
      <c r="L2" s="2">
        <v>5.5</v>
      </c>
      <c r="M2" s="2">
        <v>5.75</v>
      </c>
      <c r="N2" s="2">
        <v>6.25</v>
      </c>
      <c r="O2" s="2" t="s">
        <v>218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219</v>
      </c>
      <c r="W2" s="2">
        <v>343</v>
      </c>
    </row>
    <row r="3" spans="1:23" x14ac:dyDescent="0.25">
      <c r="A3" s="2" t="s">
        <v>220</v>
      </c>
      <c r="B3" s="165">
        <v>42911</v>
      </c>
      <c r="C3" s="2" t="s">
        <v>221</v>
      </c>
      <c r="D3" s="2" t="s">
        <v>222</v>
      </c>
      <c r="E3" s="166">
        <v>35424760</v>
      </c>
      <c r="F3" s="166">
        <v>19082620</v>
      </c>
      <c r="G3" s="2">
        <v>41</v>
      </c>
      <c r="H3" s="167">
        <v>975750</v>
      </c>
      <c r="I3" s="166">
        <v>148470</v>
      </c>
      <c r="J3" s="167">
        <v>873220</v>
      </c>
      <c r="K3" s="166">
        <v>129224</v>
      </c>
      <c r="L3" s="2">
        <v>6.25</v>
      </c>
      <c r="M3" s="2">
        <v>7</v>
      </c>
      <c r="N3" s="2">
        <v>4.25</v>
      </c>
      <c r="O3" s="2" t="s">
        <v>223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224</v>
      </c>
      <c r="W3" s="2" t="s">
        <v>225</v>
      </c>
    </row>
    <row r="4" spans="1:23" x14ac:dyDescent="0.25">
      <c r="A4" s="2" t="s">
        <v>226</v>
      </c>
      <c r="B4" s="165">
        <v>41400</v>
      </c>
      <c r="C4" s="2" t="s">
        <v>227</v>
      </c>
      <c r="D4" s="2" t="s">
        <v>228</v>
      </c>
      <c r="E4" s="166">
        <v>150400335</v>
      </c>
      <c r="F4" s="166">
        <v>125704269</v>
      </c>
      <c r="G4" s="2">
        <v>246</v>
      </c>
      <c r="H4" s="167">
        <v>274480</v>
      </c>
      <c r="I4" s="166">
        <v>58734</v>
      </c>
      <c r="J4" s="167">
        <v>205950</v>
      </c>
      <c r="K4" s="166">
        <v>38652</v>
      </c>
      <c r="L4" s="2">
        <v>6.25</v>
      </c>
      <c r="M4" s="2">
        <v>6.5</v>
      </c>
      <c r="N4" s="2">
        <v>2.5</v>
      </c>
      <c r="O4" s="2" t="s">
        <v>229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230</v>
      </c>
      <c r="W4" s="2" t="s">
        <v>231</v>
      </c>
    </row>
    <row r="5" spans="1:23" x14ac:dyDescent="0.25">
      <c r="A5" s="2" t="s">
        <v>232</v>
      </c>
      <c r="B5" s="165">
        <v>41773</v>
      </c>
      <c r="C5" s="2" t="s">
        <v>216</v>
      </c>
      <c r="D5" s="2" t="s">
        <v>233</v>
      </c>
      <c r="E5" s="166">
        <v>26986200</v>
      </c>
      <c r="F5" s="166">
        <v>5358180</v>
      </c>
      <c r="G5" s="2">
        <v>59</v>
      </c>
      <c r="H5" s="167">
        <v>254400</v>
      </c>
      <c r="I5" s="166">
        <v>197650</v>
      </c>
      <c r="J5" s="167">
        <v>235770</v>
      </c>
      <c r="K5" s="166">
        <v>183902</v>
      </c>
      <c r="L5" s="2">
        <v>4.75</v>
      </c>
      <c r="M5" s="2">
        <v>4.75</v>
      </c>
      <c r="N5" s="2">
        <v>5.75</v>
      </c>
      <c r="O5" s="2" t="s">
        <v>234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235</v>
      </c>
      <c r="W5" s="2" t="s">
        <v>195</v>
      </c>
    </row>
    <row r="6" spans="1:23" x14ac:dyDescent="0.25">
      <c r="A6" s="2" t="s">
        <v>236</v>
      </c>
      <c r="B6" s="165">
        <v>43734</v>
      </c>
      <c r="C6" s="2" t="s">
        <v>216</v>
      </c>
      <c r="D6" s="2" t="s">
        <v>237</v>
      </c>
      <c r="E6" s="166">
        <v>245641</v>
      </c>
      <c r="F6" s="166">
        <v>0</v>
      </c>
      <c r="G6" s="2">
        <v>4</v>
      </c>
      <c r="H6" s="167">
        <v>25200</v>
      </c>
      <c r="I6" s="166">
        <v>9508</v>
      </c>
      <c r="J6" s="167">
        <v>17140</v>
      </c>
      <c r="K6" s="166">
        <v>5704</v>
      </c>
      <c r="L6" s="2">
        <v>4.75</v>
      </c>
      <c r="M6" s="2">
        <v>5.5</v>
      </c>
      <c r="N6" s="2">
        <v>2</v>
      </c>
      <c r="O6" s="2" t="s">
        <v>238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239</v>
      </c>
      <c r="W6" s="2" t="s">
        <v>195</v>
      </c>
    </row>
    <row r="7" spans="1:23" x14ac:dyDescent="0.25">
      <c r="A7" s="2" t="s">
        <v>240</v>
      </c>
      <c r="B7" s="165">
        <v>42402</v>
      </c>
      <c r="C7" s="2" t="s">
        <v>216</v>
      </c>
      <c r="D7" s="2" t="s">
        <v>241</v>
      </c>
      <c r="E7" s="166">
        <v>0</v>
      </c>
      <c r="F7" s="166">
        <v>0</v>
      </c>
      <c r="G7" s="2">
        <v>0</v>
      </c>
      <c r="H7" s="167">
        <v>0</v>
      </c>
      <c r="I7" s="166">
        <v>0</v>
      </c>
      <c r="J7" s="167">
        <v>0</v>
      </c>
      <c r="K7" s="166">
        <v>0</v>
      </c>
      <c r="L7" s="2">
        <v>4.25</v>
      </c>
      <c r="M7" s="2">
        <v>6.5</v>
      </c>
      <c r="N7" s="2">
        <v>3</v>
      </c>
      <c r="O7" s="2" t="s">
        <v>242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243</v>
      </c>
      <c r="W7" s="2" t="s">
        <v>244</v>
      </c>
    </row>
    <row r="8" spans="1:23" x14ac:dyDescent="0.25">
      <c r="A8" s="2" t="s">
        <v>245</v>
      </c>
      <c r="B8" s="165">
        <v>43637</v>
      </c>
      <c r="C8" s="2" t="s">
        <v>246</v>
      </c>
      <c r="D8" s="2" t="s">
        <v>241</v>
      </c>
      <c r="E8" s="166">
        <v>0</v>
      </c>
      <c r="F8" s="166">
        <v>1250000</v>
      </c>
      <c r="G8" s="2">
        <v>1</v>
      </c>
      <c r="H8" s="167">
        <v>34500</v>
      </c>
      <c r="I8" s="166">
        <v>8120</v>
      </c>
      <c r="J8" s="167">
        <v>31600</v>
      </c>
      <c r="K8" s="166">
        <v>6350</v>
      </c>
      <c r="L8" s="2">
        <v>6</v>
      </c>
      <c r="M8" s="2">
        <v>5.75</v>
      </c>
      <c r="N8" s="2">
        <v>2.75</v>
      </c>
      <c r="O8" s="2" t="s">
        <v>247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248</v>
      </c>
      <c r="W8" s="2" t="s">
        <v>195</v>
      </c>
    </row>
    <row r="9" spans="1:23" x14ac:dyDescent="0.25">
      <c r="A9" s="2" t="s">
        <v>249</v>
      </c>
      <c r="B9" s="165">
        <v>42711</v>
      </c>
      <c r="C9" s="2" t="s">
        <v>246</v>
      </c>
      <c r="D9" s="2" t="s">
        <v>217</v>
      </c>
      <c r="E9" s="166">
        <v>41592110</v>
      </c>
      <c r="F9" s="166">
        <v>36568152</v>
      </c>
      <c r="G9" s="2">
        <v>121</v>
      </c>
      <c r="H9" s="167">
        <v>769860</v>
      </c>
      <c r="I9" s="166">
        <v>211532</v>
      </c>
      <c r="J9" s="167">
        <v>665350</v>
      </c>
      <c r="K9" s="166">
        <v>189598</v>
      </c>
      <c r="L9" s="2">
        <v>6.25</v>
      </c>
      <c r="M9" s="2">
        <v>7</v>
      </c>
      <c r="N9" s="2">
        <v>5</v>
      </c>
      <c r="O9" s="2" t="s">
        <v>250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251</v>
      </c>
      <c r="W9" s="2" t="s">
        <v>252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68"/>
      <c r="B1" s="168"/>
      <c r="C1" s="168"/>
      <c r="D1" s="453" t="s">
        <v>253</v>
      </c>
      <c r="E1" s="453"/>
      <c r="F1" s="453"/>
      <c r="G1" s="453"/>
      <c r="H1" s="453"/>
      <c r="I1" s="453"/>
      <c r="K1" s="168"/>
      <c r="L1" s="168"/>
      <c r="M1" s="168"/>
      <c r="N1" s="169">
        <v>43756</v>
      </c>
      <c r="O1" s="169">
        <f>N27+1</f>
        <v>43764</v>
      </c>
      <c r="P1" s="169">
        <f t="shared" ref="P1:AC1" si="0">O1+7</f>
        <v>43771</v>
      </c>
      <c r="Q1" s="169">
        <f t="shared" si="0"/>
        <v>43778</v>
      </c>
      <c r="R1" s="169">
        <f t="shared" si="0"/>
        <v>43785</v>
      </c>
      <c r="S1" s="169">
        <f t="shared" si="0"/>
        <v>43792</v>
      </c>
      <c r="T1" s="169">
        <f t="shared" si="0"/>
        <v>43799</v>
      </c>
      <c r="U1" s="169">
        <f t="shared" si="0"/>
        <v>43806</v>
      </c>
      <c r="V1" s="169">
        <f t="shared" si="0"/>
        <v>43813</v>
      </c>
      <c r="W1" s="169">
        <f t="shared" si="0"/>
        <v>43820</v>
      </c>
      <c r="X1" s="169">
        <f t="shared" si="0"/>
        <v>43827</v>
      </c>
      <c r="Y1" s="169">
        <f t="shared" si="0"/>
        <v>43834</v>
      </c>
      <c r="Z1" s="169">
        <f t="shared" si="0"/>
        <v>43841</v>
      </c>
      <c r="AA1" s="169">
        <f t="shared" si="0"/>
        <v>43848</v>
      </c>
      <c r="AB1" s="169">
        <f t="shared" si="0"/>
        <v>43855</v>
      </c>
      <c r="AC1" s="169">
        <f t="shared" si="0"/>
        <v>43862</v>
      </c>
    </row>
    <row r="2" spans="1:35" x14ac:dyDescent="0.25">
      <c r="A2" s="20"/>
      <c r="B2" s="20"/>
      <c r="C2" s="20"/>
      <c r="D2" s="454" t="s">
        <v>254</v>
      </c>
      <c r="E2" s="454"/>
      <c r="F2" s="454"/>
      <c r="G2" s="454"/>
      <c r="H2" s="454"/>
      <c r="I2" s="454"/>
      <c r="K2" s="20"/>
      <c r="L2" s="20"/>
      <c r="M2" s="20" t="s">
        <v>255</v>
      </c>
      <c r="N2" s="170" t="s">
        <v>256</v>
      </c>
      <c r="O2" s="171" t="s">
        <v>257</v>
      </c>
      <c r="P2" s="171" t="s">
        <v>258</v>
      </c>
      <c r="Q2" s="171" t="s">
        <v>259</v>
      </c>
      <c r="R2" s="171" t="s">
        <v>260</v>
      </c>
      <c r="S2" s="171" t="s">
        <v>261</v>
      </c>
      <c r="T2" s="171" t="s">
        <v>262</v>
      </c>
      <c r="U2" s="171" t="s">
        <v>263</v>
      </c>
      <c r="V2" s="171" t="s">
        <v>264</v>
      </c>
      <c r="W2" s="171" t="s">
        <v>265</v>
      </c>
      <c r="X2" s="171" t="s">
        <v>266</v>
      </c>
      <c r="Y2" s="171" t="s">
        <v>267</v>
      </c>
      <c r="Z2" s="171" t="s">
        <v>268</v>
      </c>
      <c r="AA2" s="171" t="s">
        <v>269</v>
      </c>
      <c r="AB2" s="171" t="s">
        <v>270</v>
      </c>
      <c r="AC2" s="171" t="s">
        <v>271</v>
      </c>
    </row>
    <row r="3" spans="1:35" ht="18.75" x14ac:dyDescent="0.3">
      <c r="A3" s="9"/>
      <c r="B3" s="9"/>
      <c r="C3" s="9"/>
      <c r="D3" s="455" t="s">
        <v>272</v>
      </c>
      <c r="E3" s="455"/>
      <c r="F3" s="172"/>
      <c r="G3" s="456" t="s">
        <v>273</v>
      </c>
      <c r="H3" s="456"/>
      <c r="I3" s="172"/>
      <c r="K3" s="9"/>
      <c r="L3" s="173"/>
      <c r="M3" s="173" t="s">
        <v>274</v>
      </c>
      <c r="N3" s="174">
        <f>966-19</f>
        <v>947</v>
      </c>
      <c r="O3" s="174">
        <f t="shared" ref="O3:AC3" si="1">N3+N11/30</f>
        <v>982</v>
      </c>
      <c r="P3" s="174">
        <f t="shared" si="1"/>
        <v>1015.3333333333334</v>
      </c>
      <c r="Q3" s="174">
        <f t="shared" si="1"/>
        <v>1048.6666666666667</v>
      </c>
      <c r="R3" s="174">
        <f t="shared" si="1"/>
        <v>1082</v>
      </c>
      <c r="S3" s="174">
        <f t="shared" si="1"/>
        <v>1115.3333333333333</v>
      </c>
      <c r="T3" s="174">
        <f t="shared" si="1"/>
        <v>1148.6666666666665</v>
      </c>
      <c r="U3" s="174">
        <f t="shared" si="1"/>
        <v>1181.9999999999998</v>
      </c>
      <c r="V3" s="174">
        <f t="shared" si="1"/>
        <v>1215.333333333333</v>
      </c>
      <c r="W3" s="174">
        <f t="shared" si="1"/>
        <v>1248.6666666666663</v>
      </c>
      <c r="X3" s="174">
        <f t="shared" si="1"/>
        <v>1281.9999999999995</v>
      </c>
      <c r="Y3" s="174">
        <f t="shared" si="1"/>
        <v>1315.3333333333328</v>
      </c>
      <c r="Z3" s="174">
        <f t="shared" si="1"/>
        <v>1348.6666666666661</v>
      </c>
      <c r="AA3" s="174">
        <f t="shared" si="1"/>
        <v>1381.9999999999993</v>
      </c>
      <c r="AB3" s="174">
        <f t="shared" si="1"/>
        <v>1415.3333333333326</v>
      </c>
      <c r="AC3" s="174">
        <f t="shared" si="1"/>
        <v>1448.6666666666658</v>
      </c>
    </row>
    <row r="4" spans="1:35" ht="18.75" x14ac:dyDescent="0.3">
      <c r="A4" s="9"/>
      <c r="B4" s="9"/>
      <c r="C4" s="9"/>
      <c r="D4" s="175"/>
      <c r="E4" s="176"/>
      <c r="F4" s="177"/>
      <c r="G4" s="175"/>
      <c r="H4" s="177"/>
      <c r="I4" s="178"/>
      <c r="K4" s="179" t="s">
        <v>275</v>
      </c>
      <c r="L4" s="179"/>
      <c r="M4" s="180">
        <v>0</v>
      </c>
      <c r="N4" s="180">
        <f>M4</f>
        <v>0</v>
      </c>
      <c r="O4" s="180">
        <f t="shared" ref="O4:AC4" si="2">N4-N13+N23</f>
        <v>0</v>
      </c>
      <c r="P4" s="180">
        <f t="shared" si="2"/>
        <v>0</v>
      </c>
      <c r="Q4" s="180">
        <f t="shared" si="2"/>
        <v>0</v>
      </c>
      <c r="R4" s="180">
        <f t="shared" si="2"/>
        <v>0</v>
      </c>
      <c r="S4" s="180">
        <f t="shared" si="2"/>
        <v>0</v>
      </c>
      <c r="T4" s="180">
        <f t="shared" si="2"/>
        <v>0</v>
      </c>
      <c r="U4" s="181">
        <f t="shared" si="2"/>
        <v>0</v>
      </c>
      <c r="V4" s="180">
        <f t="shared" si="2"/>
        <v>0</v>
      </c>
      <c r="W4" s="180">
        <f t="shared" si="2"/>
        <v>0</v>
      </c>
      <c r="X4" s="180">
        <f t="shared" si="2"/>
        <v>0</v>
      </c>
      <c r="Y4" s="180">
        <f t="shared" si="2"/>
        <v>0</v>
      </c>
      <c r="Z4" s="181">
        <f t="shared" si="2"/>
        <v>0</v>
      </c>
      <c r="AA4" s="181">
        <f t="shared" si="2"/>
        <v>0</v>
      </c>
      <c r="AB4" s="181">
        <f t="shared" si="2"/>
        <v>0</v>
      </c>
      <c r="AC4" s="181">
        <f t="shared" si="2"/>
        <v>0</v>
      </c>
    </row>
    <row r="5" spans="1:35" ht="18.75" x14ac:dyDescent="0.3">
      <c r="A5" s="6"/>
      <c r="B5" s="6"/>
      <c r="C5" s="6"/>
      <c r="D5" s="182" t="s">
        <v>276</v>
      </c>
      <c r="E5" s="183">
        <f>SUM(E6:E8)</f>
        <v>843695</v>
      </c>
      <c r="F5" s="184">
        <f>E5/E35</f>
        <v>0.11462950291198785</v>
      </c>
      <c r="G5" s="182" t="s">
        <v>277</v>
      </c>
      <c r="H5" s="185">
        <f>H6+H7</f>
        <v>4397278</v>
      </c>
      <c r="I5" s="186">
        <f>H5/$H$75</f>
        <v>0.64323528796526841</v>
      </c>
      <c r="K5" s="187" t="s">
        <v>278</v>
      </c>
      <c r="L5" s="187"/>
      <c r="M5" s="188">
        <f>N5</f>
        <v>3553583</v>
      </c>
      <c r="N5" s="188">
        <f>AE66</f>
        <v>3553583</v>
      </c>
      <c r="O5" s="188">
        <f t="shared" ref="O5:AC5" si="3">N26</f>
        <v>3774250</v>
      </c>
      <c r="P5" s="188">
        <f t="shared" si="3"/>
        <v>3882149.6044985941</v>
      </c>
      <c r="Q5" s="188">
        <f t="shared" si="3"/>
        <v>3884389.9343955014</v>
      </c>
      <c r="R5" s="188">
        <f t="shared" si="3"/>
        <v>3970976.9090909092</v>
      </c>
      <c r="S5" s="188">
        <f t="shared" si="3"/>
        <v>4077150.5285848174</v>
      </c>
      <c r="T5" s="188">
        <f t="shared" si="3"/>
        <v>4091124.1068416121</v>
      </c>
      <c r="U5" s="189">
        <f t="shared" si="3"/>
        <v>4096396.8547328962</v>
      </c>
      <c r="V5" s="188">
        <f t="shared" si="3"/>
        <v>4222648.126522962</v>
      </c>
      <c r="W5" s="188">
        <f t="shared" si="3"/>
        <v>4238595.9222118091</v>
      </c>
      <c r="X5" s="188">
        <f t="shared" si="3"/>
        <v>4399979.2417994384</v>
      </c>
      <c r="Y5" s="188">
        <f t="shared" si="3"/>
        <v>4426333.5398313031</v>
      </c>
      <c r="Z5" s="189">
        <f t="shared" si="3"/>
        <v>4603752.826616683</v>
      </c>
      <c r="AA5" s="189">
        <f t="shared" si="3"/>
        <v>4639519.5970009379</v>
      </c>
      <c r="AB5" s="189">
        <f t="shared" si="3"/>
        <v>4826279.8509840677</v>
      </c>
      <c r="AC5" s="189">
        <f t="shared" si="3"/>
        <v>4870380.5482661668</v>
      </c>
    </row>
    <row r="6" spans="1:35" x14ac:dyDescent="0.25">
      <c r="A6" s="190" t="str">
        <f t="shared" ref="A6:A13" si="4">L6</f>
        <v>Taquillas</v>
      </c>
      <c r="B6" s="191">
        <f t="shared" ref="B6:B13" si="5">M6/$M$54</f>
        <v>0.1996219934531332</v>
      </c>
      <c r="D6" s="192" t="s">
        <v>279</v>
      </c>
      <c r="E6" s="193">
        <v>574995</v>
      </c>
      <c r="F6" s="194">
        <f>E6/E35</f>
        <v>7.8122296596374832E-2</v>
      </c>
      <c r="G6" s="195" t="s">
        <v>280</v>
      </c>
      <c r="H6" s="196">
        <v>300000</v>
      </c>
      <c r="I6" s="197">
        <f>H6/$H$75</f>
        <v>4.3884099752069465E-2</v>
      </c>
      <c r="K6" s="190" t="s">
        <v>281</v>
      </c>
      <c r="L6" s="190" t="s">
        <v>281</v>
      </c>
      <c r="M6" s="198">
        <f t="shared" ref="M6:M25" si="6">SUM(N6:AE6)</f>
        <v>1136347</v>
      </c>
      <c r="N6" s="199">
        <v>113648</v>
      </c>
      <c r="O6" s="199">
        <f>81809+54656</f>
        <v>136465</v>
      </c>
      <c r="P6" s="199">
        <v>24227</v>
      </c>
      <c r="Q6" s="199">
        <f>85603+17134</f>
        <v>102737</v>
      </c>
      <c r="R6" s="199">
        <f>112814+3673</f>
        <v>116487</v>
      </c>
      <c r="S6" s="199">
        <f>18695</f>
        <v>18695</v>
      </c>
      <c r="T6" s="199">
        <v>5397</v>
      </c>
      <c r="U6" s="199">
        <f>115800+5852</f>
        <v>121652</v>
      </c>
      <c r="V6" s="199">
        <v>6625</v>
      </c>
      <c r="W6" s="199">
        <v>147337</v>
      </c>
      <c r="X6" s="199">
        <v>7779</v>
      </c>
      <c r="Y6" s="199">
        <v>154668</v>
      </c>
      <c r="Z6" s="199">
        <v>8663</v>
      </c>
      <c r="AA6" s="199">
        <v>155304</v>
      </c>
      <c r="AB6" s="199">
        <v>8663</v>
      </c>
      <c r="AC6" s="199">
        <v>8000</v>
      </c>
    </row>
    <row r="7" spans="1:35" x14ac:dyDescent="0.25">
      <c r="A7" s="190" t="str">
        <f t="shared" si="4"/>
        <v>Patrocinadores</v>
      </c>
      <c r="B7" s="191">
        <f t="shared" si="5"/>
        <v>0.29345936751926921</v>
      </c>
      <c r="D7" s="192" t="s">
        <v>213</v>
      </c>
      <c r="E7" s="193">
        <v>268700</v>
      </c>
      <c r="F7" s="194">
        <f>E7/E35</f>
        <v>3.6507206315613036E-2</v>
      </c>
      <c r="G7" s="195" t="s">
        <v>282</v>
      </c>
      <c r="H7" s="196">
        <f>1187500+2909778</f>
        <v>4097278</v>
      </c>
      <c r="I7" s="197">
        <f>H7/$H$75</f>
        <v>0.59935118821319888</v>
      </c>
      <c r="K7" s="190" t="s">
        <v>283</v>
      </c>
      <c r="L7" s="190" t="s">
        <v>283</v>
      </c>
      <c r="M7" s="198">
        <f t="shared" si="6"/>
        <v>1670515.6888472349</v>
      </c>
      <c r="N7" s="199">
        <v>64200</v>
      </c>
      <c r="O7" s="199">
        <v>69765.604498594199</v>
      </c>
      <c r="P7" s="199">
        <v>76444.329896907206</v>
      </c>
      <c r="Q7" s="199">
        <v>82380.974695407713</v>
      </c>
      <c r="R7" s="199">
        <v>88317.619493908089</v>
      </c>
      <c r="S7" s="199">
        <v>94009.578256794703</v>
      </c>
      <c r="T7" s="199">
        <v>98706.747891283987</v>
      </c>
      <c r="U7" s="199">
        <v>103530.27179006601</v>
      </c>
      <c r="V7" s="199">
        <v>108353.79568884701</v>
      </c>
      <c r="W7" s="199">
        <v>113177.319587629</v>
      </c>
      <c r="X7" s="199">
        <v>117806.29803186499</v>
      </c>
      <c r="Y7" s="199">
        <v>122082.28678538</v>
      </c>
      <c r="Z7" s="199">
        <v>126534.770384255</v>
      </c>
      <c r="AA7" s="199">
        <v>130987.25398312999</v>
      </c>
      <c r="AB7" s="199">
        <v>135068.69728209899</v>
      </c>
      <c r="AC7" s="199">
        <v>139150.140581068</v>
      </c>
    </row>
    <row r="8" spans="1:35" x14ac:dyDescent="0.25">
      <c r="A8" s="190" t="str">
        <f t="shared" si="4"/>
        <v>Ventas</v>
      </c>
      <c r="B8" s="191">
        <f t="shared" si="5"/>
        <v>0</v>
      </c>
      <c r="D8" s="200" t="s">
        <v>284</v>
      </c>
      <c r="E8" s="201">
        <v>0</v>
      </c>
      <c r="F8" s="194">
        <f>E8/E35</f>
        <v>0</v>
      </c>
      <c r="G8" s="202"/>
      <c r="H8" s="203"/>
      <c r="I8" s="186"/>
      <c r="K8" s="190" t="s">
        <v>285</v>
      </c>
      <c r="L8" s="190" t="s">
        <v>286</v>
      </c>
      <c r="M8" s="198">
        <f t="shared" si="6"/>
        <v>0</v>
      </c>
      <c r="N8" s="199">
        <v>0</v>
      </c>
      <c r="O8" s="199">
        <v>0</v>
      </c>
      <c r="P8" s="199">
        <v>0</v>
      </c>
      <c r="Q8" s="199">
        <v>0</v>
      </c>
      <c r="R8" s="199">
        <v>0</v>
      </c>
      <c r="S8" s="199">
        <v>0</v>
      </c>
      <c r="T8" s="199">
        <v>0</v>
      </c>
      <c r="U8" s="199">
        <v>0</v>
      </c>
      <c r="V8" s="199">
        <v>0</v>
      </c>
      <c r="W8" s="199">
        <v>0</v>
      </c>
      <c r="X8" s="199">
        <v>0</v>
      </c>
      <c r="Y8" s="199">
        <v>0</v>
      </c>
      <c r="Z8" s="199">
        <v>0</v>
      </c>
      <c r="AA8" s="199">
        <v>0</v>
      </c>
      <c r="AB8" s="199">
        <v>0</v>
      </c>
      <c r="AC8" s="199">
        <v>0</v>
      </c>
      <c r="AG8" s="203"/>
      <c r="AH8" s="203"/>
    </row>
    <row r="9" spans="1:35" x14ac:dyDescent="0.25">
      <c r="A9" s="190" t="str">
        <f t="shared" si="4"/>
        <v>VentasCantera</v>
      </c>
      <c r="B9" s="191">
        <f t="shared" si="5"/>
        <v>0</v>
      </c>
      <c r="D9" s="204"/>
      <c r="E9" s="205"/>
      <c r="F9" s="184"/>
      <c r="G9" s="202"/>
      <c r="H9" s="203"/>
      <c r="I9" s="186"/>
      <c r="K9" s="190"/>
      <c r="L9" s="190" t="s">
        <v>287</v>
      </c>
      <c r="M9" s="198">
        <f t="shared" si="6"/>
        <v>0</v>
      </c>
      <c r="N9" s="199">
        <v>0</v>
      </c>
      <c r="O9" s="199">
        <v>0</v>
      </c>
      <c r="P9" s="199">
        <v>0</v>
      </c>
      <c r="Q9" s="199">
        <v>0</v>
      </c>
      <c r="R9" s="199">
        <v>0</v>
      </c>
      <c r="S9" s="199">
        <v>0</v>
      </c>
      <c r="T9" s="199">
        <v>0</v>
      </c>
      <c r="U9" s="199">
        <v>0</v>
      </c>
      <c r="V9" s="199">
        <v>0</v>
      </c>
      <c r="W9" s="199">
        <v>0</v>
      </c>
      <c r="X9" s="199">
        <v>0</v>
      </c>
      <c r="Y9" s="199">
        <v>0</v>
      </c>
      <c r="Z9" s="199">
        <v>0</v>
      </c>
      <c r="AA9" s="199">
        <v>0</v>
      </c>
      <c r="AB9" s="199">
        <v>0</v>
      </c>
      <c r="AC9" s="199">
        <v>0</v>
      </c>
    </row>
    <row r="10" spans="1:35" x14ac:dyDescent="0.25">
      <c r="A10" s="190" t="str">
        <f t="shared" si="4"/>
        <v>Comisiones</v>
      </c>
      <c r="B10" s="191">
        <f t="shared" si="5"/>
        <v>0</v>
      </c>
      <c r="D10" s="182" t="s">
        <v>288</v>
      </c>
      <c r="E10" s="183">
        <f>E11+E12+E13</f>
        <v>0</v>
      </c>
      <c r="F10" s="184">
        <f>E10/E35</f>
        <v>0</v>
      </c>
      <c r="G10" s="182" t="s">
        <v>289</v>
      </c>
      <c r="H10" s="185">
        <f>SUM(H11:H16)</f>
        <v>1364216.6888472349</v>
      </c>
      <c r="I10" s="186">
        <f t="shared" ref="I10:I16" si="7">H10/$H$75</f>
        <v>0.19955807085603322</v>
      </c>
      <c r="K10" s="190" t="s">
        <v>290</v>
      </c>
      <c r="L10" s="190" t="s">
        <v>290</v>
      </c>
      <c r="M10" s="198">
        <f t="shared" si="6"/>
        <v>0</v>
      </c>
      <c r="N10" s="199">
        <v>0</v>
      </c>
      <c r="O10" s="199">
        <v>0</v>
      </c>
      <c r="P10" s="199">
        <v>0</v>
      </c>
      <c r="Q10" s="199">
        <f t="shared" ref="Q10:T11" si="8">P10</f>
        <v>0</v>
      </c>
      <c r="R10" s="199">
        <f t="shared" si="8"/>
        <v>0</v>
      </c>
      <c r="S10" s="199">
        <f t="shared" si="8"/>
        <v>0</v>
      </c>
      <c r="T10" s="199">
        <f t="shared" si="8"/>
        <v>0</v>
      </c>
      <c r="U10" s="206">
        <v>0</v>
      </c>
      <c r="V10" s="199">
        <v>0</v>
      </c>
      <c r="W10" s="199">
        <v>0</v>
      </c>
      <c r="X10" s="199">
        <f t="shared" ref="X10:AC11" si="9">W10</f>
        <v>0</v>
      </c>
      <c r="Y10" s="199">
        <f t="shared" si="9"/>
        <v>0</v>
      </c>
      <c r="Z10" s="206">
        <f t="shared" si="9"/>
        <v>0</v>
      </c>
      <c r="AA10" s="206">
        <f t="shared" si="9"/>
        <v>0</v>
      </c>
      <c r="AB10" s="206">
        <f t="shared" si="9"/>
        <v>0</v>
      </c>
      <c r="AC10" s="206">
        <f t="shared" si="9"/>
        <v>0</v>
      </c>
    </row>
    <row r="11" spans="1:35" ht="15.4" customHeight="1" x14ac:dyDescent="0.25">
      <c r="A11" s="190" t="str">
        <f t="shared" si="4"/>
        <v>Nuevos Socios</v>
      </c>
      <c r="B11" s="191">
        <f t="shared" si="5"/>
        <v>2.8195023130459162E-3</v>
      </c>
      <c r="D11" s="207" t="s">
        <v>291</v>
      </c>
      <c r="E11" s="208">
        <f>N4</f>
        <v>0</v>
      </c>
      <c r="F11" s="194">
        <f>E11/E35</f>
        <v>0</v>
      </c>
      <c r="G11" s="209" t="s">
        <v>292</v>
      </c>
      <c r="H11" s="210">
        <v>0</v>
      </c>
      <c r="I11" s="197">
        <f t="shared" si="7"/>
        <v>0</v>
      </c>
      <c r="K11" s="457" t="s">
        <v>293</v>
      </c>
      <c r="L11" s="190" t="s">
        <v>294</v>
      </c>
      <c r="M11" s="198">
        <f t="shared" si="6"/>
        <v>16050</v>
      </c>
      <c r="N11" s="199">
        <f>570+480</f>
        <v>1050</v>
      </c>
      <c r="O11" s="199">
        <v>1000</v>
      </c>
      <c r="P11" s="199">
        <f>O11</f>
        <v>1000</v>
      </c>
      <c r="Q11" s="199">
        <f t="shared" si="8"/>
        <v>1000</v>
      </c>
      <c r="R11" s="199">
        <f t="shared" si="8"/>
        <v>1000</v>
      </c>
      <c r="S11" s="199">
        <f t="shared" si="8"/>
        <v>1000</v>
      </c>
      <c r="T11" s="199">
        <f t="shared" si="8"/>
        <v>1000</v>
      </c>
      <c r="U11" s="199">
        <f>T11</f>
        <v>1000</v>
      </c>
      <c r="V11" s="199">
        <f>U11</f>
        <v>1000</v>
      </c>
      <c r="W11" s="199">
        <f>V11</f>
        <v>1000</v>
      </c>
      <c r="X11" s="199">
        <f t="shared" si="9"/>
        <v>1000</v>
      </c>
      <c r="Y11" s="199">
        <f t="shared" si="9"/>
        <v>1000</v>
      </c>
      <c r="Z11" s="199">
        <f t="shared" si="9"/>
        <v>1000</v>
      </c>
      <c r="AA11" s="199">
        <f t="shared" si="9"/>
        <v>1000</v>
      </c>
      <c r="AB11" s="199">
        <f t="shared" si="9"/>
        <v>1000</v>
      </c>
      <c r="AC11" s="199">
        <f t="shared" si="9"/>
        <v>1000</v>
      </c>
    </row>
    <row r="12" spans="1:35" x14ac:dyDescent="0.25">
      <c r="A12" s="190" t="str">
        <f t="shared" si="4"/>
        <v>Premios</v>
      </c>
      <c r="B12" s="191">
        <f t="shared" si="5"/>
        <v>2.4593789646506433E-2</v>
      </c>
      <c r="D12" s="207" t="str">
        <f>L13</f>
        <v>Ing Reservas</v>
      </c>
      <c r="E12" s="208">
        <f>M13*-1</f>
        <v>0</v>
      </c>
      <c r="F12" s="194">
        <f>E12/E35</f>
        <v>0</v>
      </c>
      <c r="G12" s="209" t="s">
        <v>295</v>
      </c>
      <c r="H12" s="210">
        <v>0</v>
      </c>
      <c r="I12" s="197">
        <f t="shared" si="7"/>
        <v>0</v>
      </c>
      <c r="K12" s="457"/>
      <c r="L12" s="190" t="s">
        <v>296</v>
      </c>
      <c r="M12" s="198">
        <f t="shared" si="6"/>
        <v>140000</v>
      </c>
      <c r="N12" s="199">
        <v>140000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206">
        <v>0</v>
      </c>
      <c r="V12" s="199">
        <v>0</v>
      </c>
      <c r="W12" s="199">
        <v>0</v>
      </c>
      <c r="X12" s="199">
        <v>0</v>
      </c>
      <c r="Y12" s="199">
        <v>0</v>
      </c>
      <c r="Z12" s="206">
        <v>0</v>
      </c>
      <c r="AA12" s="206">
        <v>0</v>
      </c>
      <c r="AB12" s="206">
        <v>0</v>
      </c>
      <c r="AC12" s="206">
        <v>0</v>
      </c>
    </row>
    <row r="13" spans="1:35" ht="18.75" x14ac:dyDescent="0.3">
      <c r="A13" s="190" t="str">
        <f t="shared" si="4"/>
        <v>Ing Reservas</v>
      </c>
      <c r="B13" s="191">
        <f t="shared" si="5"/>
        <v>0</v>
      </c>
      <c r="C13" s="211"/>
      <c r="D13" s="207" t="str">
        <f>L23</f>
        <v>Pago Reservas</v>
      </c>
      <c r="E13" s="208">
        <f>M23</f>
        <v>0</v>
      </c>
      <c r="F13" s="194">
        <f>E13/E35</f>
        <v>0</v>
      </c>
      <c r="G13" s="209" t="s">
        <v>297</v>
      </c>
      <c r="H13" s="210">
        <v>0</v>
      </c>
      <c r="I13" s="197">
        <f t="shared" si="7"/>
        <v>0</v>
      </c>
      <c r="J13" s="212"/>
      <c r="K13" s="457"/>
      <c r="L13" s="190" t="s">
        <v>298</v>
      </c>
      <c r="M13" s="198">
        <f t="shared" si="6"/>
        <v>0</v>
      </c>
      <c r="N13" s="199">
        <v>0</v>
      </c>
      <c r="O13" s="199">
        <v>0</v>
      </c>
      <c r="P13" s="199">
        <f t="shared" ref="P13:AC13" si="10">O13</f>
        <v>0</v>
      </c>
      <c r="Q13" s="199">
        <f t="shared" si="10"/>
        <v>0</v>
      </c>
      <c r="R13" s="199">
        <f t="shared" si="10"/>
        <v>0</v>
      </c>
      <c r="S13" s="199">
        <f t="shared" si="10"/>
        <v>0</v>
      </c>
      <c r="T13" s="199">
        <f t="shared" si="10"/>
        <v>0</v>
      </c>
      <c r="U13" s="206">
        <f t="shared" si="10"/>
        <v>0</v>
      </c>
      <c r="V13" s="199">
        <f t="shared" si="10"/>
        <v>0</v>
      </c>
      <c r="W13" s="199">
        <f t="shared" si="10"/>
        <v>0</v>
      </c>
      <c r="X13" s="199">
        <f t="shared" si="10"/>
        <v>0</v>
      </c>
      <c r="Y13" s="199">
        <f t="shared" si="10"/>
        <v>0</v>
      </c>
      <c r="Z13" s="206">
        <f t="shared" si="10"/>
        <v>0</v>
      </c>
      <c r="AA13" s="206">
        <f t="shared" si="10"/>
        <v>0</v>
      </c>
      <c r="AB13" s="206">
        <f t="shared" si="10"/>
        <v>0</v>
      </c>
      <c r="AC13" s="206">
        <f t="shared" si="10"/>
        <v>0</v>
      </c>
      <c r="AD13" s="212"/>
      <c r="AE13" s="212"/>
      <c r="AF13" s="212"/>
      <c r="AG13" s="212"/>
      <c r="AH13" s="212"/>
      <c r="AI13" s="212"/>
    </row>
    <row r="14" spans="1:35" ht="18.75" x14ac:dyDescent="0.3">
      <c r="A14" s="211"/>
      <c r="B14" s="213">
        <f>SUM(B6:B13)</f>
        <v>0.52049465293195474</v>
      </c>
      <c r="D14" s="204"/>
      <c r="E14" s="214"/>
      <c r="G14" s="209" t="s">
        <v>299</v>
      </c>
      <c r="H14" s="210">
        <v>0</v>
      </c>
      <c r="I14" s="197">
        <f t="shared" si="7"/>
        <v>0</v>
      </c>
      <c r="K14" s="215" t="s">
        <v>300</v>
      </c>
      <c r="L14" s="216"/>
      <c r="M14" s="217">
        <f t="shared" si="6"/>
        <v>2962912.6888472349</v>
      </c>
      <c r="N14" s="218">
        <f t="shared" ref="N14:AC14" si="11">SUM(N6:N13)</f>
        <v>318898</v>
      </c>
      <c r="O14" s="218">
        <f t="shared" si="11"/>
        <v>207230.60449859418</v>
      </c>
      <c r="P14" s="218">
        <f t="shared" si="11"/>
        <v>101671.32989690721</v>
      </c>
      <c r="Q14" s="218">
        <f t="shared" si="11"/>
        <v>186117.97469540773</v>
      </c>
      <c r="R14" s="218">
        <f t="shared" si="11"/>
        <v>205804.61949390807</v>
      </c>
      <c r="S14" s="218">
        <f t="shared" si="11"/>
        <v>113704.5782567947</v>
      </c>
      <c r="T14" s="218">
        <f t="shared" si="11"/>
        <v>105103.74789128399</v>
      </c>
      <c r="U14" s="218">
        <f t="shared" si="11"/>
        <v>226182.27179006601</v>
      </c>
      <c r="V14" s="218">
        <f t="shared" si="11"/>
        <v>115978.79568884701</v>
      </c>
      <c r="W14" s="218">
        <f t="shared" si="11"/>
        <v>261514.319587629</v>
      </c>
      <c r="X14" s="218">
        <f t="shared" si="11"/>
        <v>126585.29803186499</v>
      </c>
      <c r="Y14" s="218">
        <f t="shared" si="11"/>
        <v>277750.28678537998</v>
      </c>
      <c r="Z14" s="218">
        <f t="shared" si="11"/>
        <v>136197.77038425498</v>
      </c>
      <c r="AA14" s="218">
        <f t="shared" si="11"/>
        <v>287291.25398312998</v>
      </c>
      <c r="AB14" s="218">
        <f t="shared" si="11"/>
        <v>144731.69728209899</v>
      </c>
      <c r="AC14" s="218">
        <f t="shared" si="11"/>
        <v>148150.140581068</v>
      </c>
    </row>
    <row r="15" spans="1:35" ht="18.75" x14ac:dyDescent="0.3">
      <c r="A15" s="458">
        <f>M14</f>
        <v>2962912.6888472349</v>
      </c>
      <c r="B15" s="458"/>
      <c r="D15" s="182" t="s">
        <v>301</v>
      </c>
      <c r="E15" s="183">
        <f>SUM(E16:E19)</f>
        <v>0</v>
      </c>
      <c r="F15" s="184">
        <f>E15/E35</f>
        <v>0</v>
      </c>
      <c r="G15" s="209" t="s">
        <v>302</v>
      </c>
      <c r="H15" s="210">
        <v>0</v>
      </c>
      <c r="I15" s="197">
        <f t="shared" si="7"/>
        <v>0</v>
      </c>
      <c r="K15" s="219" t="s">
        <v>204</v>
      </c>
      <c r="L15" s="220" t="str">
        <f>K15</f>
        <v>Sueldos</v>
      </c>
      <c r="M15" s="221">
        <f t="shared" si="6"/>
        <v>146720</v>
      </c>
      <c r="N15" s="222">
        <f>AE55</f>
        <v>8420</v>
      </c>
      <c r="O15" s="222">
        <f t="shared" ref="O15:AC15" si="12">N15+100</f>
        <v>8520</v>
      </c>
      <c r="P15" s="222">
        <f t="shared" si="12"/>
        <v>8620</v>
      </c>
      <c r="Q15" s="222">
        <f t="shared" si="12"/>
        <v>8720</v>
      </c>
      <c r="R15" s="222">
        <f t="shared" si="12"/>
        <v>8820</v>
      </c>
      <c r="S15" s="222">
        <f t="shared" si="12"/>
        <v>8920</v>
      </c>
      <c r="T15" s="222">
        <f t="shared" si="12"/>
        <v>9020</v>
      </c>
      <c r="U15" s="222">
        <f t="shared" si="12"/>
        <v>9120</v>
      </c>
      <c r="V15" s="222">
        <f t="shared" si="12"/>
        <v>9220</v>
      </c>
      <c r="W15" s="222">
        <f t="shared" si="12"/>
        <v>9320</v>
      </c>
      <c r="X15" s="222">
        <f t="shared" si="12"/>
        <v>9420</v>
      </c>
      <c r="Y15" s="222">
        <f t="shared" si="12"/>
        <v>9520</v>
      </c>
      <c r="Z15" s="222">
        <f t="shared" si="12"/>
        <v>9620</v>
      </c>
      <c r="AA15" s="222">
        <f t="shared" si="12"/>
        <v>9720</v>
      </c>
      <c r="AB15" s="222">
        <f t="shared" si="12"/>
        <v>9820</v>
      </c>
      <c r="AC15" s="222">
        <f t="shared" si="12"/>
        <v>9920</v>
      </c>
    </row>
    <row r="16" spans="1:35" x14ac:dyDescent="0.25">
      <c r="D16" s="207" t="s">
        <v>303</v>
      </c>
      <c r="E16" s="208">
        <v>0</v>
      </c>
      <c r="F16" s="194">
        <f>E16/E35</f>
        <v>0</v>
      </c>
      <c r="G16" s="223" t="s">
        <v>304</v>
      </c>
      <c r="H16" s="224">
        <f>E29-H26</f>
        <v>1364216.6888472349</v>
      </c>
      <c r="I16" s="197">
        <f t="shared" si="7"/>
        <v>0.19955807085603322</v>
      </c>
      <c r="K16" s="219" t="s">
        <v>305</v>
      </c>
      <c r="L16" s="220" t="str">
        <f>K16</f>
        <v xml:space="preserve">Mantenimiento </v>
      </c>
      <c r="M16" s="221">
        <f t="shared" si="6"/>
        <v>203056</v>
      </c>
      <c r="N16" s="222">
        <v>12691</v>
      </c>
      <c r="O16" s="222">
        <f t="shared" ref="O16:AC16" si="13">N16</f>
        <v>12691</v>
      </c>
      <c r="P16" s="222">
        <f t="shared" si="13"/>
        <v>12691</v>
      </c>
      <c r="Q16" s="222">
        <f t="shared" si="13"/>
        <v>12691</v>
      </c>
      <c r="R16" s="222">
        <f t="shared" si="13"/>
        <v>12691</v>
      </c>
      <c r="S16" s="222">
        <f t="shared" si="13"/>
        <v>12691</v>
      </c>
      <c r="T16" s="222">
        <f t="shared" si="13"/>
        <v>12691</v>
      </c>
      <c r="U16" s="222">
        <f t="shared" si="13"/>
        <v>12691</v>
      </c>
      <c r="V16" s="222">
        <f t="shared" si="13"/>
        <v>12691</v>
      </c>
      <c r="W16" s="222">
        <f t="shared" si="13"/>
        <v>12691</v>
      </c>
      <c r="X16" s="222">
        <f t="shared" si="13"/>
        <v>12691</v>
      </c>
      <c r="Y16" s="222">
        <f t="shared" si="13"/>
        <v>12691</v>
      </c>
      <c r="Z16" s="222">
        <f t="shared" si="13"/>
        <v>12691</v>
      </c>
      <c r="AA16" s="222">
        <f t="shared" si="13"/>
        <v>12691</v>
      </c>
      <c r="AB16" s="222">
        <f t="shared" si="13"/>
        <v>12691</v>
      </c>
      <c r="AC16" s="222">
        <f t="shared" si="13"/>
        <v>12691</v>
      </c>
    </row>
    <row r="17" spans="1:29" ht="20.25" customHeight="1" x14ac:dyDescent="0.25">
      <c r="D17" s="207" t="s">
        <v>301</v>
      </c>
      <c r="E17" s="208">
        <v>0</v>
      </c>
      <c r="F17" s="194">
        <f>E17/E35</f>
        <v>0</v>
      </c>
      <c r="G17" s="204"/>
      <c r="H17" s="203"/>
      <c r="I17" s="225"/>
      <c r="K17" s="219" t="s">
        <v>306</v>
      </c>
      <c r="L17" s="220" t="s">
        <v>279</v>
      </c>
      <c r="M17" s="221">
        <f t="shared" si="6"/>
        <v>0</v>
      </c>
      <c r="N17" s="222">
        <v>0</v>
      </c>
      <c r="O17" s="222">
        <f t="shared" ref="O17:AC17" si="14">N17</f>
        <v>0</v>
      </c>
      <c r="P17" s="222">
        <f t="shared" si="14"/>
        <v>0</v>
      </c>
      <c r="Q17" s="222">
        <f t="shared" si="14"/>
        <v>0</v>
      </c>
      <c r="R17" s="222">
        <f t="shared" si="14"/>
        <v>0</v>
      </c>
      <c r="S17" s="222">
        <f t="shared" si="14"/>
        <v>0</v>
      </c>
      <c r="T17" s="222">
        <f t="shared" si="14"/>
        <v>0</v>
      </c>
      <c r="U17" s="222">
        <f t="shared" si="14"/>
        <v>0</v>
      </c>
      <c r="V17" s="222">
        <f t="shared" si="14"/>
        <v>0</v>
      </c>
      <c r="W17" s="222">
        <f t="shared" si="14"/>
        <v>0</v>
      </c>
      <c r="X17" s="222">
        <f t="shared" si="14"/>
        <v>0</v>
      </c>
      <c r="Y17" s="222">
        <f t="shared" si="14"/>
        <v>0</v>
      </c>
      <c r="Z17" s="222">
        <f t="shared" si="14"/>
        <v>0</v>
      </c>
      <c r="AA17" s="222">
        <f t="shared" si="14"/>
        <v>0</v>
      </c>
      <c r="AB17" s="222">
        <f t="shared" si="14"/>
        <v>0</v>
      </c>
      <c r="AC17" s="222">
        <f t="shared" si="14"/>
        <v>0</v>
      </c>
    </row>
    <row r="18" spans="1:29" x14ac:dyDescent="0.25">
      <c r="D18" s="207" t="s">
        <v>307</v>
      </c>
      <c r="E18" s="208">
        <v>0</v>
      </c>
      <c r="F18" s="194">
        <f>E18/E35</f>
        <v>0</v>
      </c>
      <c r="G18" s="182" t="s">
        <v>308</v>
      </c>
      <c r="H18" s="226">
        <f>H19</f>
        <v>0</v>
      </c>
      <c r="I18" s="186">
        <f>H18/$H$75</f>
        <v>0</v>
      </c>
      <c r="K18" s="219" t="s">
        <v>309</v>
      </c>
      <c r="L18" s="220" t="str">
        <f>K18</f>
        <v>Empleados</v>
      </c>
      <c r="M18" s="221">
        <f t="shared" si="6"/>
        <v>913920</v>
      </c>
      <c r="N18" s="222">
        <v>57120</v>
      </c>
      <c r="O18" s="222">
        <f t="shared" ref="O18:AC18" si="15">N18</f>
        <v>57120</v>
      </c>
      <c r="P18" s="222">
        <f t="shared" si="15"/>
        <v>57120</v>
      </c>
      <c r="Q18" s="222">
        <f t="shared" si="15"/>
        <v>57120</v>
      </c>
      <c r="R18" s="222">
        <f t="shared" si="15"/>
        <v>57120</v>
      </c>
      <c r="S18" s="222">
        <f t="shared" si="15"/>
        <v>57120</v>
      </c>
      <c r="T18" s="222">
        <f t="shared" si="15"/>
        <v>57120</v>
      </c>
      <c r="U18" s="222">
        <f t="shared" si="15"/>
        <v>57120</v>
      </c>
      <c r="V18" s="222">
        <f t="shared" si="15"/>
        <v>57120</v>
      </c>
      <c r="W18" s="222">
        <f t="shared" si="15"/>
        <v>57120</v>
      </c>
      <c r="X18" s="222">
        <f t="shared" si="15"/>
        <v>57120</v>
      </c>
      <c r="Y18" s="222">
        <f t="shared" si="15"/>
        <v>57120</v>
      </c>
      <c r="Z18" s="222">
        <f t="shared" si="15"/>
        <v>57120</v>
      </c>
      <c r="AA18" s="222">
        <f t="shared" si="15"/>
        <v>57120</v>
      </c>
      <c r="AB18" s="222">
        <f t="shared" si="15"/>
        <v>57120</v>
      </c>
      <c r="AC18" s="222">
        <f t="shared" si="15"/>
        <v>57120</v>
      </c>
    </row>
    <row r="19" spans="1:29" x14ac:dyDescent="0.25">
      <c r="D19" s="207" t="s">
        <v>310</v>
      </c>
      <c r="E19" s="208">
        <v>0</v>
      </c>
      <c r="F19" s="194">
        <f>E19/E35</f>
        <v>0</v>
      </c>
      <c r="G19" s="227" t="s">
        <v>311</v>
      </c>
      <c r="H19" s="228">
        <f>M20</f>
        <v>0</v>
      </c>
      <c r="I19" s="197">
        <f>H19/$H$75</f>
        <v>0</v>
      </c>
      <c r="K19" s="219" t="s">
        <v>312</v>
      </c>
      <c r="L19" s="220" t="str">
        <f>K19</f>
        <v>Juveniles</v>
      </c>
      <c r="M19" s="221">
        <f t="shared" si="6"/>
        <v>320000</v>
      </c>
      <c r="N19" s="222">
        <v>20000</v>
      </c>
      <c r="O19" s="222">
        <v>20000</v>
      </c>
      <c r="P19" s="222">
        <v>20000</v>
      </c>
      <c r="Q19" s="222">
        <v>20000</v>
      </c>
      <c r="R19" s="222">
        <v>20000</v>
      </c>
      <c r="S19" s="222">
        <v>20000</v>
      </c>
      <c r="T19" s="222">
        <v>20000</v>
      </c>
      <c r="U19" s="222">
        <v>20000</v>
      </c>
      <c r="V19" s="222">
        <v>20000</v>
      </c>
      <c r="W19" s="222">
        <v>20000</v>
      </c>
      <c r="X19" s="222">
        <v>20000</v>
      </c>
      <c r="Y19" s="222">
        <v>20000</v>
      </c>
      <c r="Z19" s="222">
        <v>20000</v>
      </c>
      <c r="AA19" s="222">
        <v>20000</v>
      </c>
      <c r="AB19" s="222">
        <v>20000</v>
      </c>
      <c r="AC19" s="222">
        <v>20000</v>
      </c>
    </row>
    <row r="20" spans="1:29" ht="18.75" customHeight="1" x14ac:dyDescent="0.25">
      <c r="D20" s="204"/>
      <c r="E20" s="214"/>
      <c r="G20" s="202"/>
      <c r="H20" s="203"/>
      <c r="I20" s="197"/>
      <c r="K20" s="219" t="s">
        <v>313</v>
      </c>
      <c r="L20" s="220" t="s">
        <v>311</v>
      </c>
      <c r="M20" s="221">
        <f t="shared" si="6"/>
        <v>0</v>
      </c>
      <c r="N20" s="222">
        <v>0</v>
      </c>
      <c r="O20" s="222">
        <v>0</v>
      </c>
      <c r="P20" s="222">
        <v>0</v>
      </c>
      <c r="Q20" s="222">
        <v>0</v>
      </c>
      <c r="R20" s="222">
        <v>0</v>
      </c>
      <c r="S20" s="222">
        <v>0</v>
      </c>
      <c r="T20" s="222">
        <v>0</v>
      </c>
      <c r="U20" s="222">
        <v>0</v>
      </c>
      <c r="V20" s="222">
        <v>0</v>
      </c>
      <c r="W20" s="222">
        <v>0</v>
      </c>
      <c r="X20" s="222">
        <v>0</v>
      </c>
      <c r="Y20" s="222">
        <v>0</v>
      </c>
      <c r="Z20" s="222">
        <v>0</v>
      </c>
      <c r="AA20" s="222">
        <v>0</v>
      </c>
      <c r="AB20" s="222">
        <v>0</v>
      </c>
      <c r="AC20" s="222">
        <v>0</v>
      </c>
    </row>
    <row r="21" spans="1:29" ht="15.4" customHeight="1" x14ac:dyDescent="0.25">
      <c r="D21" s="182" t="s">
        <v>286</v>
      </c>
      <c r="E21" s="229">
        <f>E22</f>
        <v>0</v>
      </c>
      <c r="F21" s="184">
        <f>E21/E35</f>
        <v>0</v>
      </c>
      <c r="G21" s="202"/>
      <c r="H21" s="203"/>
      <c r="I21" s="197"/>
      <c r="K21" s="459" t="s">
        <v>293</v>
      </c>
      <c r="L21" s="220" t="s">
        <v>213</v>
      </c>
      <c r="M21" s="221">
        <f t="shared" si="6"/>
        <v>0</v>
      </c>
      <c r="N21" s="222">
        <v>0</v>
      </c>
      <c r="O21" s="222">
        <v>0</v>
      </c>
      <c r="P21" s="222">
        <v>0</v>
      </c>
      <c r="Q21" s="222">
        <v>0</v>
      </c>
      <c r="R21" s="222">
        <v>0</v>
      </c>
      <c r="S21" s="222">
        <v>0</v>
      </c>
      <c r="T21" s="222">
        <v>0</v>
      </c>
      <c r="U21" s="222">
        <v>0</v>
      </c>
      <c r="V21" s="222">
        <v>0</v>
      </c>
      <c r="W21" s="222">
        <v>0</v>
      </c>
      <c r="X21" s="222">
        <v>0</v>
      </c>
      <c r="Y21" s="222">
        <v>0</v>
      </c>
      <c r="Z21" s="222">
        <v>0</v>
      </c>
      <c r="AA21" s="222">
        <v>0</v>
      </c>
      <c r="AB21" s="222">
        <v>0</v>
      </c>
      <c r="AC21" s="222">
        <v>0</v>
      </c>
    </row>
    <row r="22" spans="1:29" x14ac:dyDescent="0.25">
      <c r="D22" s="207" t="s">
        <v>286</v>
      </c>
      <c r="E22" s="208">
        <f>M8+M9</f>
        <v>0</v>
      </c>
      <c r="F22" s="194">
        <f>E22/E35</f>
        <v>0</v>
      </c>
      <c r="G22" s="182" t="s">
        <v>314</v>
      </c>
      <c r="H22" s="185">
        <f>SUM(H23:H24)</f>
        <v>0</v>
      </c>
      <c r="I22" s="186">
        <f>H22/$H$75</f>
        <v>0</v>
      </c>
      <c r="K22" s="459"/>
      <c r="L22" s="220" t="s">
        <v>315</v>
      </c>
      <c r="M22" s="221">
        <f t="shared" si="6"/>
        <v>15000</v>
      </c>
      <c r="N22" s="222">
        <v>0</v>
      </c>
      <c r="O22" s="222">
        <v>1000</v>
      </c>
      <c r="P22" s="222">
        <f t="shared" ref="P22:AC22" si="16">O22</f>
        <v>1000</v>
      </c>
      <c r="Q22" s="222">
        <f t="shared" si="16"/>
        <v>1000</v>
      </c>
      <c r="R22" s="222">
        <f t="shared" si="16"/>
        <v>1000</v>
      </c>
      <c r="S22" s="222">
        <f t="shared" si="16"/>
        <v>1000</v>
      </c>
      <c r="T22" s="222">
        <f t="shared" si="16"/>
        <v>1000</v>
      </c>
      <c r="U22" s="222">
        <f t="shared" si="16"/>
        <v>1000</v>
      </c>
      <c r="V22" s="222">
        <f t="shared" si="16"/>
        <v>1000</v>
      </c>
      <c r="W22" s="222">
        <f t="shared" si="16"/>
        <v>1000</v>
      </c>
      <c r="X22" s="222">
        <f t="shared" si="16"/>
        <v>1000</v>
      </c>
      <c r="Y22" s="222">
        <f t="shared" si="16"/>
        <v>1000</v>
      </c>
      <c r="Z22" s="222">
        <f t="shared" si="16"/>
        <v>1000</v>
      </c>
      <c r="AA22" s="222">
        <f t="shared" si="16"/>
        <v>1000</v>
      </c>
      <c r="AB22" s="222">
        <f t="shared" si="16"/>
        <v>1000</v>
      </c>
      <c r="AC22" s="222">
        <f t="shared" si="16"/>
        <v>1000</v>
      </c>
    </row>
    <row r="23" spans="1:29" ht="15.75" customHeight="1" x14ac:dyDescent="0.3">
      <c r="C23" s="230"/>
      <c r="D23" s="204"/>
      <c r="E23" s="214"/>
      <c r="G23" s="227" t="s">
        <v>279</v>
      </c>
      <c r="H23" s="231">
        <f>M17</f>
        <v>0</v>
      </c>
      <c r="I23" s="197">
        <f>H23/$H$75</f>
        <v>0</v>
      </c>
      <c r="K23" s="459"/>
      <c r="L23" s="220" t="s">
        <v>316</v>
      </c>
      <c r="M23" s="221">
        <f t="shared" si="6"/>
        <v>0</v>
      </c>
      <c r="N23" s="222">
        <v>0</v>
      </c>
      <c r="O23" s="222">
        <v>0</v>
      </c>
      <c r="P23" s="222">
        <v>0</v>
      </c>
      <c r="Q23" s="222">
        <v>0</v>
      </c>
      <c r="R23" s="222">
        <v>0</v>
      </c>
      <c r="S23" s="222">
        <v>0</v>
      </c>
      <c r="T23" s="222">
        <v>0</v>
      </c>
      <c r="U23" s="222">
        <v>0</v>
      </c>
      <c r="V23" s="222">
        <v>0</v>
      </c>
      <c r="W23" s="222">
        <v>0</v>
      </c>
      <c r="X23" s="222">
        <v>0</v>
      </c>
      <c r="Y23" s="222">
        <v>0</v>
      </c>
      <c r="Z23" s="222">
        <v>0</v>
      </c>
      <c r="AA23" s="222">
        <v>0</v>
      </c>
      <c r="AB23" s="222">
        <v>0</v>
      </c>
      <c r="AC23" s="222">
        <v>0</v>
      </c>
    </row>
    <row r="24" spans="1:29" ht="18.75" x14ac:dyDescent="0.3">
      <c r="A24" s="220" t="str">
        <f t="shared" ref="A24:A31" si="17">L15</f>
        <v>Sueldos</v>
      </c>
      <c r="B24" s="232">
        <f t="shared" ref="B24:B31" si="18">M15/$M$65</f>
        <v>6.0157996745268685E-2</v>
      </c>
      <c r="C24" s="6"/>
      <c r="D24" s="182" t="s">
        <v>317</v>
      </c>
      <c r="E24" s="183">
        <f>E25+E26-E27</f>
        <v>3553583</v>
      </c>
      <c r="F24" s="184">
        <f>E24/E35</f>
        <v>0.48281126810813213</v>
      </c>
      <c r="G24" s="227" t="s">
        <v>213</v>
      </c>
      <c r="H24" s="231">
        <f>M21</f>
        <v>0</v>
      </c>
      <c r="I24" s="197">
        <f>H24/$H$75</f>
        <v>0</v>
      </c>
      <c r="K24" s="219" t="s">
        <v>318</v>
      </c>
      <c r="L24" s="220" t="str">
        <f>K24</f>
        <v>Intereses</v>
      </c>
      <c r="M24" s="221">
        <f t="shared" si="6"/>
        <v>0</v>
      </c>
      <c r="N24" s="222">
        <v>0</v>
      </c>
      <c r="O24" s="222">
        <v>0</v>
      </c>
      <c r="P24" s="222">
        <v>0</v>
      </c>
      <c r="Q24" s="222">
        <v>0</v>
      </c>
      <c r="R24" s="222">
        <v>0</v>
      </c>
      <c r="S24" s="222">
        <v>0</v>
      </c>
      <c r="T24" s="222">
        <v>0</v>
      </c>
      <c r="U24" s="222">
        <v>0</v>
      </c>
      <c r="V24" s="222">
        <v>0</v>
      </c>
      <c r="W24" s="222">
        <v>0</v>
      </c>
      <c r="X24" s="222">
        <v>0</v>
      </c>
      <c r="Y24" s="222">
        <v>0</v>
      </c>
      <c r="Z24" s="222">
        <v>0</v>
      </c>
      <c r="AA24" s="222">
        <v>0</v>
      </c>
      <c r="AB24" s="222">
        <v>0</v>
      </c>
      <c r="AC24" s="222">
        <v>0</v>
      </c>
    </row>
    <row r="25" spans="1:29" ht="18.75" x14ac:dyDescent="0.3">
      <c r="A25" s="220" t="str">
        <f t="shared" si="17"/>
        <v xml:space="preserve">Mantenimiento </v>
      </c>
      <c r="B25" s="232">
        <f t="shared" si="18"/>
        <v>8.3256830610055066E-2</v>
      </c>
      <c r="C25" s="168"/>
      <c r="D25" s="209" t="s">
        <v>319</v>
      </c>
      <c r="E25" s="233">
        <f>N5</f>
        <v>3553583</v>
      </c>
      <c r="F25" s="194">
        <f>E25/E35</f>
        <v>0.48281126810813213</v>
      </c>
      <c r="G25" s="202"/>
      <c r="H25" s="203"/>
      <c r="I25" s="197"/>
      <c r="K25" s="234" t="s">
        <v>320</v>
      </c>
      <c r="L25" s="235"/>
      <c r="M25" s="236">
        <f t="shared" si="6"/>
        <v>1598696</v>
      </c>
      <c r="N25" s="237">
        <f t="shared" ref="N25:AC25" si="19">SUM(N15:N24)</f>
        <v>98231</v>
      </c>
      <c r="O25" s="237">
        <f t="shared" si="19"/>
        <v>99331</v>
      </c>
      <c r="P25" s="237">
        <f t="shared" si="19"/>
        <v>99431</v>
      </c>
      <c r="Q25" s="237">
        <f t="shared" si="19"/>
        <v>99531</v>
      </c>
      <c r="R25" s="237">
        <f t="shared" si="19"/>
        <v>99631</v>
      </c>
      <c r="S25" s="237">
        <f t="shared" si="19"/>
        <v>99731</v>
      </c>
      <c r="T25" s="237">
        <f t="shared" si="19"/>
        <v>99831</v>
      </c>
      <c r="U25" s="237">
        <f t="shared" si="19"/>
        <v>99931</v>
      </c>
      <c r="V25" s="237">
        <f t="shared" si="19"/>
        <v>100031</v>
      </c>
      <c r="W25" s="237">
        <f t="shared" si="19"/>
        <v>100131</v>
      </c>
      <c r="X25" s="237">
        <f t="shared" si="19"/>
        <v>100231</v>
      </c>
      <c r="Y25" s="237">
        <f t="shared" si="19"/>
        <v>100331</v>
      </c>
      <c r="Z25" s="237">
        <f t="shared" si="19"/>
        <v>100431</v>
      </c>
      <c r="AA25" s="237">
        <f t="shared" si="19"/>
        <v>100531</v>
      </c>
      <c r="AB25" s="237">
        <f t="shared" si="19"/>
        <v>100631</v>
      </c>
      <c r="AC25" s="237">
        <f t="shared" si="19"/>
        <v>100731</v>
      </c>
    </row>
    <row r="26" spans="1:29" ht="18.75" x14ac:dyDescent="0.3">
      <c r="A26" s="220" t="str">
        <f t="shared" si="17"/>
        <v>Estadio</v>
      </c>
      <c r="B26" s="232">
        <f t="shared" si="18"/>
        <v>0</v>
      </c>
      <c r="C26" s="9"/>
      <c r="D26" s="209" t="str">
        <f>D12</f>
        <v>Ing Reservas</v>
      </c>
      <c r="E26" s="233">
        <f>M13</f>
        <v>0</v>
      </c>
      <c r="F26" s="194">
        <f>E26/E35</f>
        <v>0</v>
      </c>
      <c r="G26" s="182" t="s">
        <v>321</v>
      </c>
      <c r="H26" s="185">
        <f>SUM(H27:H32)</f>
        <v>1598696</v>
      </c>
      <c r="I26" s="186">
        <f t="shared" ref="I26:I32" si="20">H26/$H$75</f>
        <v>0.23385778245744815</v>
      </c>
      <c r="K26" s="238" t="s">
        <v>322</v>
      </c>
      <c r="L26" s="238"/>
      <c r="M26" s="189">
        <f t="shared" ref="M26:AC26" si="21">M5+M14-M25</f>
        <v>4917799.6888472345</v>
      </c>
      <c r="N26" s="189">
        <f t="shared" si="21"/>
        <v>3774250</v>
      </c>
      <c r="O26" s="189">
        <f t="shared" si="21"/>
        <v>3882149.6044985941</v>
      </c>
      <c r="P26" s="189">
        <f t="shared" si="21"/>
        <v>3884389.9343955014</v>
      </c>
      <c r="Q26" s="189">
        <f t="shared" si="21"/>
        <v>3970976.9090909092</v>
      </c>
      <c r="R26" s="189">
        <f t="shared" si="21"/>
        <v>4077150.5285848174</v>
      </c>
      <c r="S26" s="189">
        <f t="shared" si="21"/>
        <v>4091124.1068416121</v>
      </c>
      <c r="T26" s="189">
        <f t="shared" si="21"/>
        <v>4096396.8547328962</v>
      </c>
      <c r="U26" s="189">
        <f t="shared" si="21"/>
        <v>4222648.126522962</v>
      </c>
      <c r="V26" s="189">
        <f t="shared" si="21"/>
        <v>4238595.9222118091</v>
      </c>
      <c r="W26" s="189">
        <f t="shared" si="21"/>
        <v>4399979.2417994384</v>
      </c>
      <c r="X26" s="189">
        <f t="shared" si="21"/>
        <v>4426333.5398313031</v>
      </c>
      <c r="Y26" s="189">
        <f t="shared" si="21"/>
        <v>4603752.826616683</v>
      </c>
      <c r="Z26" s="189">
        <f t="shared" si="21"/>
        <v>4639519.5970009379</v>
      </c>
      <c r="AA26" s="189">
        <f t="shared" si="21"/>
        <v>4826279.8509840677</v>
      </c>
      <c r="AB26" s="189">
        <f t="shared" si="21"/>
        <v>4870380.5482661668</v>
      </c>
      <c r="AC26" s="189">
        <f t="shared" si="21"/>
        <v>4917799.6888472345</v>
      </c>
    </row>
    <row r="27" spans="1:29" x14ac:dyDescent="0.25">
      <c r="A27" s="220" t="str">
        <f t="shared" si="17"/>
        <v>Empleados</v>
      </c>
      <c r="B27" s="232">
        <f t="shared" si="18"/>
        <v>0.37472462094762787</v>
      </c>
      <c r="C27" s="20"/>
      <c r="D27" s="209" t="str">
        <f>D13</f>
        <v>Pago Reservas</v>
      </c>
      <c r="E27" s="233">
        <f>M23*-1</f>
        <v>0</v>
      </c>
      <c r="F27" s="194">
        <f>E27/E35</f>
        <v>0</v>
      </c>
      <c r="G27" s="227" t="s">
        <v>323</v>
      </c>
      <c r="H27" s="231">
        <f>M15</f>
        <v>146720</v>
      </c>
      <c r="I27" s="197">
        <f t="shared" si="20"/>
        <v>2.1462250385412107E-2</v>
      </c>
      <c r="K27" s="239"/>
      <c r="L27" s="239"/>
      <c r="M27" s="239"/>
      <c r="N27" s="240">
        <f>N1+7</f>
        <v>43763</v>
      </c>
      <c r="O27" s="240">
        <f>O1+6</f>
        <v>43770</v>
      </c>
      <c r="P27" s="240">
        <f t="shared" ref="P27:AC27" si="22">O27+7</f>
        <v>43777</v>
      </c>
      <c r="Q27" s="240">
        <f t="shared" si="22"/>
        <v>43784</v>
      </c>
      <c r="R27" s="240">
        <f t="shared" si="22"/>
        <v>43791</v>
      </c>
      <c r="S27" s="240">
        <f t="shared" si="22"/>
        <v>43798</v>
      </c>
      <c r="T27" s="240">
        <f t="shared" si="22"/>
        <v>43805</v>
      </c>
      <c r="U27" s="240">
        <f t="shared" si="22"/>
        <v>43812</v>
      </c>
      <c r="V27" s="240">
        <f t="shared" si="22"/>
        <v>43819</v>
      </c>
      <c r="W27" s="240">
        <f t="shared" si="22"/>
        <v>43826</v>
      </c>
      <c r="X27" s="240">
        <f t="shared" si="22"/>
        <v>43833</v>
      </c>
      <c r="Y27" s="240">
        <f t="shared" si="22"/>
        <v>43840</v>
      </c>
      <c r="Z27" s="240">
        <f t="shared" si="22"/>
        <v>43847</v>
      </c>
      <c r="AA27" s="240">
        <f t="shared" si="22"/>
        <v>43854</v>
      </c>
      <c r="AB27" s="240">
        <f t="shared" si="22"/>
        <v>43861</v>
      </c>
      <c r="AC27" s="240">
        <f t="shared" si="22"/>
        <v>43868</v>
      </c>
    </row>
    <row r="28" spans="1:29" x14ac:dyDescent="0.25">
      <c r="A28" s="220" t="str">
        <f t="shared" si="17"/>
        <v>Juveniles</v>
      </c>
      <c r="B28" s="232">
        <f t="shared" si="18"/>
        <v>0.13120609977157838</v>
      </c>
      <c r="C28" s="9"/>
      <c r="D28" s="202"/>
      <c r="E28" s="241"/>
      <c r="F28" s="194"/>
      <c r="G28" s="227" t="s">
        <v>305</v>
      </c>
      <c r="H28" s="231">
        <f>M16</f>
        <v>203056</v>
      </c>
      <c r="I28" s="197">
        <f t="shared" si="20"/>
        <v>2.9703099197520722E-2</v>
      </c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</row>
    <row r="29" spans="1:29" x14ac:dyDescent="0.25">
      <c r="A29" s="220" t="str">
        <f t="shared" si="17"/>
        <v>Compra</v>
      </c>
      <c r="B29" s="232">
        <f t="shared" si="18"/>
        <v>0</v>
      </c>
      <c r="D29" s="182" t="s">
        <v>324</v>
      </c>
      <c r="E29" s="183">
        <f>SUM(E30:E34)</f>
        <v>2962912.6888472349</v>
      </c>
      <c r="F29" s="184">
        <f>E29/E35</f>
        <v>0.40255922897988006</v>
      </c>
      <c r="G29" s="227" t="s">
        <v>309</v>
      </c>
      <c r="H29" s="231">
        <f>M18</f>
        <v>913920</v>
      </c>
      <c r="I29" s="197">
        <f t="shared" si="20"/>
        <v>0.13368852148470442</v>
      </c>
      <c r="K29" s="243"/>
      <c r="L29" s="243"/>
      <c r="M29" s="244" t="s">
        <v>301</v>
      </c>
      <c r="N29" s="245">
        <v>17</v>
      </c>
      <c r="O29" s="245"/>
      <c r="P29" s="245"/>
      <c r="Q29" s="245"/>
      <c r="R29" s="245"/>
      <c r="S29" s="245"/>
      <c r="T29" s="245"/>
      <c r="U29" s="245"/>
      <c r="V29" s="245"/>
      <c r="W29" s="245">
        <v>18</v>
      </c>
      <c r="X29" s="245">
        <v>18</v>
      </c>
      <c r="Y29" s="245">
        <v>18</v>
      </c>
      <c r="Z29" s="245"/>
      <c r="AA29" s="245"/>
      <c r="AB29" s="245">
        <v>17</v>
      </c>
      <c r="AC29" s="245">
        <v>17</v>
      </c>
    </row>
    <row r="30" spans="1:29" ht="15.4" customHeight="1" x14ac:dyDescent="0.25">
      <c r="A30" s="220" t="str">
        <f t="shared" si="17"/>
        <v>Entrenador</v>
      </c>
      <c r="B30" s="232">
        <f t="shared" si="18"/>
        <v>0</v>
      </c>
      <c r="D30" s="209" t="s">
        <v>274</v>
      </c>
      <c r="E30" s="233">
        <f>M11</f>
        <v>16050</v>
      </c>
      <c r="F30" s="194">
        <f>E30/E35</f>
        <v>2.1806500236903207E-3</v>
      </c>
      <c r="G30" s="227" t="s">
        <v>312</v>
      </c>
      <c r="H30" s="231">
        <f>M19</f>
        <v>320000</v>
      </c>
      <c r="I30" s="197">
        <f t="shared" si="20"/>
        <v>4.6809706402207427E-2</v>
      </c>
      <c r="K30" s="9"/>
      <c r="L30" s="460" t="s">
        <v>325</v>
      </c>
      <c r="M30" s="246" t="s">
        <v>64</v>
      </c>
      <c r="N30" s="245">
        <v>37170</v>
      </c>
      <c r="O30" s="245"/>
      <c r="P30" s="245"/>
      <c r="Q30" s="245"/>
      <c r="R30" s="245"/>
      <c r="S30" s="245"/>
      <c r="T30" s="245"/>
      <c r="U30" s="245"/>
      <c r="V30" s="245"/>
      <c r="W30" s="245">
        <v>28250</v>
      </c>
      <c r="X30" s="245">
        <v>29320</v>
      </c>
      <c r="Y30" s="245">
        <v>35860</v>
      </c>
      <c r="Z30" s="245"/>
      <c r="AA30" s="245"/>
      <c r="AB30" s="245">
        <v>28540</v>
      </c>
      <c r="AC30" s="245">
        <v>32740</v>
      </c>
    </row>
    <row r="31" spans="1:29" x14ac:dyDescent="0.25">
      <c r="A31" s="220" t="str">
        <f t="shared" si="17"/>
        <v>Viajes+Venta</v>
      </c>
      <c r="B31" s="232">
        <f t="shared" si="18"/>
        <v>6.1502859267927364E-3</v>
      </c>
      <c r="D31" s="209" t="s">
        <v>296</v>
      </c>
      <c r="E31" s="233">
        <f>M12</f>
        <v>140000</v>
      </c>
      <c r="F31" s="194">
        <f>E31/E35</f>
        <v>1.9021246312563547E-2</v>
      </c>
      <c r="G31" s="227" t="s">
        <v>315</v>
      </c>
      <c r="H31" s="231">
        <f>M22</f>
        <v>15000</v>
      </c>
      <c r="I31" s="197">
        <f t="shared" si="20"/>
        <v>2.1942049876034733E-3</v>
      </c>
      <c r="K31" s="9"/>
      <c r="L31" s="460"/>
      <c r="M31" s="246" t="s">
        <v>326</v>
      </c>
      <c r="N31" s="245">
        <v>8120</v>
      </c>
      <c r="O31" s="245"/>
      <c r="P31" s="245"/>
      <c r="Q31" s="245"/>
      <c r="R31" s="245"/>
      <c r="S31" s="245"/>
      <c r="T31" s="245"/>
      <c r="U31" s="245"/>
      <c r="V31" s="245"/>
      <c r="W31" s="245">
        <v>7400</v>
      </c>
      <c r="X31" s="245">
        <v>7400</v>
      </c>
      <c r="Y31" s="245">
        <v>7400</v>
      </c>
      <c r="Z31" s="245"/>
      <c r="AA31" s="245"/>
      <c r="AB31" s="245">
        <v>8170</v>
      </c>
      <c r="AC31" s="245">
        <v>8170</v>
      </c>
    </row>
    <row r="32" spans="1:29" x14ac:dyDescent="0.25">
      <c r="A32" s="220" t="str">
        <f>L24</f>
        <v>Intereses</v>
      </c>
      <c r="B32" s="232">
        <f>M24/$M$65</f>
        <v>0</v>
      </c>
      <c r="D32" s="209" t="s">
        <v>281</v>
      </c>
      <c r="E32" s="233">
        <f>M6</f>
        <v>1136347</v>
      </c>
      <c r="F32" s="194">
        <f>E32/E35</f>
        <v>0.15439097273959035</v>
      </c>
      <c r="G32" s="227" t="s">
        <v>318</v>
      </c>
      <c r="H32" s="231">
        <f>M24</f>
        <v>0</v>
      </c>
      <c r="I32" s="197">
        <f t="shared" si="20"/>
        <v>0</v>
      </c>
      <c r="K32" s="9"/>
      <c r="L32" s="460"/>
      <c r="M32" s="246" t="s">
        <v>205</v>
      </c>
      <c r="N32" s="245">
        <v>34290</v>
      </c>
      <c r="O32" s="245"/>
      <c r="P32" s="245"/>
      <c r="Q32" s="245"/>
      <c r="R32" s="245"/>
      <c r="S32" s="245"/>
      <c r="T32" s="245"/>
      <c r="U32" s="245"/>
      <c r="V32" s="245"/>
      <c r="W32" s="245">
        <v>24450</v>
      </c>
      <c r="X32" s="245">
        <v>25570</v>
      </c>
      <c r="Y32" s="245">
        <v>31910</v>
      </c>
      <c r="Z32" s="245"/>
      <c r="AA32" s="245"/>
      <c r="AB32" s="245">
        <v>25490</v>
      </c>
      <c r="AC32" s="245">
        <v>29660</v>
      </c>
    </row>
    <row r="33" spans="1:34" ht="18.75" x14ac:dyDescent="0.3">
      <c r="A33" s="9"/>
      <c r="B33" s="247">
        <f>SUM(B24:B32)</f>
        <v>0.65549583400132272</v>
      </c>
      <c r="D33" s="209" t="s">
        <v>283</v>
      </c>
      <c r="E33" s="233">
        <f>M7</f>
        <v>1670515.6888472349</v>
      </c>
      <c r="F33" s="194">
        <f>E33/E35</f>
        <v>0.22696635990403585</v>
      </c>
      <c r="G33" s="202"/>
      <c r="H33" s="203"/>
      <c r="I33" s="197"/>
      <c r="K33" s="9"/>
      <c r="L33" s="460"/>
      <c r="M33" s="246" t="s">
        <v>206</v>
      </c>
      <c r="N33" s="245">
        <v>6330</v>
      </c>
      <c r="O33" s="245"/>
      <c r="P33" s="245"/>
      <c r="Q33" s="245"/>
      <c r="R33" s="245"/>
      <c r="S33" s="245"/>
      <c r="T33" s="245"/>
      <c r="U33" s="245"/>
      <c r="V33" s="245"/>
      <c r="W33" s="245">
        <v>5210</v>
      </c>
      <c r="X33" s="245">
        <v>5210</v>
      </c>
      <c r="Y33" s="245">
        <v>5250</v>
      </c>
      <c r="Z33" s="245"/>
      <c r="AA33" s="245"/>
      <c r="AB33" s="245">
        <v>6350</v>
      </c>
      <c r="AC33" s="245">
        <v>6350</v>
      </c>
    </row>
    <row r="34" spans="1:34" ht="18.75" x14ac:dyDescent="0.3">
      <c r="A34" s="20"/>
      <c r="B34" s="248"/>
      <c r="D34" s="249" t="s">
        <v>290</v>
      </c>
      <c r="E34" s="250">
        <f>M10</f>
        <v>0</v>
      </c>
      <c r="F34" s="194">
        <f>E34/E35</f>
        <v>0</v>
      </c>
      <c r="G34" s="251"/>
      <c r="H34" s="252"/>
      <c r="I34" s="253"/>
      <c r="K34" s="9"/>
      <c r="L34" s="460"/>
      <c r="M34" s="246" t="s">
        <v>210</v>
      </c>
      <c r="N34" s="254" t="s">
        <v>327</v>
      </c>
      <c r="O34" s="254"/>
      <c r="P34" s="254"/>
      <c r="Q34" s="254"/>
      <c r="R34" s="254"/>
      <c r="S34" s="254"/>
      <c r="T34" s="254"/>
      <c r="U34" s="254"/>
      <c r="V34" s="254"/>
      <c r="W34" s="254" t="s">
        <v>328</v>
      </c>
      <c r="X34" s="254" t="s">
        <v>329</v>
      </c>
      <c r="Y34" s="254" t="s">
        <v>330</v>
      </c>
      <c r="Z34" s="254"/>
      <c r="AA34" s="254"/>
      <c r="AB34" s="254" t="s">
        <v>331</v>
      </c>
      <c r="AC34" s="254" t="s">
        <v>332</v>
      </c>
    </row>
    <row r="35" spans="1:34" ht="18.75" x14ac:dyDescent="0.3">
      <c r="A35" s="461">
        <f>M25</f>
        <v>1598696</v>
      </c>
      <c r="B35" s="461"/>
      <c r="D35" s="255" t="s">
        <v>333</v>
      </c>
      <c r="E35" s="256">
        <f>E29+E21+E15+E5+E10+E24</f>
        <v>7360190.6888472345</v>
      </c>
      <c r="F35" s="257">
        <f>F29+F21+F15+F5+F10+F24</f>
        <v>1</v>
      </c>
      <c r="G35" s="255" t="s">
        <v>333</v>
      </c>
      <c r="H35" s="256">
        <f>H26+H18+H10+H5+H22</f>
        <v>7360190.6888472345</v>
      </c>
      <c r="I35" s="258">
        <f>H35/$H$75</f>
        <v>1.0766511412787496</v>
      </c>
      <c r="K35" s="9"/>
      <c r="L35" s="460"/>
      <c r="M35" s="246" t="s">
        <v>334</v>
      </c>
      <c r="N35" s="259">
        <v>5.75</v>
      </c>
      <c r="O35" s="259"/>
      <c r="P35" s="259"/>
      <c r="Q35" s="259"/>
      <c r="R35" s="259"/>
      <c r="S35" s="259"/>
      <c r="T35" s="259"/>
      <c r="U35" s="259"/>
      <c r="V35" s="259"/>
      <c r="W35" s="259">
        <v>5.5</v>
      </c>
      <c r="X35" s="259">
        <v>5.5</v>
      </c>
      <c r="Y35" s="259">
        <v>5.5</v>
      </c>
      <c r="Z35" s="259"/>
      <c r="AA35" s="259"/>
      <c r="AB35" s="259">
        <v>5.75</v>
      </c>
      <c r="AC35" s="259">
        <v>5.75</v>
      </c>
    </row>
    <row r="36" spans="1:34" x14ac:dyDescent="0.25">
      <c r="E36" s="203"/>
      <c r="F36" s="177"/>
      <c r="G36" s="260"/>
      <c r="H36" s="261">
        <f>E35-H35</f>
        <v>0</v>
      </c>
      <c r="I36" s="203"/>
      <c r="K36" s="9"/>
      <c r="L36" s="460"/>
      <c r="M36" s="246" t="s">
        <v>207</v>
      </c>
      <c r="N36" s="259">
        <v>6</v>
      </c>
      <c r="O36" s="259"/>
      <c r="P36" s="259"/>
      <c r="Q36" s="259"/>
      <c r="R36" s="259"/>
      <c r="S36" s="259"/>
      <c r="T36" s="259"/>
      <c r="U36" s="259"/>
      <c r="V36" s="259"/>
      <c r="W36" s="259">
        <v>6</v>
      </c>
      <c r="X36" s="259">
        <v>6</v>
      </c>
      <c r="Y36" s="259">
        <v>6</v>
      </c>
      <c r="Z36" s="259"/>
      <c r="AA36" s="259"/>
      <c r="AB36" s="259">
        <v>6.25</v>
      </c>
      <c r="AC36" s="259">
        <v>6</v>
      </c>
    </row>
    <row r="37" spans="1:34" x14ac:dyDescent="0.25">
      <c r="E37" s="203"/>
      <c r="F37" s="203"/>
      <c r="H37" s="203"/>
      <c r="I37" s="203"/>
      <c r="K37" s="9"/>
      <c r="L37" s="460"/>
      <c r="M37" s="246" t="s">
        <v>335</v>
      </c>
      <c r="N37" s="259">
        <v>3</v>
      </c>
      <c r="O37" s="259"/>
      <c r="P37" s="259"/>
      <c r="Q37" s="259"/>
      <c r="R37" s="259"/>
      <c r="S37" s="259"/>
      <c r="T37" s="259"/>
      <c r="U37" s="259"/>
      <c r="V37" s="259"/>
      <c r="W37" s="259">
        <v>2.75</v>
      </c>
      <c r="X37" s="259">
        <v>2.75</v>
      </c>
      <c r="Y37" s="259">
        <v>2.75</v>
      </c>
      <c r="Z37" s="259"/>
      <c r="AA37" s="259"/>
      <c r="AB37" s="259">
        <v>2.75</v>
      </c>
      <c r="AC37" s="259">
        <v>2.75</v>
      </c>
    </row>
    <row r="38" spans="1:34" ht="15.75" x14ac:dyDescent="0.25">
      <c r="D38" s="262"/>
      <c r="E38" s="263"/>
      <c r="F38" s="203"/>
      <c r="G38" s="9"/>
      <c r="H38" s="185"/>
      <c r="I38" s="185"/>
      <c r="K38" s="9"/>
      <c r="L38" s="9"/>
      <c r="M38" s="173" t="s">
        <v>336</v>
      </c>
      <c r="N38" s="264">
        <f t="shared" ref="N38:T38" si="23">N30/N31</f>
        <v>4.5775862068965516</v>
      </c>
      <c r="O38" s="264" t="e">
        <f t="shared" si="23"/>
        <v>#DIV/0!</v>
      </c>
      <c r="P38" s="264" t="e">
        <f t="shared" si="23"/>
        <v>#DIV/0!</v>
      </c>
      <c r="Q38" s="264" t="e">
        <f t="shared" si="23"/>
        <v>#DIV/0!</v>
      </c>
      <c r="R38" s="264" t="e">
        <f t="shared" si="23"/>
        <v>#DIV/0!</v>
      </c>
      <c r="S38" s="264" t="e">
        <f t="shared" si="23"/>
        <v>#DIV/0!</v>
      </c>
      <c r="T38" s="264" t="e">
        <f t="shared" si="23"/>
        <v>#DIV/0!</v>
      </c>
      <c r="U38" s="264"/>
      <c r="V38" s="264"/>
      <c r="W38" s="264">
        <f t="shared" ref="W38:AC38" si="24">W30/W31</f>
        <v>3.8175675675675675</v>
      </c>
      <c r="X38" s="264">
        <f t="shared" si="24"/>
        <v>3.9621621621621621</v>
      </c>
      <c r="Y38" s="264">
        <f t="shared" si="24"/>
        <v>4.845945945945946</v>
      </c>
      <c r="Z38" s="264" t="e">
        <f t="shared" si="24"/>
        <v>#DIV/0!</v>
      </c>
      <c r="AA38" s="264" t="e">
        <f t="shared" si="24"/>
        <v>#DIV/0!</v>
      </c>
      <c r="AB38" s="264">
        <f t="shared" si="24"/>
        <v>3.4932680538555694</v>
      </c>
      <c r="AC38" s="264">
        <f t="shared" si="24"/>
        <v>4.0073439412484699</v>
      </c>
    </row>
    <row r="39" spans="1:34" x14ac:dyDescent="0.25">
      <c r="E39" s="185"/>
      <c r="F39" s="203"/>
      <c r="H39" s="203"/>
      <c r="I39" s="203"/>
      <c r="K39" s="9"/>
      <c r="L39" s="9"/>
      <c r="M39" s="9"/>
      <c r="N39" s="9"/>
      <c r="O39" s="2"/>
      <c r="P39" s="265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</row>
    <row r="40" spans="1:34" x14ac:dyDescent="0.25">
      <c r="E40" s="203"/>
      <c r="F40" s="203"/>
      <c r="H40" s="203"/>
      <c r="I40" s="203"/>
      <c r="K40" s="9"/>
      <c r="L40" s="9"/>
      <c r="M40" s="9"/>
      <c r="N40" s="9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</row>
    <row r="41" spans="1:34" ht="21" x14ac:dyDescent="0.35">
      <c r="A41" s="168"/>
      <c r="B41" s="168"/>
      <c r="C41" s="168"/>
      <c r="D41" s="453" t="s">
        <v>337</v>
      </c>
      <c r="E41" s="453"/>
      <c r="F41" s="453"/>
      <c r="G41" s="453"/>
      <c r="H41" s="453"/>
      <c r="I41" s="453"/>
      <c r="K41" s="168"/>
      <c r="L41" s="168"/>
      <c r="M41" s="168"/>
      <c r="N41" s="169">
        <f>O41-7</f>
        <v>43630</v>
      </c>
      <c r="O41" s="169">
        <v>43637</v>
      </c>
      <c r="P41" s="169">
        <f t="shared" ref="P41:AE41" si="25">O41+7</f>
        <v>43644</v>
      </c>
      <c r="Q41" s="169">
        <f t="shared" si="25"/>
        <v>43651</v>
      </c>
      <c r="R41" s="169">
        <f t="shared" si="25"/>
        <v>43658</v>
      </c>
      <c r="S41" s="169">
        <f t="shared" si="25"/>
        <v>43665</v>
      </c>
      <c r="T41" s="169">
        <f t="shared" si="25"/>
        <v>43672</v>
      </c>
      <c r="U41" s="169">
        <f t="shared" si="25"/>
        <v>43679</v>
      </c>
      <c r="V41" s="169">
        <f t="shared" si="25"/>
        <v>43686</v>
      </c>
      <c r="W41" s="169">
        <f t="shared" si="25"/>
        <v>43693</v>
      </c>
      <c r="X41" s="169">
        <f t="shared" si="25"/>
        <v>43700</v>
      </c>
      <c r="Y41" s="169">
        <f t="shared" si="25"/>
        <v>43707</v>
      </c>
      <c r="Z41" s="169">
        <f t="shared" si="25"/>
        <v>43714</v>
      </c>
      <c r="AA41" s="169">
        <f t="shared" si="25"/>
        <v>43721</v>
      </c>
      <c r="AB41" s="169">
        <f t="shared" si="25"/>
        <v>43728</v>
      </c>
      <c r="AC41" s="169">
        <f t="shared" si="25"/>
        <v>43735</v>
      </c>
      <c r="AD41" s="169">
        <f t="shared" si="25"/>
        <v>43742</v>
      </c>
      <c r="AE41" s="268">
        <f t="shared" si="25"/>
        <v>43749</v>
      </c>
    </row>
    <row r="42" spans="1:34" x14ac:dyDescent="0.25">
      <c r="A42" s="20"/>
      <c r="B42" s="20"/>
      <c r="C42" s="20"/>
      <c r="D42" s="454" t="s">
        <v>254</v>
      </c>
      <c r="E42" s="454"/>
      <c r="F42" s="454"/>
      <c r="G42" s="454"/>
      <c r="H42" s="454"/>
      <c r="I42" s="454"/>
      <c r="K42" s="20"/>
      <c r="L42" s="20"/>
      <c r="M42" s="20" t="s">
        <v>255</v>
      </c>
      <c r="N42" s="171" t="s">
        <v>270</v>
      </c>
      <c r="O42" s="171" t="s">
        <v>271</v>
      </c>
      <c r="P42" s="171" t="s">
        <v>256</v>
      </c>
      <c r="Q42" s="171" t="s">
        <v>257</v>
      </c>
      <c r="R42" s="171" t="s">
        <v>258</v>
      </c>
      <c r="S42" s="171" t="s">
        <v>259</v>
      </c>
      <c r="T42" s="171" t="s">
        <v>260</v>
      </c>
      <c r="U42" s="171" t="s">
        <v>261</v>
      </c>
      <c r="V42" s="171" t="s">
        <v>262</v>
      </c>
      <c r="W42" s="171" t="s">
        <v>263</v>
      </c>
      <c r="X42" s="171" t="s">
        <v>264</v>
      </c>
      <c r="Y42" s="171" t="s">
        <v>265</v>
      </c>
      <c r="Z42" s="171" t="s">
        <v>266</v>
      </c>
      <c r="AA42" s="171" t="s">
        <v>267</v>
      </c>
      <c r="AB42" s="171" t="s">
        <v>268</v>
      </c>
      <c r="AC42" s="171" t="s">
        <v>269</v>
      </c>
      <c r="AD42" s="171" t="s">
        <v>270</v>
      </c>
      <c r="AE42" s="269" t="s">
        <v>271</v>
      </c>
    </row>
    <row r="43" spans="1:34" ht="18.75" x14ac:dyDescent="0.3">
      <c r="A43" s="9"/>
      <c r="B43" s="9"/>
      <c r="C43" s="9"/>
      <c r="D43" s="455" t="s">
        <v>272</v>
      </c>
      <c r="E43" s="455"/>
      <c r="F43" s="172"/>
      <c r="G43" s="456" t="s">
        <v>273</v>
      </c>
      <c r="H43" s="456"/>
      <c r="I43" s="172"/>
      <c r="K43" s="9"/>
      <c r="L43" s="173"/>
      <c r="M43" s="173" t="s">
        <v>274</v>
      </c>
      <c r="N43" s="174">
        <v>100</v>
      </c>
      <c r="O43" s="174">
        <v>100</v>
      </c>
      <c r="P43" s="174">
        <v>140</v>
      </c>
      <c r="Q43" s="174">
        <f t="shared" ref="Q43:AE43" si="26">P43+P51/30</f>
        <v>184</v>
      </c>
      <c r="R43" s="174">
        <f t="shared" si="26"/>
        <v>235</v>
      </c>
      <c r="S43" s="174">
        <f t="shared" si="26"/>
        <v>285</v>
      </c>
      <c r="T43" s="174">
        <f t="shared" si="26"/>
        <v>335</v>
      </c>
      <c r="U43" s="174">
        <f t="shared" si="26"/>
        <v>383</v>
      </c>
      <c r="V43" s="174">
        <f t="shared" si="26"/>
        <v>431</v>
      </c>
      <c r="W43" s="174">
        <f t="shared" si="26"/>
        <v>477</v>
      </c>
      <c r="X43" s="174">
        <f t="shared" si="26"/>
        <v>523</v>
      </c>
      <c r="Y43" s="174">
        <f t="shared" si="26"/>
        <v>568</v>
      </c>
      <c r="Z43" s="174">
        <f t="shared" si="26"/>
        <v>612</v>
      </c>
      <c r="AA43" s="174">
        <f t="shared" si="26"/>
        <v>656</v>
      </c>
      <c r="AB43" s="174">
        <f t="shared" si="26"/>
        <v>698</v>
      </c>
      <c r="AC43" s="174">
        <f t="shared" si="26"/>
        <v>740</v>
      </c>
      <c r="AD43" s="174">
        <f t="shared" si="26"/>
        <v>781</v>
      </c>
      <c r="AE43" s="270">
        <f t="shared" si="26"/>
        <v>821</v>
      </c>
    </row>
    <row r="44" spans="1:34" ht="18.75" x14ac:dyDescent="0.3">
      <c r="A44" s="9"/>
      <c r="B44" s="9"/>
      <c r="C44" s="9"/>
      <c r="D44" s="175"/>
      <c r="E44" s="176"/>
      <c r="F44" s="177"/>
      <c r="G44" s="175"/>
      <c r="H44" s="177"/>
      <c r="I44" s="178"/>
      <c r="K44" s="179" t="s">
        <v>275</v>
      </c>
      <c r="L44" s="179"/>
      <c r="M44" s="180">
        <v>0</v>
      </c>
      <c r="N44" s="180">
        <f>M44</f>
        <v>0</v>
      </c>
      <c r="O44" s="180">
        <f t="shared" ref="O44:AE44" si="27">N44-N53+N63</f>
        <v>0</v>
      </c>
      <c r="P44" s="180">
        <f t="shared" si="27"/>
        <v>0</v>
      </c>
      <c r="Q44" s="180">
        <f t="shared" si="27"/>
        <v>0</v>
      </c>
      <c r="R44" s="180">
        <f t="shared" si="27"/>
        <v>0</v>
      </c>
      <c r="S44" s="180">
        <f t="shared" si="27"/>
        <v>0</v>
      </c>
      <c r="T44" s="180">
        <f t="shared" si="27"/>
        <v>0</v>
      </c>
      <c r="U44" s="181">
        <f t="shared" si="27"/>
        <v>0</v>
      </c>
      <c r="V44" s="180">
        <f t="shared" si="27"/>
        <v>0</v>
      </c>
      <c r="W44" s="180">
        <f t="shared" si="27"/>
        <v>0</v>
      </c>
      <c r="X44" s="180">
        <f t="shared" si="27"/>
        <v>0</v>
      </c>
      <c r="Y44" s="180">
        <f t="shared" si="27"/>
        <v>0</v>
      </c>
      <c r="Z44" s="181">
        <f t="shared" si="27"/>
        <v>0</v>
      </c>
      <c r="AA44" s="181">
        <f t="shared" si="27"/>
        <v>0</v>
      </c>
      <c r="AB44" s="181">
        <f t="shared" si="27"/>
        <v>0</v>
      </c>
      <c r="AC44" s="181">
        <f t="shared" si="27"/>
        <v>0</v>
      </c>
      <c r="AD44" s="181">
        <f t="shared" si="27"/>
        <v>0</v>
      </c>
      <c r="AE44" s="181">
        <f t="shared" si="27"/>
        <v>0</v>
      </c>
    </row>
    <row r="45" spans="1:34" ht="18.75" x14ac:dyDescent="0.3">
      <c r="A45" s="6"/>
      <c r="B45" s="6"/>
      <c r="C45" s="6"/>
      <c r="D45" s="182" t="s">
        <v>276</v>
      </c>
      <c r="E45" s="183">
        <f>SUM(E46:E48)</f>
        <v>843695</v>
      </c>
      <c r="F45" s="184">
        <f>E45/E75</f>
        <v>0.12341598513440749</v>
      </c>
      <c r="G45" s="182" t="s">
        <v>277</v>
      </c>
      <c r="H45" s="185">
        <f>H46+H47</f>
        <v>300000</v>
      </c>
      <c r="I45" s="186">
        <f>H45/$H$75</f>
        <v>4.3884099752069465E-2</v>
      </c>
      <c r="K45" s="187" t="s">
        <v>278</v>
      </c>
      <c r="L45" s="187"/>
      <c r="M45" s="188">
        <v>300000</v>
      </c>
      <c r="N45" s="188">
        <f>M45</f>
        <v>300000</v>
      </c>
      <c r="O45" s="188">
        <f t="shared" ref="O45:AE45" si="28">N66</f>
        <v>185000</v>
      </c>
      <c r="P45" s="188">
        <f t="shared" si="28"/>
        <v>925753</v>
      </c>
      <c r="Q45" s="188">
        <f t="shared" si="28"/>
        <v>909316</v>
      </c>
      <c r="R45" s="188">
        <f t="shared" si="28"/>
        <v>1149086</v>
      </c>
      <c r="S45" s="188">
        <f t="shared" si="28"/>
        <v>1120308</v>
      </c>
      <c r="T45" s="188">
        <f t="shared" si="28"/>
        <v>1173000</v>
      </c>
      <c r="U45" s="189">
        <f t="shared" si="28"/>
        <v>1242342</v>
      </c>
      <c r="V45" s="188">
        <f t="shared" si="28"/>
        <v>1216730</v>
      </c>
      <c r="W45" s="188">
        <f t="shared" si="28"/>
        <v>1180102</v>
      </c>
      <c r="X45" s="188">
        <f t="shared" si="28"/>
        <v>1079364</v>
      </c>
      <c r="Y45" s="188">
        <f t="shared" si="28"/>
        <v>1048744</v>
      </c>
      <c r="Z45" s="189">
        <f t="shared" si="28"/>
        <v>1159393</v>
      </c>
      <c r="AA45" s="189">
        <f t="shared" si="28"/>
        <v>1131452</v>
      </c>
      <c r="AB45" s="189">
        <f t="shared" si="28"/>
        <v>2439972</v>
      </c>
      <c r="AC45" s="189">
        <f t="shared" si="28"/>
        <v>2417777</v>
      </c>
      <c r="AD45" s="189">
        <f t="shared" si="28"/>
        <v>2544413</v>
      </c>
      <c r="AE45" s="189">
        <f t="shared" si="28"/>
        <v>2234667</v>
      </c>
    </row>
    <row r="46" spans="1:34" x14ac:dyDescent="0.25">
      <c r="A46" s="190" t="str">
        <f t="shared" ref="A46:A53" si="29">L46</f>
        <v>Taquillas</v>
      </c>
      <c r="B46" s="191">
        <f t="shared" ref="B46:B53" si="30">M46/$M$54</f>
        <v>0.21408770918335618</v>
      </c>
      <c r="D46" s="192" t="s">
        <v>279</v>
      </c>
      <c r="E46" s="193">
        <f>M57</f>
        <v>574995</v>
      </c>
      <c r="F46" s="194">
        <f>E46/E75</f>
        <v>8.4110459789803943E-2</v>
      </c>
      <c r="G46" s="195" t="s">
        <v>280</v>
      </c>
      <c r="H46" s="196">
        <v>300000</v>
      </c>
      <c r="I46" s="197">
        <f>H46/$H$75</f>
        <v>4.3884099752069465E-2</v>
      </c>
      <c r="K46" s="190" t="s">
        <v>281</v>
      </c>
      <c r="L46" s="190" t="s">
        <v>281</v>
      </c>
      <c r="M46" s="198">
        <f t="shared" ref="M46:M65" si="31">SUM(N46:AE46)</f>
        <v>1218693</v>
      </c>
      <c r="N46" s="271">
        <v>0</v>
      </c>
      <c r="O46" s="271">
        <f>140449+2239</f>
        <v>142688</v>
      </c>
      <c r="P46" s="271">
        <f>2819+39724</f>
        <v>42543</v>
      </c>
      <c r="Q46" s="271">
        <f>81809+54656</f>
        <v>136465</v>
      </c>
      <c r="R46" s="271">
        <v>24227</v>
      </c>
      <c r="S46" s="271">
        <f>85603+17134</f>
        <v>102737</v>
      </c>
      <c r="T46" s="271">
        <f>112814+3673</f>
        <v>116487</v>
      </c>
      <c r="U46" s="199">
        <f>18695</f>
        <v>18695</v>
      </c>
      <c r="V46" s="271">
        <v>5397</v>
      </c>
      <c r="W46" s="271">
        <f>115800+5852</f>
        <v>121652</v>
      </c>
      <c r="X46" s="271">
        <v>6625</v>
      </c>
      <c r="Y46" s="271">
        <v>147337</v>
      </c>
      <c r="Z46" s="199">
        <v>7779</v>
      </c>
      <c r="AA46" s="199">
        <v>154668</v>
      </c>
      <c r="AB46" s="199">
        <v>8663</v>
      </c>
      <c r="AC46" s="199">
        <v>155304</v>
      </c>
      <c r="AD46" s="199">
        <v>11142</v>
      </c>
      <c r="AE46" s="199">
        <v>16284</v>
      </c>
    </row>
    <row r="47" spans="1:34" x14ac:dyDescent="0.25">
      <c r="A47" s="190" t="str">
        <f t="shared" si="29"/>
        <v>Patrocinadores</v>
      </c>
      <c r="B47" s="191">
        <f t="shared" si="30"/>
        <v>0.15164899602880566</v>
      </c>
      <c r="D47" s="192" t="s">
        <v>213</v>
      </c>
      <c r="E47" s="193">
        <f>M61</f>
        <v>268700</v>
      </c>
      <c r="F47" s="194">
        <f>E47/E75</f>
        <v>3.9305525344603548E-2</v>
      </c>
      <c r="G47" s="195" t="s">
        <v>282</v>
      </c>
      <c r="H47" s="196">
        <v>0</v>
      </c>
      <c r="I47" s="197">
        <f>H47/$H$75</f>
        <v>0</v>
      </c>
      <c r="K47" s="190" t="s">
        <v>283</v>
      </c>
      <c r="L47" s="190" t="s">
        <v>283</v>
      </c>
      <c r="M47" s="198">
        <f t="shared" si="31"/>
        <v>863261</v>
      </c>
      <c r="N47" s="271">
        <v>0</v>
      </c>
      <c r="O47" s="271">
        <v>30345</v>
      </c>
      <c r="P47" s="271">
        <v>32010</v>
      </c>
      <c r="Q47" s="271">
        <v>34785</v>
      </c>
      <c r="R47" s="271">
        <v>38115</v>
      </c>
      <c r="S47" s="271">
        <v>41075</v>
      </c>
      <c r="T47" s="271">
        <v>44035</v>
      </c>
      <c r="U47" s="206">
        <f>45000+1873</f>
        <v>46873</v>
      </c>
      <c r="V47" s="271">
        <v>49215</v>
      </c>
      <c r="W47" s="271">
        <v>51620</v>
      </c>
      <c r="X47" s="271">
        <v>54025</v>
      </c>
      <c r="Y47" s="271">
        <v>56430</v>
      </c>
      <c r="Z47" s="206">
        <v>58738</v>
      </c>
      <c r="AA47" s="206">
        <v>60870</v>
      </c>
      <c r="AB47" s="206">
        <v>63090</v>
      </c>
      <c r="AC47" s="206">
        <v>65310</v>
      </c>
      <c r="AD47" s="206">
        <v>67345</v>
      </c>
      <c r="AE47" s="206">
        <v>69380</v>
      </c>
    </row>
    <row r="48" spans="1:34" x14ac:dyDescent="0.25">
      <c r="A48" s="190" t="str">
        <f t="shared" si="29"/>
        <v>Ventas</v>
      </c>
      <c r="B48" s="191">
        <f t="shared" si="30"/>
        <v>0</v>
      </c>
      <c r="D48" s="200" t="s">
        <v>284</v>
      </c>
      <c r="E48" s="201">
        <v>0</v>
      </c>
      <c r="F48" s="194">
        <f>E48/E75</f>
        <v>0</v>
      </c>
      <c r="G48" s="202"/>
      <c r="H48" s="203"/>
      <c r="I48" s="186"/>
      <c r="K48" s="190" t="s">
        <v>285</v>
      </c>
      <c r="L48" s="190" t="s">
        <v>286</v>
      </c>
      <c r="M48" s="198">
        <f t="shared" si="31"/>
        <v>0</v>
      </c>
      <c r="N48" s="271">
        <v>0</v>
      </c>
      <c r="O48" s="271">
        <v>0</v>
      </c>
      <c r="P48" s="271">
        <v>0</v>
      </c>
      <c r="Q48" s="271">
        <v>0</v>
      </c>
      <c r="R48" s="271">
        <v>0</v>
      </c>
      <c r="S48" s="271">
        <v>0</v>
      </c>
      <c r="T48" s="271">
        <v>0</v>
      </c>
      <c r="U48" s="199">
        <v>0</v>
      </c>
      <c r="V48" s="271">
        <v>0</v>
      </c>
      <c r="W48" s="271">
        <v>0</v>
      </c>
      <c r="X48" s="271">
        <v>0</v>
      </c>
      <c r="Y48" s="271">
        <v>0</v>
      </c>
      <c r="Z48" s="199">
        <v>0</v>
      </c>
      <c r="AA48" s="199">
        <v>0</v>
      </c>
      <c r="AB48" s="199">
        <v>0</v>
      </c>
      <c r="AC48" s="199">
        <v>0</v>
      </c>
      <c r="AD48" s="199">
        <v>0</v>
      </c>
      <c r="AE48" s="199">
        <v>0</v>
      </c>
      <c r="AG48" s="203"/>
      <c r="AH48" s="203"/>
    </row>
    <row r="49" spans="1:35" x14ac:dyDescent="0.25">
      <c r="A49" s="190" t="str">
        <f t="shared" si="29"/>
        <v>VentasCantera</v>
      </c>
      <c r="B49" s="191">
        <f t="shared" si="30"/>
        <v>0.2086080371801885</v>
      </c>
      <c r="D49" s="204"/>
      <c r="E49" s="205"/>
      <c r="F49" s="184"/>
      <c r="G49" s="202"/>
      <c r="H49" s="203"/>
      <c r="I49" s="186"/>
      <c r="K49" s="190"/>
      <c r="L49" s="190" t="s">
        <v>287</v>
      </c>
      <c r="M49" s="198">
        <f t="shared" si="31"/>
        <v>1187500</v>
      </c>
      <c r="N49" s="271">
        <v>0</v>
      </c>
      <c r="O49" s="271">
        <v>0</v>
      </c>
      <c r="P49" s="271">
        <v>0</v>
      </c>
      <c r="Q49" s="271">
        <v>0</v>
      </c>
      <c r="R49" s="271">
        <v>0</v>
      </c>
      <c r="S49" s="271">
        <v>0</v>
      </c>
      <c r="T49" s="271">
        <v>0</v>
      </c>
      <c r="U49" s="199">
        <v>0</v>
      </c>
      <c r="V49" s="271">
        <v>0</v>
      </c>
      <c r="W49" s="271">
        <v>0</v>
      </c>
      <c r="X49" s="271">
        <v>0</v>
      </c>
      <c r="Y49" s="271">
        <v>0</v>
      </c>
      <c r="Z49" s="199">
        <v>0</v>
      </c>
      <c r="AA49" s="199">
        <v>1187500</v>
      </c>
      <c r="AB49" s="199">
        <v>0</v>
      </c>
      <c r="AC49" s="199">
        <v>0</v>
      </c>
      <c r="AD49" s="199">
        <v>0</v>
      </c>
      <c r="AE49" s="199">
        <v>0</v>
      </c>
    </row>
    <row r="50" spans="1:35" x14ac:dyDescent="0.25">
      <c r="A50" s="190" t="str">
        <f t="shared" si="29"/>
        <v>Comisiones</v>
      </c>
      <c r="B50" s="191">
        <f t="shared" si="30"/>
        <v>0</v>
      </c>
      <c r="D50" s="182" t="s">
        <v>288</v>
      </c>
      <c r="E50" s="183">
        <f>E51+E52+E53</f>
        <v>0</v>
      </c>
      <c r="F50" s="184">
        <f>E50/E75</f>
        <v>0</v>
      </c>
      <c r="G50" s="182" t="s">
        <v>289</v>
      </c>
      <c r="H50" s="185">
        <f>SUM(H51:H56)</f>
        <v>4097278</v>
      </c>
      <c r="I50" s="186">
        <f t="shared" ref="I50:I56" si="32">H50/$H$75</f>
        <v>0.59935118821319888</v>
      </c>
      <c r="K50" s="190" t="s">
        <v>290</v>
      </c>
      <c r="L50" s="190" t="s">
        <v>290</v>
      </c>
      <c r="M50" s="198">
        <f t="shared" si="31"/>
        <v>0</v>
      </c>
      <c r="N50" s="271">
        <v>0</v>
      </c>
      <c r="O50" s="271">
        <v>0</v>
      </c>
      <c r="P50" s="271">
        <v>0</v>
      </c>
      <c r="Q50" s="271">
        <f>P50</f>
        <v>0</v>
      </c>
      <c r="R50" s="271">
        <f>Q50</f>
        <v>0</v>
      </c>
      <c r="S50" s="271">
        <f>R50</f>
        <v>0</v>
      </c>
      <c r="T50" s="271">
        <f>S50</f>
        <v>0</v>
      </c>
      <c r="U50" s="206">
        <v>0</v>
      </c>
      <c r="V50" s="271">
        <v>0</v>
      </c>
      <c r="W50" s="271">
        <v>0</v>
      </c>
      <c r="X50" s="271">
        <f t="shared" ref="X50:AE50" si="33">W50</f>
        <v>0</v>
      </c>
      <c r="Y50" s="271">
        <f t="shared" si="33"/>
        <v>0</v>
      </c>
      <c r="Z50" s="206">
        <f t="shared" si="33"/>
        <v>0</v>
      </c>
      <c r="AA50" s="206">
        <f t="shared" si="33"/>
        <v>0</v>
      </c>
      <c r="AB50" s="206">
        <f t="shared" si="33"/>
        <v>0</v>
      </c>
      <c r="AC50" s="206">
        <f t="shared" si="33"/>
        <v>0</v>
      </c>
      <c r="AD50" s="206">
        <f t="shared" si="33"/>
        <v>0</v>
      </c>
      <c r="AE50" s="206">
        <f t="shared" si="33"/>
        <v>0</v>
      </c>
    </row>
    <row r="51" spans="1:35" ht="15.4" customHeight="1" x14ac:dyDescent="0.25">
      <c r="A51" s="190" t="str">
        <f t="shared" si="29"/>
        <v>Nuevos Socios</v>
      </c>
      <c r="B51" s="191">
        <f t="shared" si="30"/>
        <v>8.7905230993655849E-3</v>
      </c>
      <c r="D51" s="207" t="s">
        <v>291</v>
      </c>
      <c r="E51" s="208">
        <f>N44</f>
        <v>0</v>
      </c>
      <c r="F51" s="194">
        <f>E51/E75</f>
        <v>0</v>
      </c>
      <c r="G51" s="209" t="s">
        <v>292</v>
      </c>
      <c r="H51" s="210">
        <v>0</v>
      </c>
      <c r="I51" s="197">
        <f t="shared" si="32"/>
        <v>0</v>
      </c>
      <c r="K51" s="457" t="s">
        <v>293</v>
      </c>
      <c r="L51" s="190" t="s">
        <v>294</v>
      </c>
      <c r="M51" s="198">
        <f t="shared" si="31"/>
        <v>50040</v>
      </c>
      <c r="N51" s="271">
        <v>0</v>
      </c>
      <c r="O51" s="271">
        <v>1200</v>
      </c>
      <c r="P51" s="271">
        <v>1320</v>
      </c>
      <c r="Q51" s="271">
        <f>780+750</f>
        <v>1530</v>
      </c>
      <c r="R51" s="271">
        <f>750*2</f>
        <v>1500</v>
      </c>
      <c r="S51" s="271">
        <f>R51</f>
        <v>1500</v>
      </c>
      <c r="T51" s="271">
        <f>720+720</f>
        <v>1440</v>
      </c>
      <c r="U51" s="206">
        <v>1440</v>
      </c>
      <c r="V51" s="271">
        <v>1380</v>
      </c>
      <c r="W51" s="271">
        <v>1380</v>
      </c>
      <c r="X51" s="271">
        <v>1350</v>
      </c>
      <c r="Y51" s="271">
        <v>1320</v>
      </c>
      <c r="Z51" s="206">
        <f>Y51</f>
        <v>1320</v>
      </c>
      <c r="AA51" s="206">
        <v>1260</v>
      </c>
      <c r="AB51" s="206">
        <v>1260</v>
      </c>
      <c r="AC51" s="206">
        <v>1230</v>
      </c>
      <c r="AD51" s="206">
        <v>1200</v>
      </c>
      <c r="AE51" s="206">
        <f>660+24630+2490+630</f>
        <v>28410</v>
      </c>
    </row>
    <row r="52" spans="1:35" x14ac:dyDescent="0.25">
      <c r="A52" s="190" t="str">
        <f t="shared" si="29"/>
        <v>Premios</v>
      </c>
      <c r="B52" s="191">
        <f t="shared" si="30"/>
        <v>0.41686473450828404</v>
      </c>
      <c r="D52" s="207" t="str">
        <f>L53</f>
        <v>Ing Reservas</v>
      </c>
      <c r="E52" s="208">
        <f>M53*-1</f>
        <v>0</v>
      </c>
      <c r="F52" s="194">
        <f>E52/E75</f>
        <v>0</v>
      </c>
      <c r="G52" s="209" t="s">
        <v>295</v>
      </c>
      <c r="H52" s="210">
        <v>0</v>
      </c>
      <c r="I52" s="197">
        <f t="shared" si="32"/>
        <v>0</v>
      </c>
      <c r="K52" s="457"/>
      <c r="L52" s="190" t="s">
        <v>296</v>
      </c>
      <c r="M52" s="198">
        <f t="shared" si="31"/>
        <v>2373000</v>
      </c>
      <c r="N52" s="271">
        <v>0</v>
      </c>
      <c r="O52" s="271">
        <v>903000</v>
      </c>
      <c r="P52" s="271">
        <v>0</v>
      </c>
      <c r="Q52" s="271">
        <v>160000</v>
      </c>
      <c r="R52" s="271">
        <v>0</v>
      </c>
      <c r="S52" s="271">
        <v>0</v>
      </c>
      <c r="T52" s="271">
        <v>0</v>
      </c>
      <c r="U52" s="206">
        <v>0</v>
      </c>
      <c r="V52" s="271">
        <v>0</v>
      </c>
      <c r="W52" s="271">
        <v>0</v>
      </c>
      <c r="X52" s="271">
        <v>0</v>
      </c>
      <c r="Y52" s="271">
        <v>0</v>
      </c>
      <c r="Z52" s="206">
        <v>0</v>
      </c>
      <c r="AA52" s="206">
        <v>0</v>
      </c>
      <c r="AB52" s="206">
        <v>0</v>
      </c>
      <c r="AC52" s="206">
        <v>0</v>
      </c>
      <c r="AD52" s="206">
        <v>10000</v>
      </c>
      <c r="AE52" s="206">
        <f>900000+400000</f>
        <v>1300000</v>
      </c>
    </row>
    <row r="53" spans="1:35" ht="18.75" x14ac:dyDescent="0.3">
      <c r="A53" s="190" t="str">
        <f t="shared" si="29"/>
        <v>Ing Reservas</v>
      </c>
      <c r="B53" s="191">
        <f t="shared" si="30"/>
        <v>0</v>
      </c>
      <c r="C53" s="211"/>
      <c r="D53" s="207" t="str">
        <f>L63</f>
        <v>Pago Reservas</v>
      </c>
      <c r="E53" s="208">
        <f>M63</f>
        <v>0</v>
      </c>
      <c r="F53" s="194">
        <f>E53/E75</f>
        <v>0</v>
      </c>
      <c r="G53" s="209" t="s">
        <v>297</v>
      </c>
      <c r="H53" s="210">
        <v>1187500</v>
      </c>
      <c r="I53" s="197">
        <f t="shared" si="32"/>
        <v>0.17370789485194163</v>
      </c>
      <c r="J53" s="212"/>
      <c r="K53" s="457"/>
      <c r="L53" s="190" t="s">
        <v>298</v>
      </c>
      <c r="M53" s="198">
        <f t="shared" si="31"/>
        <v>0</v>
      </c>
      <c r="N53" s="271">
        <v>0</v>
      </c>
      <c r="O53" s="271">
        <v>0</v>
      </c>
      <c r="P53" s="271">
        <f t="shared" ref="P53:AE53" si="34">O53</f>
        <v>0</v>
      </c>
      <c r="Q53" s="271">
        <f t="shared" si="34"/>
        <v>0</v>
      </c>
      <c r="R53" s="271">
        <f t="shared" si="34"/>
        <v>0</v>
      </c>
      <c r="S53" s="271">
        <f t="shared" si="34"/>
        <v>0</v>
      </c>
      <c r="T53" s="271">
        <f t="shared" si="34"/>
        <v>0</v>
      </c>
      <c r="U53" s="206">
        <f t="shared" si="34"/>
        <v>0</v>
      </c>
      <c r="V53" s="271">
        <f t="shared" si="34"/>
        <v>0</v>
      </c>
      <c r="W53" s="271">
        <f t="shared" si="34"/>
        <v>0</v>
      </c>
      <c r="X53" s="271">
        <f t="shared" si="34"/>
        <v>0</v>
      </c>
      <c r="Y53" s="271">
        <f t="shared" si="34"/>
        <v>0</v>
      </c>
      <c r="Z53" s="206">
        <f t="shared" si="34"/>
        <v>0</v>
      </c>
      <c r="AA53" s="206">
        <f t="shared" si="34"/>
        <v>0</v>
      </c>
      <c r="AB53" s="206">
        <f t="shared" si="34"/>
        <v>0</v>
      </c>
      <c r="AC53" s="206">
        <f t="shared" si="34"/>
        <v>0</v>
      </c>
      <c r="AD53" s="206">
        <f t="shared" si="34"/>
        <v>0</v>
      </c>
      <c r="AE53" s="206">
        <f t="shared" si="34"/>
        <v>0</v>
      </c>
      <c r="AF53" s="212"/>
      <c r="AG53" s="212"/>
      <c r="AH53" s="212"/>
      <c r="AI53" s="212"/>
    </row>
    <row r="54" spans="1:35" ht="18.75" x14ac:dyDescent="0.3">
      <c r="A54" s="211"/>
      <c r="B54" s="213">
        <f>SUM(B46:B53)</f>
        <v>1</v>
      </c>
      <c r="D54" s="204"/>
      <c r="E54" s="214"/>
      <c r="G54" s="209" t="s">
        <v>299</v>
      </c>
      <c r="H54" s="210">
        <v>0</v>
      </c>
      <c r="I54" s="197">
        <f t="shared" si="32"/>
        <v>0</v>
      </c>
      <c r="K54" s="215" t="s">
        <v>300</v>
      </c>
      <c r="L54" s="216"/>
      <c r="M54" s="217">
        <f t="shared" si="31"/>
        <v>5692494</v>
      </c>
      <c r="N54" s="218">
        <f t="shared" ref="N54:AE54" si="35">SUM(N46:N53)</f>
        <v>0</v>
      </c>
      <c r="O54" s="218">
        <f t="shared" si="35"/>
        <v>1077233</v>
      </c>
      <c r="P54" s="218">
        <f t="shared" si="35"/>
        <v>75873</v>
      </c>
      <c r="Q54" s="218">
        <f t="shared" si="35"/>
        <v>332780</v>
      </c>
      <c r="R54" s="218">
        <f t="shared" si="35"/>
        <v>63842</v>
      </c>
      <c r="S54" s="218">
        <f t="shared" si="35"/>
        <v>145312</v>
      </c>
      <c r="T54" s="218">
        <f t="shared" si="35"/>
        <v>161962</v>
      </c>
      <c r="U54" s="218">
        <f t="shared" si="35"/>
        <v>67008</v>
      </c>
      <c r="V54" s="218">
        <f t="shared" si="35"/>
        <v>55992</v>
      </c>
      <c r="W54" s="218">
        <f t="shared" si="35"/>
        <v>174652</v>
      </c>
      <c r="X54" s="218">
        <f t="shared" si="35"/>
        <v>62000</v>
      </c>
      <c r="Y54" s="218">
        <f t="shared" si="35"/>
        <v>205087</v>
      </c>
      <c r="Z54" s="218">
        <f t="shared" si="35"/>
        <v>67837</v>
      </c>
      <c r="AA54" s="218">
        <f t="shared" si="35"/>
        <v>1404298</v>
      </c>
      <c r="AB54" s="218">
        <f t="shared" si="35"/>
        <v>73013</v>
      </c>
      <c r="AC54" s="218">
        <f t="shared" si="35"/>
        <v>221844</v>
      </c>
      <c r="AD54" s="218">
        <f t="shared" si="35"/>
        <v>89687</v>
      </c>
      <c r="AE54" s="218">
        <f t="shared" si="35"/>
        <v>1414074</v>
      </c>
    </row>
    <row r="55" spans="1:35" ht="18.75" x14ac:dyDescent="0.3">
      <c r="A55" s="458">
        <f>M54</f>
        <v>5692494</v>
      </c>
      <c r="B55" s="458"/>
      <c r="D55" s="182" t="s">
        <v>301</v>
      </c>
      <c r="E55" s="183">
        <f>SUM(E56:E59)</f>
        <v>0</v>
      </c>
      <c r="F55" s="184">
        <f>E55/E75</f>
        <v>0</v>
      </c>
      <c r="G55" s="209" t="s">
        <v>302</v>
      </c>
      <c r="H55" s="210">
        <v>0</v>
      </c>
      <c r="I55" s="197">
        <f t="shared" si="32"/>
        <v>0</v>
      </c>
      <c r="K55" s="219" t="s">
        <v>204</v>
      </c>
      <c r="L55" s="220" t="str">
        <f>K55</f>
        <v>Sueldos</v>
      </c>
      <c r="M55" s="221">
        <f t="shared" si="31"/>
        <v>137730</v>
      </c>
      <c r="N55" s="272">
        <v>0</v>
      </c>
      <c r="O55" s="272">
        <v>8040</v>
      </c>
      <c r="P55" s="272">
        <v>8090</v>
      </c>
      <c r="Q55" s="272">
        <v>8090</v>
      </c>
      <c r="R55" s="272">
        <v>7700</v>
      </c>
      <c r="S55" s="272">
        <v>7700</v>
      </c>
      <c r="T55" s="272">
        <v>7700</v>
      </c>
      <c r="U55" s="222">
        <v>7700</v>
      </c>
      <c r="V55" s="272">
        <v>7700</v>
      </c>
      <c r="W55" s="272">
        <v>7700</v>
      </c>
      <c r="X55" s="272">
        <v>7700</v>
      </c>
      <c r="Y55" s="272">
        <v>7700</v>
      </c>
      <c r="Z55" s="222">
        <v>9040</v>
      </c>
      <c r="AA55" s="222">
        <v>9040</v>
      </c>
      <c r="AB55" s="222">
        <v>8470</v>
      </c>
      <c r="AC55" s="222">
        <v>8470</v>
      </c>
      <c r="AD55" s="222">
        <v>8470</v>
      </c>
      <c r="AE55" s="222">
        <v>8420</v>
      </c>
    </row>
    <row r="56" spans="1:35" x14ac:dyDescent="0.25">
      <c r="D56" s="207" t="s">
        <v>303</v>
      </c>
      <c r="E56" s="208">
        <v>0</v>
      </c>
      <c r="F56" s="194">
        <f>E56/E75</f>
        <v>0</v>
      </c>
      <c r="G56" s="223" t="s">
        <v>304</v>
      </c>
      <c r="H56" s="224">
        <f>E69-H66</f>
        <v>2909778</v>
      </c>
      <c r="I56" s="197">
        <f t="shared" si="32"/>
        <v>0.42564329336125728</v>
      </c>
      <c r="K56" s="219" t="s">
        <v>305</v>
      </c>
      <c r="L56" s="220" t="str">
        <f>K56</f>
        <v xml:space="preserve">Mantenimiento </v>
      </c>
      <c r="M56" s="221">
        <f t="shared" si="31"/>
        <v>143926</v>
      </c>
      <c r="N56" s="272">
        <v>0</v>
      </c>
      <c r="O56" s="272">
        <v>7100</v>
      </c>
      <c r="P56" s="272">
        <v>7100</v>
      </c>
      <c r="Q56" s="272">
        <v>7800</v>
      </c>
      <c r="R56" s="272">
        <f t="shared" ref="R56:X56" si="36">Q56</f>
        <v>7800</v>
      </c>
      <c r="S56" s="272">
        <f t="shared" si="36"/>
        <v>7800</v>
      </c>
      <c r="T56" s="272">
        <f t="shared" si="36"/>
        <v>7800</v>
      </c>
      <c r="U56" s="222">
        <f t="shared" si="36"/>
        <v>7800</v>
      </c>
      <c r="V56" s="272">
        <f t="shared" si="36"/>
        <v>7800</v>
      </c>
      <c r="W56" s="272">
        <f t="shared" si="36"/>
        <v>7800</v>
      </c>
      <c r="X56" s="272">
        <f t="shared" si="36"/>
        <v>7800</v>
      </c>
      <c r="Y56" s="272">
        <v>9618</v>
      </c>
      <c r="Z56" s="222">
        <f t="shared" ref="Z56:AE56" si="37">Y56</f>
        <v>9618</v>
      </c>
      <c r="AA56" s="222">
        <f t="shared" si="37"/>
        <v>9618</v>
      </c>
      <c r="AB56" s="222">
        <f t="shared" si="37"/>
        <v>9618</v>
      </c>
      <c r="AC56" s="222">
        <f t="shared" si="37"/>
        <v>9618</v>
      </c>
      <c r="AD56" s="222">
        <f t="shared" si="37"/>
        <v>9618</v>
      </c>
      <c r="AE56" s="222">
        <f t="shared" si="37"/>
        <v>9618</v>
      </c>
    </row>
    <row r="57" spans="1:35" ht="20.25" customHeight="1" x14ac:dyDescent="0.25">
      <c r="D57" s="207" t="s">
        <v>301</v>
      </c>
      <c r="E57" s="208">
        <v>0</v>
      </c>
      <c r="F57" s="194">
        <f>E57/E75</f>
        <v>0</v>
      </c>
      <c r="G57" s="204"/>
      <c r="H57" s="203"/>
      <c r="I57" s="225"/>
      <c r="K57" s="219" t="s">
        <v>306</v>
      </c>
      <c r="L57" s="220" t="s">
        <v>279</v>
      </c>
      <c r="M57" s="221">
        <f t="shared" si="31"/>
        <v>574995</v>
      </c>
      <c r="N57" s="272">
        <v>88000</v>
      </c>
      <c r="O57" s="272">
        <v>0</v>
      </c>
      <c r="P57" s="272">
        <v>0</v>
      </c>
      <c r="Q57" s="272">
        <v>0</v>
      </c>
      <c r="R57" s="272">
        <v>0</v>
      </c>
      <c r="S57" s="272">
        <v>0</v>
      </c>
      <c r="T57" s="272">
        <v>0</v>
      </c>
      <c r="U57" s="222">
        <v>0</v>
      </c>
      <c r="V57" s="272">
        <v>0</v>
      </c>
      <c r="W57" s="272">
        <v>182770</v>
      </c>
      <c r="X57" s="272">
        <v>0</v>
      </c>
      <c r="Y57" s="272">
        <v>0</v>
      </c>
      <c r="Z57" s="222">
        <v>0</v>
      </c>
      <c r="AA57" s="222">
        <v>0</v>
      </c>
      <c r="AB57" s="222">
        <v>0</v>
      </c>
      <c r="AC57" s="222">
        <v>0</v>
      </c>
      <c r="AD57" s="222">
        <v>304225</v>
      </c>
      <c r="AE57" s="222">
        <v>0</v>
      </c>
    </row>
    <row r="58" spans="1:35" x14ac:dyDescent="0.25">
      <c r="D58" s="207" t="s">
        <v>307</v>
      </c>
      <c r="E58" s="208">
        <v>0</v>
      </c>
      <c r="F58" s="194">
        <f>E58/E75</f>
        <v>0</v>
      </c>
      <c r="G58" s="182" t="s">
        <v>308</v>
      </c>
      <c r="H58" s="226">
        <f>H59</f>
        <v>0</v>
      </c>
      <c r="I58" s="186">
        <f>H58/$H$75</f>
        <v>0</v>
      </c>
      <c r="K58" s="219" t="s">
        <v>309</v>
      </c>
      <c r="L58" s="220" t="str">
        <f>K58</f>
        <v>Empleados</v>
      </c>
      <c r="M58" s="221">
        <f t="shared" si="31"/>
        <v>946560</v>
      </c>
      <c r="N58" s="272">
        <v>0</v>
      </c>
      <c r="O58" s="272">
        <v>32640</v>
      </c>
      <c r="P58" s="272">
        <v>57120</v>
      </c>
      <c r="Q58" s="272">
        <f t="shared" ref="Q58:AE58" si="38">P58</f>
        <v>57120</v>
      </c>
      <c r="R58" s="272">
        <f t="shared" si="38"/>
        <v>57120</v>
      </c>
      <c r="S58" s="272">
        <f t="shared" si="38"/>
        <v>57120</v>
      </c>
      <c r="T58" s="272">
        <f t="shared" si="38"/>
        <v>57120</v>
      </c>
      <c r="U58" s="222">
        <f t="shared" si="38"/>
        <v>57120</v>
      </c>
      <c r="V58" s="272">
        <f t="shared" si="38"/>
        <v>57120</v>
      </c>
      <c r="W58" s="272">
        <f t="shared" si="38"/>
        <v>57120</v>
      </c>
      <c r="X58" s="272">
        <f t="shared" si="38"/>
        <v>57120</v>
      </c>
      <c r="Y58" s="272">
        <f t="shared" si="38"/>
        <v>57120</v>
      </c>
      <c r="Z58" s="222">
        <f t="shared" si="38"/>
        <v>57120</v>
      </c>
      <c r="AA58" s="222">
        <f t="shared" si="38"/>
        <v>57120</v>
      </c>
      <c r="AB58" s="222">
        <f t="shared" si="38"/>
        <v>57120</v>
      </c>
      <c r="AC58" s="222">
        <f t="shared" si="38"/>
        <v>57120</v>
      </c>
      <c r="AD58" s="222">
        <f t="shared" si="38"/>
        <v>57120</v>
      </c>
      <c r="AE58" s="222">
        <f t="shared" si="38"/>
        <v>57120</v>
      </c>
    </row>
    <row r="59" spans="1:35" x14ac:dyDescent="0.25">
      <c r="D59" s="207" t="s">
        <v>310</v>
      </c>
      <c r="E59" s="208">
        <v>0</v>
      </c>
      <c r="F59" s="194">
        <f>E59/E75</f>
        <v>0</v>
      </c>
      <c r="G59" s="227" t="s">
        <v>311</v>
      </c>
      <c r="H59" s="228">
        <f>M60</f>
        <v>0</v>
      </c>
      <c r="I59" s="197">
        <f>H59/$H$75</f>
        <v>0</v>
      </c>
      <c r="K59" s="219" t="s">
        <v>312</v>
      </c>
      <c r="L59" s="220" t="str">
        <f>K59</f>
        <v>Juveniles</v>
      </c>
      <c r="M59" s="221">
        <f t="shared" si="31"/>
        <v>360000</v>
      </c>
      <c r="N59" s="272">
        <v>20000</v>
      </c>
      <c r="O59" s="272">
        <v>20000</v>
      </c>
      <c r="P59" s="272">
        <v>20000</v>
      </c>
      <c r="Q59" s="272">
        <v>20000</v>
      </c>
      <c r="R59" s="272">
        <v>20000</v>
      </c>
      <c r="S59" s="272">
        <v>20000</v>
      </c>
      <c r="T59" s="272">
        <v>20000</v>
      </c>
      <c r="U59" s="222">
        <v>20000</v>
      </c>
      <c r="V59" s="272">
        <v>20000</v>
      </c>
      <c r="W59" s="272">
        <v>20000</v>
      </c>
      <c r="X59" s="272">
        <v>20000</v>
      </c>
      <c r="Y59" s="272">
        <v>20000</v>
      </c>
      <c r="Z59" s="222">
        <v>20000</v>
      </c>
      <c r="AA59" s="222">
        <v>20000</v>
      </c>
      <c r="AB59" s="222">
        <v>20000</v>
      </c>
      <c r="AC59" s="222">
        <v>20000</v>
      </c>
      <c r="AD59" s="222">
        <v>20000</v>
      </c>
      <c r="AE59" s="222">
        <v>20000</v>
      </c>
    </row>
    <row r="60" spans="1:35" ht="18.75" customHeight="1" x14ac:dyDescent="0.25">
      <c r="D60" s="204"/>
      <c r="E60" s="214"/>
      <c r="G60" s="202"/>
      <c r="H60" s="203"/>
      <c r="I60" s="197"/>
      <c r="K60" s="219" t="s">
        <v>313</v>
      </c>
      <c r="L60" s="220" t="s">
        <v>311</v>
      </c>
      <c r="M60" s="221">
        <f t="shared" si="31"/>
        <v>0</v>
      </c>
      <c r="N60" s="272">
        <v>0</v>
      </c>
      <c r="O60" s="272">
        <v>0</v>
      </c>
      <c r="P60" s="272">
        <v>0</v>
      </c>
      <c r="Q60" s="272">
        <v>0</v>
      </c>
      <c r="R60" s="272">
        <v>0</v>
      </c>
      <c r="S60" s="272">
        <v>0</v>
      </c>
      <c r="T60" s="272">
        <v>0</v>
      </c>
      <c r="U60" s="222">
        <v>0</v>
      </c>
      <c r="V60" s="272">
        <v>0</v>
      </c>
      <c r="W60" s="272">
        <v>0</v>
      </c>
      <c r="X60" s="272">
        <v>0</v>
      </c>
      <c r="Y60" s="272">
        <v>0</v>
      </c>
      <c r="Z60" s="222">
        <v>0</v>
      </c>
      <c r="AA60" s="222">
        <v>0</v>
      </c>
      <c r="AB60" s="222">
        <v>0</v>
      </c>
      <c r="AC60" s="222">
        <v>0</v>
      </c>
      <c r="AD60" s="222">
        <v>0</v>
      </c>
      <c r="AE60" s="222">
        <v>0</v>
      </c>
    </row>
    <row r="61" spans="1:35" ht="15.4" customHeight="1" x14ac:dyDescent="0.25">
      <c r="D61" s="182" t="s">
        <v>286</v>
      </c>
      <c r="E61" s="229">
        <f>E62</f>
        <v>1187500</v>
      </c>
      <c r="F61" s="184">
        <f>E61/E75</f>
        <v>0.17370789485194163</v>
      </c>
      <c r="G61" s="202"/>
      <c r="H61" s="203"/>
      <c r="I61" s="197"/>
      <c r="K61" s="459" t="s">
        <v>293</v>
      </c>
      <c r="L61" s="220" t="s">
        <v>213</v>
      </c>
      <c r="M61" s="221">
        <f t="shared" si="31"/>
        <v>268700</v>
      </c>
      <c r="N61" s="272">
        <v>0</v>
      </c>
      <c r="O61" s="272">
        <v>268700</v>
      </c>
      <c r="P61" s="272">
        <v>0</v>
      </c>
      <c r="Q61" s="272">
        <v>0</v>
      </c>
      <c r="R61" s="272">
        <v>0</v>
      </c>
      <c r="S61" s="272">
        <v>0</v>
      </c>
      <c r="T61" s="272">
        <v>0</v>
      </c>
      <c r="U61" s="222">
        <v>0</v>
      </c>
      <c r="V61" s="272">
        <v>0</v>
      </c>
      <c r="W61" s="272">
        <v>0</v>
      </c>
      <c r="X61" s="272">
        <v>0</v>
      </c>
      <c r="Y61" s="272">
        <v>0</v>
      </c>
      <c r="Z61" s="222">
        <v>0</v>
      </c>
      <c r="AA61" s="222">
        <v>0</v>
      </c>
      <c r="AB61" s="222">
        <v>0</v>
      </c>
      <c r="AC61" s="222">
        <v>0</v>
      </c>
      <c r="AD61" s="222">
        <v>0</v>
      </c>
      <c r="AE61" s="222">
        <v>0</v>
      </c>
    </row>
    <row r="62" spans="1:35" x14ac:dyDescent="0.25">
      <c r="D62" s="207" t="s">
        <v>286</v>
      </c>
      <c r="E62" s="208">
        <f>M48+M49</f>
        <v>1187500</v>
      </c>
      <c r="F62" s="194">
        <f>E62/E75</f>
        <v>0.17370789485194163</v>
      </c>
      <c r="G62" s="182" t="s">
        <v>314</v>
      </c>
      <c r="H62" s="185">
        <f>SUM(H63:H64)</f>
        <v>843695</v>
      </c>
      <c r="I62" s="186">
        <f>H62/$H$75</f>
        <v>0.12341598513440749</v>
      </c>
      <c r="K62" s="459"/>
      <c r="L62" s="220" t="s">
        <v>315</v>
      </c>
      <c r="M62" s="221">
        <f t="shared" si="31"/>
        <v>7000</v>
      </c>
      <c r="N62" s="272">
        <v>7000</v>
      </c>
      <c r="O62" s="272">
        <v>0</v>
      </c>
      <c r="P62" s="272">
        <v>0</v>
      </c>
      <c r="Q62" s="272">
        <v>0</v>
      </c>
      <c r="R62" s="272">
        <v>0</v>
      </c>
      <c r="S62" s="272">
        <v>0</v>
      </c>
      <c r="T62" s="272">
        <v>0</v>
      </c>
      <c r="U62" s="222">
        <v>0</v>
      </c>
      <c r="V62" s="272">
        <v>0</v>
      </c>
      <c r="W62" s="272">
        <v>0</v>
      </c>
      <c r="X62" s="272">
        <v>0</v>
      </c>
      <c r="Y62" s="272">
        <v>0</v>
      </c>
      <c r="Z62" s="222">
        <v>0</v>
      </c>
      <c r="AA62" s="222">
        <v>0</v>
      </c>
      <c r="AB62" s="222">
        <v>0</v>
      </c>
      <c r="AC62" s="222">
        <v>0</v>
      </c>
      <c r="AD62" s="222">
        <v>0</v>
      </c>
      <c r="AE62" s="222">
        <v>0</v>
      </c>
    </row>
    <row r="63" spans="1:35" ht="15.75" customHeight="1" x14ac:dyDescent="0.3">
      <c r="C63" s="230"/>
      <c r="D63" s="204"/>
      <c r="E63" s="214"/>
      <c r="G63" s="227" t="s">
        <v>279</v>
      </c>
      <c r="H63" s="231">
        <f>M57</f>
        <v>574995</v>
      </c>
      <c r="I63" s="197">
        <f>H63/$H$75</f>
        <v>8.4110459789803943E-2</v>
      </c>
      <c r="K63" s="459"/>
      <c r="L63" s="220" t="s">
        <v>316</v>
      </c>
      <c r="M63" s="221">
        <f t="shared" si="31"/>
        <v>0</v>
      </c>
      <c r="N63" s="272">
        <v>0</v>
      </c>
      <c r="O63" s="272">
        <v>0</v>
      </c>
      <c r="P63" s="272">
        <v>0</v>
      </c>
      <c r="Q63" s="272">
        <v>0</v>
      </c>
      <c r="R63" s="272">
        <v>0</v>
      </c>
      <c r="S63" s="272">
        <v>0</v>
      </c>
      <c r="T63" s="272">
        <v>0</v>
      </c>
      <c r="U63" s="222">
        <v>0</v>
      </c>
      <c r="V63" s="272">
        <v>0</v>
      </c>
      <c r="W63" s="272">
        <v>0</v>
      </c>
      <c r="X63" s="272">
        <v>0</v>
      </c>
      <c r="Y63" s="272">
        <v>0</v>
      </c>
      <c r="Z63" s="222">
        <v>0</v>
      </c>
      <c r="AA63" s="222">
        <v>0</v>
      </c>
      <c r="AB63" s="222">
        <v>0</v>
      </c>
      <c r="AC63" s="222">
        <v>0</v>
      </c>
      <c r="AD63" s="222">
        <v>0</v>
      </c>
      <c r="AE63" s="222">
        <v>0</v>
      </c>
    </row>
    <row r="64" spans="1:35" ht="18.75" x14ac:dyDescent="0.3">
      <c r="A64" s="220" t="str">
        <f t="shared" ref="A64:A71" si="39">L55</f>
        <v>Sueldos</v>
      </c>
      <c r="B64" s="232">
        <f t="shared" ref="B64:B71" si="40">M55/$M$65</f>
        <v>5.6471925379810904E-2</v>
      </c>
      <c r="C64" s="6"/>
      <c r="D64" s="182" t="s">
        <v>317</v>
      </c>
      <c r="E64" s="183">
        <f>E65+E66-E67</f>
        <v>300000</v>
      </c>
      <c r="F64" s="184">
        <f>E64/E75</f>
        <v>4.3884099752069465E-2</v>
      </c>
      <c r="G64" s="227" t="s">
        <v>213</v>
      </c>
      <c r="H64" s="231">
        <f>M61</f>
        <v>268700</v>
      </c>
      <c r="I64" s="197">
        <f>H64/$H$75</f>
        <v>3.9305525344603548E-2</v>
      </c>
      <c r="K64" s="219" t="s">
        <v>318</v>
      </c>
      <c r="L64" s="220" t="str">
        <f>K64</f>
        <v>Intereses</v>
      </c>
      <c r="M64" s="221">
        <f t="shared" si="31"/>
        <v>0</v>
      </c>
      <c r="N64" s="272">
        <v>0</v>
      </c>
      <c r="O64" s="272">
        <v>0</v>
      </c>
      <c r="P64" s="272">
        <v>0</v>
      </c>
      <c r="Q64" s="272">
        <v>0</v>
      </c>
      <c r="R64" s="272">
        <v>0</v>
      </c>
      <c r="S64" s="272">
        <v>0</v>
      </c>
      <c r="T64" s="272">
        <v>0</v>
      </c>
      <c r="U64" s="222">
        <v>0</v>
      </c>
      <c r="V64" s="272">
        <v>0</v>
      </c>
      <c r="W64" s="272">
        <v>0</v>
      </c>
      <c r="X64" s="272">
        <v>0</v>
      </c>
      <c r="Y64" s="272">
        <v>0</v>
      </c>
      <c r="Z64" s="222">
        <v>0</v>
      </c>
      <c r="AA64" s="222">
        <v>0</v>
      </c>
      <c r="AB64" s="222">
        <v>0</v>
      </c>
      <c r="AC64" s="222">
        <v>0</v>
      </c>
      <c r="AD64" s="222">
        <v>0</v>
      </c>
      <c r="AE64" s="222">
        <v>0</v>
      </c>
    </row>
    <row r="65" spans="1:31" ht="18.75" x14ac:dyDescent="0.3">
      <c r="A65" s="220" t="str">
        <f t="shared" si="39"/>
        <v xml:space="preserve">Mantenimiento </v>
      </c>
      <c r="B65" s="232">
        <f t="shared" si="40"/>
        <v>5.9012403486638096E-2</v>
      </c>
      <c r="C65" s="168"/>
      <c r="D65" s="209" t="s">
        <v>319</v>
      </c>
      <c r="E65" s="233">
        <f>N45</f>
        <v>300000</v>
      </c>
      <c r="F65" s="194">
        <f>E65/E75</f>
        <v>4.3884099752069465E-2</v>
      </c>
      <c r="G65" s="202"/>
      <c r="H65" s="203"/>
      <c r="I65" s="197"/>
      <c r="K65" s="234" t="s">
        <v>320</v>
      </c>
      <c r="L65" s="235"/>
      <c r="M65" s="236">
        <f t="shared" si="31"/>
        <v>2438911</v>
      </c>
      <c r="N65" s="237">
        <f t="shared" ref="N65:AE65" si="41">SUM(N55:N64)</f>
        <v>115000</v>
      </c>
      <c r="O65" s="237">
        <f t="shared" si="41"/>
        <v>336480</v>
      </c>
      <c r="P65" s="237">
        <f t="shared" si="41"/>
        <v>92310</v>
      </c>
      <c r="Q65" s="237">
        <f t="shared" si="41"/>
        <v>93010</v>
      </c>
      <c r="R65" s="237">
        <f t="shared" si="41"/>
        <v>92620</v>
      </c>
      <c r="S65" s="237">
        <f t="shared" si="41"/>
        <v>92620</v>
      </c>
      <c r="T65" s="237">
        <f t="shared" si="41"/>
        <v>92620</v>
      </c>
      <c r="U65" s="237">
        <f t="shared" si="41"/>
        <v>92620</v>
      </c>
      <c r="V65" s="237">
        <f t="shared" si="41"/>
        <v>92620</v>
      </c>
      <c r="W65" s="237">
        <f t="shared" si="41"/>
        <v>275390</v>
      </c>
      <c r="X65" s="237">
        <f t="shared" si="41"/>
        <v>92620</v>
      </c>
      <c r="Y65" s="237">
        <f t="shared" si="41"/>
        <v>94438</v>
      </c>
      <c r="Z65" s="237">
        <f t="shared" si="41"/>
        <v>95778</v>
      </c>
      <c r="AA65" s="237">
        <f t="shared" si="41"/>
        <v>95778</v>
      </c>
      <c r="AB65" s="237">
        <f t="shared" si="41"/>
        <v>95208</v>
      </c>
      <c r="AC65" s="237">
        <f t="shared" si="41"/>
        <v>95208</v>
      </c>
      <c r="AD65" s="237">
        <f t="shared" si="41"/>
        <v>399433</v>
      </c>
      <c r="AE65" s="237">
        <f t="shared" si="41"/>
        <v>95158</v>
      </c>
    </row>
    <row r="66" spans="1:31" ht="18.75" x14ac:dyDescent="0.3">
      <c r="A66" s="220" t="str">
        <f t="shared" si="39"/>
        <v>Estadio</v>
      </c>
      <c r="B66" s="232">
        <f t="shared" si="40"/>
        <v>0.23575891043174596</v>
      </c>
      <c r="C66" s="9"/>
      <c r="D66" s="209" t="str">
        <f>D52</f>
        <v>Ing Reservas</v>
      </c>
      <c r="E66" s="233">
        <f>M53</f>
        <v>0</v>
      </c>
      <c r="F66" s="194">
        <f>E66/E75</f>
        <v>0</v>
      </c>
      <c r="G66" s="182" t="s">
        <v>321</v>
      </c>
      <c r="H66" s="185">
        <f>SUM(H67:H72)</f>
        <v>1595216</v>
      </c>
      <c r="I66" s="186">
        <f t="shared" ref="I66:I72" si="42">H66/$H$75</f>
        <v>0.23334872690032415</v>
      </c>
      <c r="K66" s="238" t="s">
        <v>322</v>
      </c>
      <c r="L66" s="238"/>
      <c r="M66" s="189">
        <f t="shared" ref="M66:AE66" si="43">M45+M54-M65</f>
        <v>3553583</v>
      </c>
      <c r="N66" s="189">
        <f t="shared" si="43"/>
        <v>185000</v>
      </c>
      <c r="O66" s="189">
        <f t="shared" si="43"/>
        <v>925753</v>
      </c>
      <c r="P66" s="189">
        <f t="shared" si="43"/>
        <v>909316</v>
      </c>
      <c r="Q66" s="189">
        <f t="shared" si="43"/>
        <v>1149086</v>
      </c>
      <c r="R66" s="189">
        <f t="shared" si="43"/>
        <v>1120308</v>
      </c>
      <c r="S66" s="189">
        <f t="shared" si="43"/>
        <v>1173000</v>
      </c>
      <c r="T66" s="189">
        <f t="shared" si="43"/>
        <v>1242342</v>
      </c>
      <c r="U66" s="189">
        <f t="shared" si="43"/>
        <v>1216730</v>
      </c>
      <c r="V66" s="189">
        <f t="shared" si="43"/>
        <v>1180102</v>
      </c>
      <c r="W66" s="189">
        <f t="shared" si="43"/>
        <v>1079364</v>
      </c>
      <c r="X66" s="189">
        <f t="shared" si="43"/>
        <v>1048744</v>
      </c>
      <c r="Y66" s="189">
        <f t="shared" si="43"/>
        <v>1159393</v>
      </c>
      <c r="Z66" s="189">
        <f t="shared" si="43"/>
        <v>1131452</v>
      </c>
      <c r="AA66" s="189">
        <f t="shared" si="43"/>
        <v>2439972</v>
      </c>
      <c r="AB66" s="189">
        <f t="shared" si="43"/>
        <v>2417777</v>
      </c>
      <c r="AC66" s="189">
        <f t="shared" si="43"/>
        <v>2544413</v>
      </c>
      <c r="AD66" s="189">
        <f t="shared" si="43"/>
        <v>2234667</v>
      </c>
      <c r="AE66" s="189">
        <f t="shared" si="43"/>
        <v>3553583</v>
      </c>
    </row>
    <row r="67" spans="1:31" x14ac:dyDescent="0.25">
      <c r="A67" s="220" t="str">
        <f t="shared" si="39"/>
        <v>Empleados</v>
      </c>
      <c r="B67" s="232">
        <f t="shared" si="40"/>
        <v>0.38810764312432883</v>
      </c>
      <c r="C67" s="20"/>
      <c r="D67" s="209" t="str">
        <f>D53</f>
        <v>Pago Reservas</v>
      </c>
      <c r="E67" s="233">
        <f>M63*-1</f>
        <v>0</v>
      </c>
      <c r="F67" s="194">
        <f>E67/E75</f>
        <v>0</v>
      </c>
      <c r="G67" s="227" t="s">
        <v>323</v>
      </c>
      <c r="H67" s="231">
        <f>M55</f>
        <v>137730</v>
      </c>
      <c r="I67" s="197">
        <f t="shared" si="42"/>
        <v>2.0147190196175092E-2</v>
      </c>
      <c r="K67" s="239"/>
      <c r="L67" s="239"/>
      <c r="M67" s="239"/>
      <c r="N67" s="240">
        <f>N41+7</f>
        <v>43637</v>
      </c>
      <c r="O67" s="240">
        <f>O41+7</f>
        <v>43644</v>
      </c>
      <c r="P67" s="240">
        <f t="shared" ref="P67:AE67" si="44">O67+7</f>
        <v>43651</v>
      </c>
      <c r="Q67" s="240">
        <f t="shared" si="44"/>
        <v>43658</v>
      </c>
      <c r="R67" s="240">
        <f t="shared" si="44"/>
        <v>43665</v>
      </c>
      <c r="S67" s="240">
        <f t="shared" si="44"/>
        <v>43672</v>
      </c>
      <c r="T67" s="240">
        <f t="shared" si="44"/>
        <v>43679</v>
      </c>
      <c r="U67" s="240">
        <f t="shared" si="44"/>
        <v>43686</v>
      </c>
      <c r="V67" s="240">
        <f t="shared" si="44"/>
        <v>43693</v>
      </c>
      <c r="W67" s="240">
        <f t="shared" si="44"/>
        <v>43700</v>
      </c>
      <c r="X67" s="240">
        <f t="shared" si="44"/>
        <v>43707</v>
      </c>
      <c r="Y67" s="240">
        <f t="shared" si="44"/>
        <v>43714</v>
      </c>
      <c r="Z67" s="240">
        <f t="shared" si="44"/>
        <v>43721</v>
      </c>
      <c r="AA67" s="240">
        <f t="shared" si="44"/>
        <v>43728</v>
      </c>
      <c r="AB67" s="240">
        <f t="shared" si="44"/>
        <v>43735</v>
      </c>
      <c r="AC67" s="240">
        <f t="shared" si="44"/>
        <v>43742</v>
      </c>
      <c r="AD67" s="240">
        <f t="shared" si="44"/>
        <v>43749</v>
      </c>
      <c r="AE67" s="240">
        <f t="shared" si="44"/>
        <v>43756</v>
      </c>
    </row>
    <row r="68" spans="1:31" x14ac:dyDescent="0.25">
      <c r="A68" s="220" t="str">
        <f t="shared" si="39"/>
        <v>Juveniles</v>
      </c>
      <c r="B68" s="232">
        <f t="shared" si="40"/>
        <v>0.14760686224302569</v>
      </c>
      <c r="C68" s="9"/>
      <c r="D68" s="202"/>
      <c r="E68" s="241"/>
      <c r="F68" s="194"/>
      <c r="G68" s="227" t="s">
        <v>305</v>
      </c>
      <c r="H68" s="231">
        <f>M56</f>
        <v>143926</v>
      </c>
      <c r="I68" s="197">
        <f t="shared" si="42"/>
        <v>2.1053543136387833E-2</v>
      </c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</row>
    <row r="69" spans="1:31" x14ac:dyDescent="0.25">
      <c r="A69" s="220" t="str">
        <f t="shared" si="39"/>
        <v>Compra</v>
      </c>
      <c r="B69" s="232">
        <f t="shared" si="40"/>
        <v>0</v>
      </c>
      <c r="D69" s="182" t="s">
        <v>324</v>
      </c>
      <c r="E69" s="183">
        <f>SUM(E70:E74)</f>
        <v>4504994</v>
      </c>
      <c r="F69" s="184">
        <f>E69/E75</f>
        <v>0.65899202026158143</v>
      </c>
      <c r="G69" s="227" t="s">
        <v>309</v>
      </c>
      <c r="H69" s="231">
        <f>M58</f>
        <v>946560</v>
      </c>
      <c r="I69" s="197">
        <f t="shared" si="42"/>
        <v>0.13846311153772958</v>
      </c>
      <c r="K69" s="243"/>
      <c r="L69" s="243"/>
      <c r="M69" s="244" t="s">
        <v>301</v>
      </c>
      <c r="N69" s="245">
        <v>19</v>
      </c>
      <c r="O69" s="245">
        <v>19</v>
      </c>
      <c r="P69" s="245">
        <v>19</v>
      </c>
      <c r="Q69" s="245">
        <v>18</v>
      </c>
      <c r="R69" s="245">
        <v>18</v>
      </c>
      <c r="S69" s="245">
        <v>18</v>
      </c>
      <c r="T69" s="245">
        <v>18</v>
      </c>
      <c r="U69" s="245"/>
      <c r="V69" s="245"/>
      <c r="W69" s="245">
        <v>18</v>
      </c>
      <c r="X69" s="245">
        <v>18</v>
      </c>
      <c r="Y69" s="245">
        <v>18</v>
      </c>
      <c r="Z69" s="245"/>
      <c r="AA69" s="245"/>
      <c r="AB69" s="245">
        <v>17</v>
      </c>
      <c r="AC69" s="245">
        <v>17</v>
      </c>
      <c r="AD69" s="245"/>
      <c r="AE69" s="245">
        <v>17</v>
      </c>
    </row>
    <row r="70" spans="1:31" ht="15.4" customHeight="1" x14ac:dyDescent="0.25">
      <c r="A70" s="220" t="str">
        <f t="shared" si="39"/>
        <v>Entrenador</v>
      </c>
      <c r="B70" s="232">
        <f t="shared" si="40"/>
        <v>0.11017212190194722</v>
      </c>
      <c r="D70" s="209" t="s">
        <v>274</v>
      </c>
      <c r="E70" s="233">
        <f>M51</f>
        <v>50040</v>
      </c>
      <c r="F70" s="194">
        <f>E70/E75</f>
        <v>7.319867838645187E-3</v>
      </c>
      <c r="G70" s="227" t="s">
        <v>312</v>
      </c>
      <c r="H70" s="231">
        <f>M59</f>
        <v>360000</v>
      </c>
      <c r="I70" s="197">
        <f t="shared" si="42"/>
        <v>5.2660919702483357E-2</v>
      </c>
      <c r="K70" s="9"/>
      <c r="L70" s="460" t="s">
        <v>325</v>
      </c>
      <c r="M70" s="246" t="s">
        <v>64</v>
      </c>
      <c r="N70" s="245">
        <v>19270</v>
      </c>
      <c r="O70" s="245">
        <v>19090</v>
      </c>
      <c r="P70" s="245">
        <v>21290</v>
      </c>
      <c r="Q70" s="245">
        <v>21210</v>
      </c>
      <c r="R70" s="245">
        <v>22400</v>
      </c>
      <c r="S70" s="245">
        <v>23730</v>
      </c>
      <c r="T70" s="245">
        <v>25070</v>
      </c>
      <c r="U70" s="245"/>
      <c r="V70" s="245"/>
      <c r="W70" s="245">
        <v>28250</v>
      </c>
      <c r="X70" s="245">
        <v>29320</v>
      </c>
      <c r="Y70" s="245">
        <v>35860</v>
      </c>
      <c r="Z70" s="245"/>
      <c r="AA70" s="245"/>
      <c r="AB70" s="245">
        <v>28540</v>
      </c>
      <c r="AC70" s="245">
        <v>32740</v>
      </c>
      <c r="AD70" s="245"/>
      <c r="AE70" s="245">
        <v>34500</v>
      </c>
    </row>
    <row r="71" spans="1:31" x14ac:dyDescent="0.25">
      <c r="A71" s="220" t="str">
        <f t="shared" si="39"/>
        <v>Viajes+Venta</v>
      </c>
      <c r="B71" s="232">
        <f t="shared" si="40"/>
        <v>2.8701334325032771E-3</v>
      </c>
      <c r="D71" s="209" t="s">
        <v>296</v>
      </c>
      <c r="E71" s="233">
        <f>M52</f>
        <v>2373000</v>
      </c>
      <c r="F71" s="194">
        <f>E71/E75</f>
        <v>0.34712322903886944</v>
      </c>
      <c r="G71" s="227" t="s">
        <v>315</v>
      </c>
      <c r="H71" s="231">
        <f>M62</f>
        <v>7000</v>
      </c>
      <c r="I71" s="197">
        <f t="shared" si="42"/>
        <v>1.0239623275482875E-3</v>
      </c>
      <c r="K71" s="9"/>
      <c r="L71" s="460"/>
      <c r="M71" s="246" t="s">
        <v>326</v>
      </c>
      <c r="N71" s="245">
        <v>7790</v>
      </c>
      <c r="O71" s="245">
        <v>7790</v>
      </c>
      <c r="P71" s="245">
        <v>7790</v>
      </c>
      <c r="Q71" s="245">
        <v>7400</v>
      </c>
      <c r="R71" s="245">
        <v>7400</v>
      </c>
      <c r="S71" s="245">
        <v>7400</v>
      </c>
      <c r="T71" s="245">
        <v>7400</v>
      </c>
      <c r="U71" s="245"/>
      <c r="V71" s="245"/>
      <c r="W71" s="245">
        <v>7400</v>
      </c>
      <c r="X71" s="245">
        <v>7400</v>
      </c>
      <c r="Y71" s="245">
        <v>7400</v>
      </c>
      <c r="Z71" s="245"/>
      <c r="AA71" s="245"/>
      <c r="AB71" s="245">
        <v>8170</v>
      </c>
      <c r="AC71" s="245">
        <v>8170</v>
      </c>
      <c r="AD71" s="245"/>
      <c r="AE71" s="245">
        <v>8120</v>
      </c>
    </row>
    <row r="72" spans="1:31" x14ac:dyDescent="0.25">
      <c r="A72" s="220" t="str">
        <f>L64</f>
        <v>Intereses</v>
      </c>
      <c r="B72" s="232">
        <f>M64/$M$65</f>
        <v>0</v>
      </c>
      <c r="D72" s="209" t="s">
        <v>281</v>
      </c>
      <c r="E72" s="233">
        <f>M46</f>
        <v>1218693</v>
      </c>
      <c r="F72" s="194">
        <f>E72/E75</f>
        <v>0.17827081726382932</v>
      </c>
      <c r="G72" s="227" t="s">
        <v>318</v>
      </c>
      <c r="H72" s="231">
        <f>M64</f>
        <v>0</v>
      </c>
      <c r="I72" s="197">
        <f t="shared" si="42"/>
        <v>0</v>
      </c>
      <c r="K72" s="9"/>
      <c r="L72" s="460"/>
      <c r="M72" s="246" t="s">
        <v>205</v>
      </c>
      <c r="N72" s="245">
        <v>14830</v>
      </c>
      <c r="O72" s="245">
        <v>14830</v>
      </c>
      <c r="P72" s="245">
        <v>17180</v>
      </c>
      <c r="Q72" s="245">
        <v>17260</v>
      </c>
      <c r="R72" s="245">
        <v>18430</v>
      </c>
      <c r="S72" s="245">
        <v>19740</v>
      </c>
      <c r="T72" s="245">
        <v>21040</v>
      </c>
      <c r="U72" s="245"/>
      <c r="V72" s="245"/>
      <c r="W72" s="245">
        <v>24450</v>
      </c>
      <c r="X72" s="245">
        <v>25570</v>
      </c>
      <c r="Y72" s="245">
        <v>31910</v>
      </c>
      <c r="Z72" s="245"/>
      <c r="AA72" s="245"/>
      <c r="AB72" s="245">
        <v>25490</v>
      </c>
      <c r="AC72" s="245">
        <v>29660</v>
      </c>
      <c r="AD72" s="245"/>
      <c r="AE72" s="245">
        <v>31600</v>
      </c>
    </row>
    <row r="73" spans="1:31" ht="18.75" x14ac:dyDescent="0.3">
      <c r="A73" s="9"/>
      <c r="B73" s="247">
        <f>SUM(B64:B72)</f>
        <v>1</v>
      </c>
      <c r="D73" s="209" t="s">
        <v>283</v>
      </c>
      <c r="E73" s="233">
        <f>M47</f>
        <v>863261</v>
      </c>
      <c r="F73" s="194">
        <f>E73/E75</f>
        <v>0.12627810612023746</v>
      </c>
      <c r="G73" s="202"/>
      <c r="H73" s="203"/>
      <c r="I73" s="197"/>
      <c r="K73" s="9"/>
      <c r="L73" s="460"/>
      <c r="M73" s="246" t="s">
        <v>206</v>
      </c>
      <c r="N73" s="245">
        <v>5250</v>
      </c>
      <c r="O73" s="245">
        <v>5250</v>
      </c>
      <c r="P73" s="245">
        <v>5190</v>
      </c>
      <c r="Q73" s="245">
        <v>5190</v>
      </c>
      <c r="R73" s="245">
        <v>5190</v>
      </c>
      <c r="S73" s="245">
        <v>5190</v>
      </c>
      <c r="T73" s="245">
        <v>5190</v>
      </c>
      <c r="U73" s="245"/>
      <c r="V73" s="245"/>
      <c r="W73" s="245">
        <v>5210</v>
      </c>
      <c r="X73" s="245">
        <v>5210</v>
      </c>
      <c r="Y73" s="245">
        <v>5250</v>
      </c>
      <c r="Z73" s="245"/>
      <c r="AA73" s="245"/>
      <c r="AB73" s="245">
        <v>6350</v>
      </c>
      <c r="AC73" s="245">
        <v>6350</v>
      </c>
      <c r="AD73" s="245"/>
      <c r="AE73" s="245">
        <v>6350</v>
      </c>
    </row>
    <row r="74" spans="1:31" ht="18.75" x14ac:dyDescent="0.3">
      <c r="A74" s="20"/>
      <c r="B74" s="248"/>
      <c r="D74" s="249" t="s">
        <v>290</v>
      </c>
      <c r="E74" s="250">
        <f>M50</f>
        <v>0</v>
      </c>
      <c r="F74" s="194">
        <f>E74/E75</f>
        <v>0</v>
      </c>
      <c r="G74" s="251"/>
      <c r="H74" s="252"/>
      <c r="I74" s="253"/>
      <c r="K74" s="9"/>
      <c r="L74" s="460"/>
      <c r="M74" s="246" t="s">
        <v>210</v>
      </c>
      <c r="N74" s="254" t="s">
        <v>338</v>
      </c>
      <c r="O74" s="254" t="s">
        <v>339</v>
      </c>
      <c r="P74" s="254" t="s">
        <v>340</v>
      </c>
      <c r="Q74" s="254" t="s">
        <v>341</v>
      </c>
      <c r="R74" s="254" t="s">
        <v>342</v>
      </c>
      <c r="S74" s="254" t="s">
        <v>343</v>
      </c>
      <c r="T74" s="254" t="s">
        <v>344</v>
      </c>
      <c r="U74" s="254"/>
      <c r="V74" s="254"/>
      <c r="W74" s="254" t="s">
        <v>328</v>
      </c>
      <c r="X74" s="254" t="s">
        <v>329</v>
      </c>
      <c r="Y74" s="254" t="s">
        <v>330</v>
      </c>
      <c r="Z74" s="254"/>
      <c r="AA74" s="254"/>
      <c r="AB74" s="254" t="s">
        <v>331</v>
      </c>
      <c r="AC74" s="254" t="s">
        <v>332</v>
      </c>
      <c r="AD74" s="254"/>
      <c r="AE74" s="254" t="s">
        <v>247</v>
      </c>
    </row>
    <row r="75" spans="1:31" ht="18.75" x14ac:dyDescent="0.3">
      <c r="A75" s="461">
        <f>M65</f>
        <v>2438911</v>
      </c>
      <c r="B75" s="461"/>
      <c r="D75" s="255" t="s">
        <v>333</v>
      </c>
      <c r="E75" s="256">
        <f>E69+E61+E55+E45+E50+E64</f>
        <v>6836189</v>
      </c>
      <c r="F75" s="257">
        <f>F69+F61+F55+F45+F50+F64</f>
        <v>0.99999999999999989</v>
      </c>
      <c r="G75" s="255" t="s">
        <v>333</v>
      </c>
      <c r="H75" s="256">
        <f>H66+H58+H50+H45+H62</f>
        <v>6836189</v>
      </c>
      <c r="I75" s="258">
        <f>H75/$H$75</f>
        <v>1</v>
      </c>
      <c r="K75" s="9"/>
      <c r="L75" s="460"/>
      <c r="M75" s="246" t="s">
        <v>334</v>
      </c>
      <c r="N75" s="259">
        <v>5.25</v>
      </c>
      <c r="O75" s="259">
        <v>5.25</v>
      </c>
      <c r="P75" s="259">
        <v>5.25</v>
      </c>
      <c r="Q75" s="259">
        <v>5.25</v>
      </c>
      <c r="R75" s="259">
        <v>5.5</v>
      </c>
      <c r="S75" s="259">
        <v>5.5</v>
      </c>
      <c r="T75" s="259">
        <v>5.5</v>
      </c>
      <c r="U75" s="259"/>
      <c r="V75" s="259"/>
      <c r="W75" s="259">
        <v>5.5</v>
      </c>
      <c r="X75" s="259">
        <v>5.5</v>
      </c>
      <c r="Y75" s="259">
        <v>5.5</v>
      </c>
      <c r="Z75" s="259"/>
      <c r="AA75" s="259"/>
      <c r="AB75" s="259">
        <v>5.75</v>
      </c>
      <c r="AC75" s="259">
        <v>5.75</v>
      </c>
      <c r="AD75" s="259"/>
      <c r="AE75" s="259">
        <v>5.75</v>
      </c>
    </row>
    <row r="76" spans="1:31" x14ac:dyDescent="0.25">
      <c r="E76" s="203"/>
      <c r="F76" s="177"/>
      <c r="G76" s="260"/>
      <c r="H76" s="261">
        <f>E75-H75</f>
        <v>0</v>
      </c>
      <c r="I76" s="203"/>
      <c r="K76" s="9"/>
      <c r="L76" s="460"/>
      <c r="M76" s="246" t="s">
        <v>207</v>
      </c>
      <c r="N76" s="259">
        <v>4.75</v>
      </c>
      <c r="O76" s="259">
        <v>4.75</v>
      </c>
      <c r="P76" s="259">
        <v>5.25</v>
      </c>
      <c r="Q76" s="259">
        <v>5.25</v>
      </c>
      <c r="R76" s="259">
        <v>5.5</v>
      </c>
      <c r="S76" s="259">
        <v>5.75</v>
      </c>
      <c r="T76" s="259">
        <v>6</v>
      </c>
      <c r="U76" s="259"/>
      <c r="V76" s="259"/>
      <c r="W76" s="259">
        <v>6</v>
      </c>
      <c r="X76" s="259">
        <v>6</v>
      </c>
      <c r="Y76" s="259">
        <v>6</v>
      </c>
      <c r="Z76" s="259"/>
      <c r="AA76" s="259"/>
      <c r="AB76" s="259">
        <v>6.25</v>
      </c>
      <c r="AC76" s="259">
        <v>6</v>
      </c>
      <c r="AD76" s="259"/>
      <c r="AE76" s="259">
        <v>6</v>
      </c>
    </row>
    <row r="77" spans="1:31" x14ac:dyDescent="0.25">
      <c r="E77" s="203"/>
      <c r="F77" s="203"/>
      <c r="H77" s="203"/>
      <c r="I77" s="203"/>
      <c r="K77" s="9"/>
      <c r="L77" s="460"/>
      <c r="M77" s="246" t="s">
        <v>335</v>
      </c>
      <c r="N77" s="259">
        <v>2.25</v>
      </c>
      <c r="O77" s="259">
        <v>2.5</v>
      </c>
      <c r="P77" s="259">
        <v>2.75</v>
      </c>
      <c r="Q77" s="259">
        <v>2.75</v>
      </c>
      <c r="R77" s="259">
        <v>2.75</v>
      </c>
      <c r="S77" s="259">
        <v>3</v>
      </c>
      <c r="T77" s="259">
        <v>3</v>
      </c>
      <c r="U77" s="259"/>
      <c r="V77" s="259"/>
      <c r="W77" s="259">
        <v>2.75</v>
      </c>
      <c r="X77" s="259">
        <v>2.75</v>
      </c>
      <c r="Y77" s="259">
        <v>2.75</v>
      </c>
      <c r="Z77" s="259"/>
      <c r="AA77" s="259"/>
      <c r="AB77" s="259">
        <v>2.75</v>
      </c>
      <c r="AC77" s="259">
        <v>2.75</v>
      </c>
      <c r="AD77" s="259"/>
      <c r="AE77" s="259">
        <v>2.75</v>
      </c>
    </row>
    <row r="78" spans="1:31" ht="15.75" x14ac:dyDescent="0.25">
      <c r="D78" s="262"/>
      <c r="E78" s="263"/>
      <c r="F78" s="203"/>
      <c r="G78" s="9"/>
      <c r="H78" s="185"/>
      <c r="I78" s="185"/>
      <c r="K78" s="9"/>
      <c r="L78" s="9"/>
      <c r="M78" s="173" t="s">
        <v>336</v>
      </c>
      <c r="N78" s="264">
        <f t="shared" ref="N78:T78" si="45">N70/N71</f>
        <v>2.4736842105263159</v>
      </c>
      <c r="O78" s="264">
        <f t="shared" si="45"/>
        <v>2.4505776636713734</v>
      </c>
      <c r="P78" s="264">
        <f t="shared" si="45"/>
        <v>2.7329910141206675</v>
      </c>
      <c r="Q78" s="264">
        <f t="shared" si="45"/>
        <v>2.8662162162162161</v>
      </c>
      <c r="R78" s="264">
        <f t="shared" si="45"/>
        <v>3.0270270270270272</v>
      </c>
      <c r="S78" s="264">
        <f t="shared" si="45"/>
        <v>3.2067567567567568</v>
      </c>
      <c r="T78" s="264">
        <f t="shared" si="45"/>
        <v>3.387837837837838</v>
      </c>
      <c r="U78" s="264"/>
      <c r="V78" s="264"/>
      <c r="W78" s="264">
        <f t="shared" ref="W78:AE78" si="46">W70/W71</f>
        <v>3.8175675675675675</v>
      </c>
      <c r="X78" s="264">
        <f t="shared" si="46"/>
        <v>3.9621621621621621</v>
      </c>
      <c r="Y78" s="264">
        <f t="shared" si="46"/>
        <v>4.845945945945946</v>
      </c>
      <c r="Z78" s="264" t="e">
        <f t="shared" si="46"/>
        <v>#DIV/0!</v>
      </c>
      <c r="AA78" s="264" t="e">
        <f t="shared" si="46"/>
        <v>#DIV/0!</v>
      </c>
      <c r="AB78" s="264">
        <f t="shared" si="46"/>
        <v>3.4932680538555694</v>
      </c>
      <c r="AC78" s="264">
        <f t="shared" si="46"/>
        <v>4.0073439412484699</v>
      </c>
      <c r="AD78" s="264" t="e">
        <f t="shared" si="46"/>
        <v>#DIV/0!</v>
      </c>
      <c r="AE78" s="264">
        <f t="shared" si="46"/>
        <v>4.2487684729064039</v>
      </c>
    </row>
    <row r="79" spans="1:31" x14ac:dyDescent="0.25">
      <c r="E79" s="185"/>
      <c r="F79" s="203"/>
      <c r="H79" s="203"/>
      <c r="I79" s="203"/>
      <c r="K79" s="9"/>
      <c r="L79" s="9"/>
      <c r="M79" s="9"/>
      <c r="N79" s="9"/>
      <c r="O79" s="2"/>
      <c r="P79" s="265"/>
      <c r="Q79" s="266">
        <f t="shared" ref="Q79:AE79" si="47">(Q47-P47)/P47</f>
        <v>8.6691658856607304E-2</v>
      </c>
      <c r="R79" s="266">
        <f t="shared" si="47"/>
        <v>9.5730918499353168E-2</v>
      </c>
      <c r="S79" s="266">
        <f t="shared" si="47"/>
        <v>7.7659714023350382E-2</v>
      </c>
      <c r="T79" s="266">
        <f t="shared" si="47"/>
        <v>7.2063298843578816E-2</v>
      </c>
      <c r="U79" s="266">
        <f t="shared" si="47"/>
        <v>6.4448733961621443E-2</v>
      </c>
      <c r="V79" s="266">
        <f t="shared" si="47"/>
        <v>4.996479849806925E-2</v>
      </c>
      <c r="W79" s="266">
        <f t="shared" si="47"/>
        <v>4.8867215279894342E-2</v>
      </c>
      <c r="X79" s="266">
        <f t="shared" si="47"/>
        <v>4.6590468810538549E-2</v>
      </c>
      <c r="Y79" s="266">
        <f t="shared" si="47"/>
        <v>4.4516427579824158E-2</v>
      </c>
      <c r="Z79" s="266">
        <f t="shared" si="47"/>
        <v>4.0900230373914583E-2</v>
      </c>
      <c r="AA79" s="266">
        <f t="shared" si="47"/>
        <v>3.6296775511593861E-2</v>
      </c>
      <c r="AB79" s="266">
        <f t="shared" si="47"/>
        <v>3.6471168063085264E-2</v>
      </c>
      <c r="AC79" s="266">
        <f t="shared" si="47"/>
        <v>3.5187826913932477E-2</v>
      </c>
      <c r="AD79" s="266">
        <f t="shared" si="47"/>
        <v>3.1159087429183892E-2</v>
      </c>
      <c r="AE79" s="266">
        <f t="shared" si="47"/>
        <v>3.0217536565446582E-2</v>
      </c>
    </row>
    <row r="80" spans="1:31" x14ac:dyDescent="0.25">
      <c r="E80" s="203"/>
      <c r="F80" s="203"/>
      <c r="H80" s="203"/>
      <c r="I80" s="203"/>
      <c r="K80" s="9"/>
      <c r="L80" s="9"/>
      <c r="M80" s="9"/>
      <c r="N80" s="9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</row>
    <row r="81" spans="11:31" x14ac:dyDescent="0.25">
      <c r="K81" s="9"/>
      <c r="L81" s="9"/>
      <c r="M81" s="9"/>
      <c r="N81" s="9"/>
      <c r="P81" s="265"/>
      <c r="Q81" s="265"/>
      <c r="R81" s="265"/>
      <c r="S81" s="265"/>
      <c r="T81" s="265"/>
      <c r="U81" s="265"/>
      <c r="V81" s="265"/>
      <c r="W81" s="273"/>
      <c r="X81" s="265"/>
      <c r="Y81" s="265"/>
      <c r="Z81" s="265"/>
      <c r="AA81" s="265"/>
      <c r="AB81" s="265"/>
      <c r="AC81" s="265"/>
      <c r="AD81" s="265"/>
      <c r="AE81" s="265"/>
    </row>
    <row r="82" spans="11:31" x14ac:dyDescent="0.25">
      <c r="K82" s="9"/>
      <c r="L82" s="9"/>
      <c r="M82" s="9"/>
      <c r="N82" s="9"/>
      <c r="P82" s="265"/>
      <c r="Q82" s="462"/>
      <c r="R82" s="462"/>
      <c r="S82" s="462"/>
      <c r="T82" s="462"/>
      <c r="W82" s="203"/>
    </row>
    <row r="83" spans="11:31" x14ac:dyDescent="0.25">
      <c r="K83" s="9"/>
      <c r="L83" s="9"/>
      <c r="M83" s="9"/>
      <c r="N83" s="9"/>
      <c r="O83" s="203"/>
      <c r="P83" s="265"/>
      <c r="Q83" s="274"/>
      <c r="R83" s="274"/>
      <c r="S83" s="274"/>
      <c r="T83" s="274"/>
    </row>
    <row r="84" spans="11:31" x14ac:dyDescent="0.25">
      <c r="K84" s="9"/>
      <c r="L84" s="9"/>
      <c r="M84" s="9"/>
      <c r="N84" s="9"/>
      <c r="P84" s="265"/>
      <c r="Q84" s="462"/>
      <c r="R84" s="462"/>
      <c r="S84" s="462"/>
      <c r="T84" s="462"/>
      <c r="Z84" s="203"/>
    </row>
    <row r="85" spans="11:31" x14ac:dyDescent="0.25">
      <c r="K85" s="9"/>
      <c r="L85" s="9"/>
      <c r="M85" s="9"/>
      <c r="N85" s="9"/>
      <c r="P85" s="265"/>
      <c r="Q85" s="462"/>
      <c r="R85" s="462"/>
      <c r="S85" s="462"/>
      <c r="T85" s="275"/>
    </row>
    <row r="86" spans="11:31" x14ac:dyDescent="0.25">
      <c r="K86" s="9"/>
      <c r="L86" s="9"/>
      <c r="M86" s="9"/>
      <c r="N86" s="9"/>
      <c r="P86" s="265"/>
    </row>
    <row r="87" spans="11:31" x14ac:dyDescent="0.25">
      <c r="K87" s="9"/>
      <c r="L87" s="9"/>
      <c r="M87" s="9"/>
      <c r="N87" s="9"/>
      <c r="P87" s="265"/>
    </row>
    <row r="88" spans="11:31" x14ac:dyDescent="0.25">
      <c r="K88" s="9"/>
      <c r="L88" s="9"/>
      <c r="M88" s="9"/>
      <c r="N88" s="9"/>
      <c r="P88" s="265"/>
    </row>
    <row r="89" spans="11:31" x14ac:dyDescent="0.25">
      <c r="K89" s="9"/>
      <c r="L89" s="9"/>
      <c r="M89" s="9"/>
      <c r="N89" s="9"/>
      <c r="P89" s="265"/>
    </row>
    <row r="90" spans="11:31" x14ac:dyDescent="0.25">
      <c r="K90" s="9"/>
      <c r="L90" s="9"/>
      <c r="M90" s="9"/>
      <c r="N90" s="9"/>
      <c r="P90" s="265"/>
    </row>
    <row r="91" spans="11:31" x14ac:dyDescent="0.25">
      <c r="K91" s="9"/>
      <c r="L91" s="9"/>
      <c r="M91" s="9"/>
      <c r="N91" s="9"/>
      <c r="P91" s="265"/>
    </row>
    <row r="92" spans="11:31" x14ac:dyDescent="0.25">
      <c r="K92" s="9"/>
      <c r="L92" s="9"/>
      <c r="M92" s="9"/>
      <c r="N92" s="9"/>
      <c r="P92" s="265"/>
    </row>
    <row r="93" spans="11:31" x14ac:dyDescent="0.25">
      <c r="K93" s="9"/>
      <c r="L93" s="9"/>
      <c r="M93" s="9"/>
      <c r="N93" s="9"/>
      <c r="P93" s="265"/>
    </row>
    <row r="94" spans="11:31" x14ac:dyDescent="0.25">
      <c r="K94" s="9"/>
      <c r="L94" s="9"/>
      <c r="M94" s="9"/>
      <c r="N94" s="9"/>
      <c r="P94" s="265"/>
    </row>
    <row r="95" spans="11:31" x14ac:dyDescent="0.25">
      <c r="K95" s="9"/>
      <c r="L95" s="9"/>
      <c r="M95" s="9"/>
      <c r="N95" s="9"/>
      <c r="P95" s="265"/>
    </row>
    <row r="96" spans="11:31" x14ac:dyDescent="0.25">
      <c r="K96" s="9"/>
      <c r="L96" s="9"/>
      <c r="M96" s="9"/>
      <c r="N96" s="9"/>
      <c r="P96" s="265"/>
    </row>
    <row r="97" spans="11:16" x14ac:dyDescent="0.25">
      <c r="K97" s="9"/>
      <c r="L97" s="9"/>
      <c r="M97" s="9"/>
      <c r="N97" s="9"/>
      <c r="P97" s="265"/>
    </row>
    <row r="98" spans="11:16" x14ac:dyDescent="0.25">
      <c r="K98" s="9"/>
      <c r="L98" s="9"/>
      <c r="M98" s="9"/>
      <c r="N98" s="9"/>
      <c r="P98" s="265"/>
    </row>
    <row r="99" spans="11:16" x14ac:dyDescent="0.25">
      <c r="K99" s="9"/>
      <c r="L99" s="9"/>
      <c r="M99" s="9"/>
      <c r="N99" s="9"/>
      <c r="P99" s="265"/>
    </row>
    <row r="100" spans="11:16" x14ac:dyDescent="0.25">
      <c r="K100" s="9"/>
      <c r="L100" s="9"/>
      <c r="M100" s="9"/>
      <c r="N100" s="9"/>
      <c r="P100" s="265"/>
    </row>
    <row r="101" spans="11:16" x14ac:dyDescent="0.25">
      <c r="K101" s="9"/>
      <c r="L101" s="9"/>
      <c r="M101" s="9"/>
      <c r="N101" s="9"/>
      <c r="P101" s="265"/>
    </row>
    <row r="102" spans="11:16" x14ac:dyDescent="0.25">
      <c r="K102" s="9"/>
      <c r="L102" s="9"/>
      <c r="M102" s="9"/>
      <c r="N102" s="9"/>
      <c r="P102" s="265"/>
    </row>
    <row r="103" spans="11:16" x14ac:dyDescent="0.25">
      <c r="K103" s="9"/>
      <c r="L103" s="9"/>
      <c r="M103" s="9"/>
      <c r="N103" s="9"/>
      <c r="P103" s="265"/>
    </row>
    <row r="104" spans="11:16" x14ac:dyDescent="0.25">
      <c r="K104" s="9"/>
      <c r="L104" s="9"/>
      <c r="M104" s="9"/>
      <c r="N104" s="9"/>
      <c r="P104" s="265"/>
    </row>
    <row r="105" spans="11:16" x14ac:dyDescent="0.25">
      <c r="K105" s="9"/>
      <c r="L105" s="9"/>
      <c r="M105" s="9"/>
      <c r="N105" s="9"/>
      <c r="P105" s="265"/>
    </row>
    <row r="106" spans="11:16" x14ac:dyDescent="0.25">
      <c r="K106" s="9"/>
      <c r="L106" s="9"/>
      <c r="M106" s="9"/>
      <c r="N106" s="9"/>
      <c r="P106" s="265"/>
    </row>
    <row r="107" spans="11:16" x14ac:dyDescent="0.25">
      <c r="K107" s="9"/>
      <c r="L107" s="9"/>
      <c r="M107" s="9"/>
      <c r="N107" s="9"/>
      <c r="P107" s="265"/>
    </row>
    <row r="108" spans="11:16" x14ac:dyDescent="0.25">
      <c r="K108" s="9"/>
      <c r="L108" s="9"/>
      <c r="M108" s="9"/>
      <c r="N108" s="9"/>
      <c r="P108" s="265"/>
    </row>
    <row r="109" spans="11:16" x14ac:dyDescent="0.25">
      <c r="K109" s="9"/>
      <c r="L109" s="9"/>
      <c r="M109" s="9"/>
      <c r="N109" s="9"/>
      <c r="P109" s="265"/>
    </row>
    <row r="110" spans="11:16" x14ac:dyDescent="0.25">
      <c r="K110" s="9"/>
      <c r="L110" s="9"/>
      <c r="M110" s="9"/>
      <c r="N110" s="9"/>
      <c r="P110" s="265"/>
    </row>
    <row r="111" spans="11:16" x14ac:dyDescent="0.25">
      <c r="K111" s="9"/>
      <c r="L111" s="9"/>
      <c r="M111" s="9"/>
      <c r="N111" s="9"/>
      <c r="P111" s="265"/>
    </row>
    <row r="112" spans="11:16" x14ac:dyDescent="0.25">
      <c r="K112" s="9"/>
      <c r="L112" s="9"/>
      <c r="M112" s="9"/>
      <c r="N112" s="9"/>
      <c r="P112" s="265"/>
    </row>
    <row r="113" spans="11:16" x14ac:dyDescent="0.25">
      <c r="K113" s="9"/>
      <c r="L113" s="9"/>
      <c r="M113" s="9"/>
      <c r="N113" s="9"/>
      <c r="P113" s="265"/>
    </row>
    <row r="114" spans="11:16" x14ac:dyDescent="0.25">
      <c r="K114" s="9"/>
      <c r="L114" s="9"/>
      <c r="M114" s="9"/>
      <c r="N114" s="9"/>
      <c r="P114" s="265"/>
    </row>
    <row r="115" spans="11:16" x14ac:dyDescent="0.25">
      <c r="K115" s="9"/>
      <c r="L115" s="9"/>
      <c r="M115" s="9"/>
      <c r="N115" s="9"/>
      <c r="P115" s="265"/>
    </row>
    <row r="116" spans="11:16" x14ac:dyDescent="0.25">
      <c r="K116" s="9"/>
      <c r="L116" s="9"/>
      <c r="M116" s="9"/>
      <c r="N116" s="9"/>
      <c r="P116" s="265"/>
    </row>
    <row r="117" spans="11:16" x14ac:dyDescent="0.25">
      <c r="K117" s="9"/>
      <c r="L117" s="9"/>
      <c r="M117" s="9"/>
      <c r="N117" s="9"/>
      <c r="P117" s="265"/>
    </row>
    <row r="118" spans="11:16" x14ac:dyDescent="0.25">
      <c r="K118" s="9"/>
      <c r="L118" s="9"/>
      <c r="M118" s="9"/>
      <c r="N118" s="9"/>
      <c r="P118" s="265"/>
    </row>
    <row r="119" spans="11:16" x14ac:dyDescent="0.25">
      <c r="K119" s="9"/>
      <c r="L119" s="9"/>
      <c r="M119" s="9"/>
      <c r="N119" s="9"/>
      <c r="P119" s="265"/>
    </row>
    <row r="120" spans="11:16" x14ac:dyDescent="0.25">
      <c r="K120" s="9"/>
      <c r="L120" s="9"/>
      <c r="M120" s="9"/>
      <c r="N120" s="9"/>
      <c r="P120" s="265"/>
    </row>
    <row r="121" spans="11:16" x14ac:dyDescent="0.25">
      <c r="K121" s="9"/>
      <c r="L121" s="9"/>
      <c r="M121" s="9"/>
      <c r="N121" s="9"/>
      <c r="P121" s="265"/>
    </row>
  </sheetData>
  <mergeCells count="21">
    <mergeCell ref="Q85:S85"/>
    <mergeCell ref="K61:K63"/>
    <mergeCell ref="L70:L77"/>
    <mergeCell ref="A75:B75"/>
    <mergeCell ref="Q82:T82"/>
    <mergeCell ref="Q84:T84"/>
    <mergeCell ref="D42:I42"/>
    <mergeCell ref="D43:E43"/>
    <mergeCell ref="G43:H43"/>
    <mergeCell ref="K51:K53"/>
    <mergeCell ref="A55:B55"/>
    <mergeCell ref="A15:B15"/>
    <mergeCell ref="K21:K23"/>
    <mergeCell ref="L30:L37"/>
    <mergeCell ref="A35:B35"/>
    <mergeCell ref="D41:I41"/>
    <mergeCell ref="D1:I1"/>
    <mergeCell ref="D2:I2"/>
    <mergeCell ref="D3:E3"/>
    <mergeCell ref="G3:H3"/>
    <mergeCell ref="K11:K13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6" t="s">
        <v>345</v>
      </c>
      <c r="N1" s="276" t="s">
        <v>346</v>
      </c>
      <c r="O1" s="276" t="s">
        <v>347</v>
      </c>
      <c r="P1" s="276" t="s">
        <v>348</v>
      </c>
      <c r="Q1" s="276" t="s">
        <v>349</v>
      </c>
      <c r="R1" s="276" t="s">
        <v>350</v>
      </c>
      <c r="S1" s="276" t="s">
        <v>351</v>
      </c>
      <c r="U1" s="276" t="s">
        <v>352</v>
      </c>
    </row>
    <row r="2" spans="1:35" x14ac:dyDescent="0.25">
      <c r="C2" s="277" t="s">
        <v>353</v>
      </c>
      <c r="D2" s="463" t="s">
        <v>354</v>
      </c>
      <c r="E2" s="463"/>
      <c r="F2" s="464" t="s">
        <v>355</v>
      </c>
      <c r="G2" s="464"/>
      <c r="H2" s="465" t="s">
        <v>356</v>
      </c>
      <c r="I2" s="465"/>
      <c r="K2" s="68"/>
      <c r="M2" s="278">
        <v>11</v>
      </c>
      <c r="N2" s="279">
        <v>14.98</v>
      </c>
      <c r="O2" s="279">
        <v>5.95</v>
      </c>
      <c r="P2" s="280">
        <f t="shared" ref="P2:P12" si="0">U2*0.97</f>
        <v>5.3253000000000004</v>
      </c>
      <c r="Q2" s="279">
        <v>0.68000000000000016</v>
      </c>
      <c r="R2" s="281">
        <v>27.09</v>
      </c>
      <c r="U2" s="279">
        <v>5.49</v>
      </c>
    </row>
    <row r="3" spans="1:35" x14ac:dyDescent="0.25">
      <c r="A3" s="282" t="s">
        <v>357</v>
      </c>
      <c r="B3" s="283">
        <f>B4+B5+B6+B7</f>
        <v>36137</v>
      </c>
      <c r="C3" s="284">
        <f>C4+C5+C6+C7</f>
        <v>46463.296399999999</v>
      </c>
      <c r="D3" s="43" t="s">
        <v>358</v>
      </c>
      <c r="E3" s="43" t="s">
        <v>359</v>
      </c>
      <c r="F3" s="43" t="s">
        <v>358</v>
      </c>
      <c r="G3" s="43" t="s">
        <v>360</v>
      </c>
      <c r="H3" s="43" t="s">
        <v>358</v>
      </c>
      <c r="I3" s="285" t="s">
        <v>361</v>
      </c>
      <c r="J3" s="43" t="s">
        <v>362</v>
      </c>
      <c r="K3" s="43" t="s">
        <v>363</v>
      </c>
      <c r="M3" s="278">
        <v>10</v>
      </c>
      <c r="N3" s="286">
        <v>14.23</v>
      </c>
      <c r="O3" s="286">
        <v>5.59</v>
      </c>
      <c r="P3" s="280">
        <f t="shared" si="0"/>
        <v>4.9179000000000004</v>
      </c>
      <c r="Q3" s="286">
        <v>0.62</v>
      </c>
      <c r="R3" s="287">
        <v>25.52</v>
      </c>
      <c r="U3" s="286">
        <v>5.07</v>
      </c>
    </row>
    <row r="4" spans="1:35" x14ac:dyDescent="0.25">
      <c r="A4" s="282" t="s">
        <v>364</v>
      </c>
      <c r="B4" s="283">
        <v>21577</v>
      </c>
      <c r="C4" s="288">
        <v>26916</v>
      </c>
      <c r="D4" s="289">
        <v>45</v>
      </c>
      <c r="E4" s="290">
        <f>D4*(C4-B4)</f>
        <v>240255</v>
      </c>
      <c r="F4" s="291">
        <v>0.5</v>
      </c>
      <c r="G4" s="290">
        <f>(C4-B4)*F4</f>
        <v>2669.5</v>
      </c>
      <c r="H4" s="291">
        <v>7</v>
      </c>
      <c r="I4" s="292">
        <f>(C4-B4)*H4</f>
        <v>37373</v>
      </c>
      <c r="J4" s="290">
        <f>H4*C4</f>
        <v>188412</v>
      </c>
      <c r="K4" s="43">
        <f>B4*F4</f>
        <v>10788.5</v>
      </c>
      <c r="L4" s="74">
        <f>5000*N13*F4</f>
        <v>1382.4289405684756</v>
      </c>
      <c r="M4" s="278">
        <v>9</v>
      </c>
      <c r="N4" s="279">
        <v>13.49</v>
      </c>
      <c r="O4" s="279">
        <v>5.24</v>
      </c>
      <c r="P4" s="280">
        <f t="shared" si="0"/>
        <v>4.5202</v>
      </c>
      <c r="Q4" s="279">
        <v>0.56999999999999995</v>
      </c>
      <c r="R4" s="281">
        <v>23.95</v>
      </c>
      <c r="U4" s="279">
        <v>4.66</v>
      </c>
    </row>
    <row r="5" spans="1:35" x14ac:dyDescent="0.25">
      <c r="A5" s="282" t="s">
        <v>365</v>
      </c>
      <c r="B5" s="283">
        <v>7814</v>
      </c>
      <c r="C5" s="293">
        <v>10160.790000000001</v>
      </c>
      <c r="D5" s="294">
        <v>75</v>
      </c>
      <c r="E5" s="290">
        <f>D5*(C5-B5)</f>
        <v>176009.25000000006</v>
      </c>
      <c r="F5" s="295">
        <v>0.7</v>
      </c>
      <c r="G5" s="290">
        <f>(C5-B5)*F5</f>
        <v>1642.7530000000006</v>
      </c>
      <c r="H5" s="295">
        <v>10</v>
      </c>
      <c r="I5" s="292">
        <f>(C5-B5)*H5</f>
        <v>23467.900000000009</v>
      </c>
      <c r="J5" s="290">
        <f>H5*C5</f>
        <v>101607.90000000001</v>
      </c>
      <c r="K5" s="43">
        <f>B5*F5</f>
        <v>5469.7999999999993</v>
      </c>
      <c r="L5" s="74">
        <f>5000*O13*F5</f>
        <v>768.73385012919903</v>
      </c>
      <c r="M5" s="278">
        <v>8</v>
      </c>
      <c r="N5" s="286">
        <v>12.74</v>
      </c>
      <c r="O5" s="286">
        <v>4.8899999999999997</v>
      </c>
      <c r="P5" s="280">
        <f t="shared" si="0"/>
        <v>4.1224999999999996</v>
      </c>
      <c r="Q5" s="286">
        <v>0.51</v>
      </c>
      <c r="R5" s="287">
        <v>22.39</v>
      </c>
      <c r="U5" s="286">
        <v>4.25</v>
      </c>
    </row>
    <row r="6" spans="1:35" x14ac:dyDescent="0.25">
      <c r="A6" s="282" t="s">
        <v>366</v>
      </c>
      <c r="B6" s="283">
        <v>6028</v>
      </c>
      <c r="C6" s="293">
        <v>8354.7263999999996</v>
      </c>
      <c r="D6" s="289">
        <v>90</v>
      </c>
      <c r="E6" s="290">
        <f>D6*(C6-B6)</f>
        <v>209405.37599999996</v>
      </c>
      <c r="F6" s="291">
        <v>1</v>
      </c>
      <c r="G6" s="290">
        <f>(C6-B6)*F6</f>
        <v>2326.7263999999996</v>
      </c>
      <c r="H6" s="291">
        <v>19</v>
      </c>
      <c r="I6" s="292">
        <f>(C6-B6)*H6</f>
        <v>44207.801599999992</v>
      </c>
      <c r="J6" s="290">
        <f>H6*C6</f>
        <v>158739.80160000001</v>
      </c>
      <c r="K6" s="43">
        <f>B6*F6</f>
        <v>6028</v>
      </c>
      <c r="L6" s="74">
        <f>5000*P13*F6</f>
        <v>982.89036544850512</v>
      </c>
      <c r="M6" s="278">
        <v>7</v>
      </c>
      <c r="N6" s="279">
        <v>12</v>
      </c>
      <c r="O6" s="279">
        <v>4.53</v>
      </c>
      <c r="P6" s="280">
        <f t="shared" si="0"/>
        <v>3.7247999999999997</v>
      </c>
      <c r="Q6" s="279">
        <v>0.46000000000000008</v>
      </c>
      <c r="R6" s="281">
        <v>20.83</v>
      </c>
      <c r="U6" s="279">
        <v>3.84</v>
      </c>
    </row>
    <row r="7" spans="1:35" x14ac:dyDescent="0.25">
      <c r="A7" s="282" t="s">
        <v>367</v>
      </c>
      <c r="B7" s="283">
        <v>718</v>
      </c>
      <c r="C7" s="296">
        <v>1031.7800000000002</v>
      </c>
      <c r="D7" s="294">
        <v>300</v>
      </c>
      <c r="E7" s="290">
        <f>D7*(C7-B7)</f>
        <v>94134.000000000058</v>
      </c>
      <c r="F7" s="295">
        <v>2.5</v>
      </c>
      <c r="G7" s="290">
        <f>(C7-B7)*F7</f>
        <v>784.4500000000005</v>
      </c>
      <c r="H7" s="295">
        <v>35</v>
      </c>
      <c r="I7" s="292">
        <f>(C7-B7)*H7</f>
        <v>10982.300000000007</v>
      </c>
      <c r="J7" s="290">
        <f>H7*C7</f>
        <v>36112.30000000001</v>
      </c>
      <c r="K7" s="43">
        <f>B7*F7</f>
        <v>1795</v>
      </c>
      <c r="L7" s="74">
        <f>5000*Q13*F7</f>
        <v>313.76891842008126</v>
      </c>
      <c r="M7" s="278">
        <v>6</v>
      </c>
      <c r="N7" s="286">
        <v>11.26</v>
      </c>
      <c r="O7" s="286">
        <v>4.17</v>
      </c>
      <c r="P7" s="280">
        <f t="shared" si="0"/>
        <v>3.3367999999999998</v>
      </c>
      <c r="Q7" s="286">
        <v>0.41</v>
      </c>
      <c r="R7" s="287">
        <v>19.27</v>
      </c>
      <c r="U7" s="286">
        <v>3.44</v>
      </c>
    </row>
    <row r="8" spans="1:35" x14ac:dyDescent="0.25">
      <c r="C8" s="297">
        <f>C4/$C$3</f>
        <v>0.57929596230714275</v>
      </c>
      <c r="J8" s="290">
        <f>J7+J6+J5+J4</f>
        <v>484872.00160000002</v>
      </c>
      <c r="K8" s="43">
        <f>K7+K6+K5+K4</f>
        <v>24081.3</v>
      </c>
      <c r="L8" s="43">
        <f>L7+L6+L5+L4</f>
        <v>3447.8220745662611</v>
      </c>
      <c r="M8" s="278">
        <v>5</v>
      </c>
      <c r="N8" s="279">
        <v>10.52</v>
      </c>
      <c r="O8" s="279">
        <v>3.81</v>
      </c>
      <c r="P8" s="280">
        <f t="shared" si="0"/>
        <v>2.9390999999999998</v>
      </c>
      <c r="Q8" s="279">
        <v>0.35</v>
      </c>
      <c r="R8" s="281">
        <v>17.719999999999995</v>
      </c>
      <c r="U8" s="279">
        <v>3.03</v>
      </c>
    </row>
    <row r="9" spans="1:35" x14ac:dyDescent="0.25">
      <c r="C9" s="298">
        <f>C5/$C$3</f>
        <v>0.2186842257709464</v>
      </c>
      <c r="E9" s="299">
        <f>C4-B4</f>
        <v>5339</v>
      </c>
      <c r="H9">
        <f>H10+H11+H12+H13</f>
        <v>71304</v>
      </c>
      <c r="M9" s="278">
        <v>4</v>
      </c>
      <c r="N9" s="286">
        <v>9.8000000000000007</v>
      </c>
      <c r="O9" s="286">
        <v>3.46</v>
      </c>
      <c r="P9" s="280">
        <f t="shared" si="0"/>
        <v>2.5510999999999999</v>
      </c>
      <c r="Q9" s="286">
        <v>0.3</v>
      </c>
      <c r="R9" s="287">
        <v>16.170000000000002</v>
      </c>
      <c r="U9" s="286">
        <v>2.63</v>
      </c>
    </row>
    <row r="10" spans="1:35" x14ac:dyDescent="0.25">
      <c r="B10" s="300">
        <f>B11/B13</f>
        <v>1.3702316135107827E-2</v>
      </c>
      <c r="C10" s="298">
        <f>C6/$C$3</f>
        <v>0.17981346670013709</v>
      </c>
      <c r="E10" s="299">
        <f>C5-B5</f>
        <v>2346.7900000000009</v>
      </c>
      <c r="H10">
        <v>40146</v>
      </c>
      <c r="I10" s="194">
        <f>H10/$H$9</f>
        <v>0.56302591719959605</v>
      </c>
      <c r="M10" s="278">
        <v>3</v>
      </c>
      <c r="N10" s="279">
        <v>9.09</v>
      </c>
      <c r="O10" s="279">
        <v>3.1</v>
      </c>
      <c r="P10" s="280">
        <f t="shared" si="0"/>
        <v>2.1436999999999999</v>
      </c>
      <c r="Q10" s="279">
        <v>0.24</v>
      </c>
      <c r="R10" s="281">
        <v>14.63</v>
      </c>
      <c r="U10" s="279">
        <v>2.21</v>
      </c>
    </row>
    <row r="11" spans="1:35" x14ac:dyDescent="0.25">
      <c r="A11" s="274" t="s">
        <v>368</v>
      </c>
      <c r="B11" s="301">
        <v>10000</v>
      </c>
      <c r="C11" s="298">
        <f>C7/$C$3</f>
        <v>2.220634522177381E-2</v>
      </c>
      <c r="E11" s="299">
        <f>C6-B6</f>
        <v>2326.7263999999996</v>
      </c>
      <c r="H11">
        <v>15594</v>
      </c>
      <c r="I11" s="194">
        <f>H11/$H$9</f>
        <v>0.21869740828004039</v>
      </c>
      <c r="M11" s="278">
        <v>2</v>
      </c>
      <c r="N11" s="286">
        <v>8.42</v>
      </c>
      <c r="O11" s="286">
        <v>2.73</v>
      </c>
      <c r="P11" s="280">
        <f t="shared" si="0"/>
        <v>1.7168999999999999</v>
      </c>
      <c r="Q11" s="286">
        <v>0.17999999999999997</v>
      </c>
      <c r="R11" s="287">
        <v>13.090000000000002</v>
      </c>
      <c r="U11" s="286">
        <v>1.77</v>
      </c>
    </row>
    <row r="12" spans="1:35" x14ac:dyDescent="0.25">
      <c r="A12" s="274" t="s">
        <v>369</v>
      </c>
      <c r="B12" s="302">
        <f>E7+E6+E5+E4</f>
        <v>719803.62600000016</v>
      </c>
      <c r="E12" s="299">
        <f>C7-B7</f>
        <v>313.7800000000002</v>
      </c>
      <c r="H12">
        <v>13868</v>
      </c>
      <c r="I12" s="194">
        <f>H12/$H$9</f>
        <v>0.19449119263996409</v>
      </c>
      <c r="M12" s="278">
        <v>1</v>
      </c>
      <c r="N12" s="279">
        <v>7.85</v>
      </c>
      <c r="O12" s="279">
        <v>2.34</v>
      </c>
      <c r="P12" s="280">
        <f t="shared" si="0"/>
        <v>1.1931</v>
      </c>
      <c r="Q12" s="279">
        <v>0.1</v>
      </c>
      <c r="R12" s="281">
        <v>11.53</v>
      </c>
      <c r="U12" s="279">
        <v>1.23</v>
      </c>
    </row>
    <row r="13" spans="1:35" x14ac:dyDescent="0.25">
      <c r="A13" s="303" t="s">
        <v>333</v>
      </c>
      <c r="B13" s="304">
        <f>B11+B12</f>
        <v>729803.62600000016</v>
      </c>
      <c r="H13">
        <v>1696</v>
      </c>
      <c r="I13" s="194">
        <f>H13/$H$9</f>
        <v>2.3785481880399417E-2</v>
      </c>
      <c r="N13">
        <f>N2/R2</f>
        <v>0.55297157622739024</v>
      </c>
      <c r="O13">
        <f>O2/R2</f>
        <v>0.21963824289405687</v>
      </c>
      <c r="P13" s="280">
        <f>P2/R2</f>
        <v>0.19657807308970102</v>
      </c>
      <c r="Q13">
        <f>Q2/R2</f>
        <v>2.5101513473606504E-2</v>
      </c>
    </row>
    <row r="15" spans="1:35" x14ac:dyDescent="0.25">
      <c r="A15" s="20"/>
      <c r="B15" s="305" t="s">
        <v>256</v>
      </c>
      <c r="C15" s="305" t="s">
        <v>257</v>
      </c>
      <c r="D15" s="305" t="s">
        <v>258</v>
      </c>
      <c r="E15" s="305" t="s">
        <v>259</v>
      </c>
      <c r="F15" s="305" t="s">
        <v>260</v>
      </c>
      <c r="G15" s="305" t="s">
        <v>261</v>
      </c>
      <c r="H15" s="305" t="s">
        <v>262</v>
      </c>
      <c r="I15" s="305" t="s">
        <v>263</v>
      </c>
      <c r="J15" s="305" t="s">
        <v>264</v>
      </c>
      <c r="K15" s="305" t="s">
        <v>265</v>
      </c>
      <c r="L15" s="305" t="s">
        <v>266</v>
      </c>
      <c r="M15" s="305" t="s">
        <v>267</v>
      </c>
      <c r="N15" s="305" t="s">
        <v>268</v>
      </c>
      <c r="O15" s="305" t="s">
        <v>269</v>
      </c>
      <c r="P15" s="305" t="s">
        <v>270</v>
      </c>
      <c r="Q15" s="305" t="s">
        <v>271</v>
      </c>
      <c r="R15" s="305" t="s">
        <v>256</v>
      </c>
      <c r="S15" s="305" t="s">
        <v>257</v>
      </c>
      <c r="T15" s="305" t="s">
        <v>258</v>
      </c>
      <c r="U15" s="305" t="s">
        <v>259</v>
      </c>
      <c r="V15" s="305" t="s">
        <v>260</v>
      </c>
      <c r="W15" s="305" t="s">
        <v>261</v>
      </c>
      <c r="X15" s="305" t="s">
        <v>262</v>
      </c>
      <c r="Y15" s="305" t="s">
        <v>263</v>
      </c>
      <c r="Z15" s="305" t="s">
        <v>264</v>
      </c>
      <c r="AA15" s="305" t="s">
        <v>265</v>
      </c>
      <c r="AB15" s="305" t="s">
        <v>266</v>
      </c>
      <c r="AC15" s="305" t="s">
        <v>267</v>
      </c>
      <c r="AD15" s="305" t="s">
        <v>268</v>
      </c>
      <c r="AE15" s="305" t="s">
        <v>269</v>
      </c>
      <c r="AF15" s="305" t="s">
        <v>270</v>
      </c>
      <c r="AG15" s="305" t="s">
        <v>271</v>
      </c>
      <c r="AH15" s="305"/>
      <c r="AI15" s="305"/>
    </row>
    <row r="16" spans="1:35" x14ac:dyDescent="0.25">
      <c r="A16" s="306" t="s">
        <v>370</v>
      </c>
      <c r="B16" s="307">
        <v>2093</v>
      </c>
      <c r="C16" s="307">
        <f t="shared" ref="C16:AD16" si="1">B16+10</f>
        <v>2103</v>
      </c>
      <c r="D16" s="307">
        <f t="shared" si="1"/>
        <v>2113</v>
      </c>
      <c r="E16" s="307">
        <f t="shared" si="1"/>
        <v>2123</v>
      </c>
      <c r="F16" s="307">
        <f t="shared" si="1"/>
        <v>2133</v>
      </c>
      <c r="G16" s="307">
        <f t="shared" si="1"/>
        <v>2143</v>
      </c>
      <c r="H16" s="307">
        <f t="shared" si="1"/>
        <v>2153</v>
      </c>
      <c r="I16" s="307">
        <f t="shared" si="1"/>
        <v>2163</v>
      </c>
      <c r="J16" s="307">
        <f t="shared" si="1"/>
        <v>2173</v>
      </c>
      <c r="K16" s="307">
        <f t="shared" si="1"/>
        <v>2183</v>
      </c>
      <c r="L16" s="307">
        <f t="shared" si="1"/>
        <v>2193</v>
      </c>
      <c r="M16" s="307">
        <f t="shared" si="1"/>
        <v>2203</v>
      </c>
      <c r="N16" s="307">
        <f t="shared" si="1"/>
        <v>2213</v>
      </c>
      <c r="O16" s="307">
        <f t="shared" si="1"/>
        <v>2223</v>
      </c>
      <c r="P16" s="307">
        <f t="shared" si="1"/>
        <v>2233</v>
      </c>
      <c r="Q16" s="307">
        <f t="shared" si="1"/>
        <v>2243</v>
      </c>
      <c r="R16" s="307">
        <f t="shared" si="1"/>
        <v>2253</v>
      </c>
      <c r="S16" s="307">
        <f t="shared" si="1"/>
        <v>2263</v>
      </c>
      <c r="T16" s="307">
        <f t="shared" si="1"/>
        <v>2273</v>
      </c>
      <c r="U16" s="307">
        <f t="shared" si="1"/>
        <v>2283</v>
      </c>
      <c r="V16" s="307">
        <f t="shared" si="1"/>
        <v>2293</v>
      </c>
      <c r="W16" s="307">
        <f t="shared" si="1"/>
        <v>2303</v>
      </c>
      <c r="X16" s="307">
        <f t="shared" si="1"/>
        <v>2313</v>
      </c>
      <c r="Y16" s="307">
        <f t="shared" si="1"/>
        <v>2323</v>
      </c>
      <c r="Z16" s="307">
        <f t="shared" si="1"/>
        <v>2333</v>
      </c>
      <c r="AA16" s="307">
        <f t="shared" si="1"/>
        <v>2343</v>
      </c>
      <c r="AB16" s="307">
        <f t="shared" si="1"/>
        <v>2353</v>
      </c>
      <c r="AC16" s="307">
        <f t="shared" si="1"/>
        <v>2363</v>
      </c>
      <c r="AD16" s="307">
        <f t="shared" si="1"/>
        <v>2373</v>
      </c>
      <c r="AE16" s="307"/>
      <c r="AF16" s="306"/>
      <c r="AG16" s="306"/>
      <c r="AH16" s="306"/>
      <c r="AI16" s="306"/>
    </row>
    <row r="17" spans="1:48" x14ac:dyDescent="0.25">
      <c r="A17" s="306"/>
      <c r="B17" s="307">
        <f t="shared" ref="B17:AD17" si="2">B18+B19+B20+B21</f>
        <v>43356.076399999998</v>
      </c>
      <c r="C17" s="307">
        <f t="shared" si="2"/>
        <v>43563.224399999992</v>
      </c>
      <c r="D17" s="307">
        <f t="shared" si="2"/>
        <v>43770.3724</v>
      </c>
      <c r="E17" s="307">
        <f t="shared" si="2"/>
        <v>43977.520400000001</v>
      </c>
      <c r="F17" s="307">
        <f t="shared" si="2"/>
        <v>44184.668399999995</v>
      </c>
      <c r="G17" s="307">
        <f t="shared" si="2"/>
        <v>44391.816399999996</v>
      </c>
      <c r="H17" s="307">
        <f t="shared" si="2"/>
        <v>44598.96439999999</v>
      </c>
      <c r="I17" s="307">
        <f t="shared" si="2"/>
        <v>44806.112400000005</v>
      </c>
      <c r="J17" s="307">
        <f t="shared" si="2"/>
        <v>45013.260400000006</v>
      </c>
      <c r="K17" s="307">
        <f t="shared" si="2"/>
        <v>45220.4084</v>
      </c>
      <c r="L17" s="307">
        <f t="shared" si="2"/>
        <v>45427.556400000001</v>
      </c>
      <c r="M17" s="307">
        <f t="shared" si="2"/>
        <v>45634.704399999995</v>
      </c>
      <c r="N17" s="307">
        <f t="shared" si="2"/>
        <v>45841.852400000003</v>
      </c>
      <c r="O17" s="307">
        <f t="shared" si="2"/>
        <v>46049.000400000004</v>
      </c>
      <c r="P17" s="307">
        <f t="shared" si="2"/>
        <v>46256.148399999998</v>
      </c>
      <c r="Q17" s="307">
        <f t="shared" si="2"/>
        <v>46463.296399999999</v>
      </c>
      <c r="R17" s="307">
        <f t="shared" si="2"/>
        <v>46670.444399999993</v>
      </c>
      <c r="S17" s="307">
        <f t="shared" si="2"/>
        <v>46877.592400000001</v>
      </c>
      <c r="T17" s="307">
        <f t="shared" si="2"/>
        <v>47084.740400000002</v>
      </c>
      <c r="U17" s="307">
        <f t="shared" si="2"/>
        <v>47291.888399999996</v>
      </c>
      <c r="V17" s="307">
        <f t="shared" si="2"/>
        <v>47499.036399999997</v>
      </c>
      <c r="W17" s="307">
        <f t="shared" si="2"/>
        <v>47706.184399999991</v>
      </c>
      <c r="X17" s="307">
        <f t="shared" si="2"/>
        <v>47913.332399999999</v>
      </c>
      <c r="Y17" s="307">
        <f t="shared" si="2"/>
        <v>48120.4804</v>
      </c>
      <c r="Z17" s="307">
        <f t="shared" si="2"/>
        <v>48327.628399999994</v>
      </c>
      <c r="AA17" s="307">
        <f t="shared" si="2"/>
        <v>48534.776400000002</v>
      </c>
      <c r="AB17" s="307">
        <f t="shared" si="2"/>
        <v>48741.924399999996</v>
      </c>
      <c r="AC17" s="307">
        <f t="shared" si="2"/>
        <v>48949.072399999997</v>
      </c>
      <c r="AD17" s="307">
        <f t="shared" si="2"/>
        <v>49156.220400000006</v>
      </c>
      <c r="AE17" s="307"/>
      <c r="AF17" s="307"/>
      <c r="AG17" s="307"/>
      <c r="AH17" s="307"/>
      <c r="AI17" s="307"/>
    </row>
    <row r="18" spans="1:48" x14ac:dyDescent="0.25">
      <c r="A18" s="308" t="s">
        <v>371</v>
      </c>
      <c r="B18" s="309">
        <f>B16*$N$6</f>
        <v>25116</v>
      </c>
      <c r="C18" s="309">
        <f t="shared" ref="C18:AD18" si="3">C16*$N$6</f>
        <v>25236</v>
      </c>
      <c r="D18" s="309">
        <f t="shared" si="3"/>
        <v>25356</v>
      </c>
      <c r="E18" s="309">
        <f t="shared" si="3"/>
        <v>25476</v>
      </c>
      <c r="F18" s="309">
        <f t="shared" si="3"/>
        <v>25596</v>
      </c>
      <c r="G18" s="309">
        <f t="shared" si="3"/>
        <v>25716</v>
      </c>
      <c r="H18" s="309">
        <f t="shared" si="3"/>
        <v>25836</v>
      </c>
      <c r="I18" s="309">
        <f t="shared" si="3"/>
        <v>25956</v>
      </c>
      <c r="J18" s="309">
        <f t="shared" si="3"/>
        <v>26076</v>
      </c>
      <c r="K18" s="309">
        <f t="shared" si="3"/>
        <v>26196</v>
      </c>
      <c r="L18" s="309">
        <f t="shared" si="3"/>
        <v>26316</v>
      </c>
      <c r="M18" s="309">
        <f t="shared" si="3"/>
        <v>26436</v>
      </c>
      <c r="N18" s="309">
        <f t="shared" si="3"/>
        <v>26556</v>
      </c>
      <c r="O18" s="309">
        <f t="shared" si="3"/>
        <v>26676</v>
      </c>
      <c r="P18" s="309">
        <f t="shared" si="3"/>
        <v>26796</v>
      </c>
      <c r="Q18" s="309">
        <f t="shared" si="3"/>
        <v>26916</v>
      </c>
      <c r="R18" s="309">
        <f t="shared" si="3"/>
        <v>27036</v>
      </c>
      <c r="S18" s="309">
        <f t="shared" si="3"/>
        <v>27156</v>
      </c>
      <c r="T18" s="309">
        <f t="shared" si="3"/>
        <v>27276</v>
      </c>
      <c r="U18" s="309">
        <f t="shared" si="3"/>
        <v>27396</v>
      </c>
      <c r="V18" s="309">
        <f t="shared" si="3"/>
        <v>27516</v>
      </c>
      <c r="W18" s="309">
        <f t="shared" si="3"/>
        <v>27636</v>
      </c>
      <c r="X18" s="309">
        <f t="shared" si="3"/>
        <v>27756</v>
      </c>
      <c r="Y18" s="309">
        <f t="shared" si="3"/>
        <v>27876</v>
      </c>
      <c r="Z18" s="309">
        <f t="shared" si="3"/>
        <v>27996</v>
      </c>
      <c r="AA18" s="309">
        <f t="shared" si="3"/>
        <v>28116</v>
      </c>
      <c r="AB18" s="309">
        <f t="shared" si="3"/>
        <v>28236</v>
      </c>
      <c r="AC18" s="309">
        <f t="shared" si="3"/>
        <v>28356</v>
      </c>
      <c r="AD18" s="309">
        <f t="shared" si="3"/>
        <v>28476</v>
      </c>
      <c r="AE18" s="309"/>
      <c r="AF18" s="309"/>
      <c r="AG18" s="309"/>
      <c r="AH18" s="309"/>
      <c r="AI18" s="30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08" t="s">
        <v>372</v>
      </c>
      <c r="B19" s="309">
        <f>B16*$O$6</f>
        <v>9481.2900000000009</v>
      </c>
      <c r="C19" s="309">
        <f t="shared" ref="C19:AD19" si="4">C16*$O$6</f>
        <v>9526.59</v>
      </c>
      <c r="D19" s="309">
        <f t="shared" si="4"/>
        <v>9571.8900000000012</v>
      </c>
      <c r="E19" s="309">
        <f t="shared" si="4"/>
        <v>9617.19</v>
      </c>
      <c r="F19" s="309">
        <f t="shared" si="4"/>
        <v>9662.49</v>
      </c>
      <c r="G19" s="309">
        <f t="shared" si="4"/>
        <v>9707.7900000000009</v>
      </c>
      <c r="H19" s="309">
        <f t="shared" si="4"/>
        <v>9753.09</v>
      </c>
      <c r="I19" s="309">
        <f t="shared" si="4"/>
        <v>9798.3900000000012</v>
      </c>
      <c r="J19" s="309">
        <f t="shared" si="4"/>
        <v>9843.69</v>
      </c>
      <c r="K19" s="309">
        <f t="shared" si="4"/>
        <v>9888.99</v>
      </c>
      <c r="L19" s="309">
        <f t="shared" si="4"/>
        <v>9934.2900000000009</v>
      </c>
      <c r="M19" s="309">
        <f t="shared" si="4"/>
        <v>9979.59</v>
      </c>
      <c r="N19" s="309">
        <f t="shared" si="4"/>
        <v>10024.890000000001</v>
      </c>
      <c r="O19" s="309">
        <f t="shared" si="4"/>
        <v>10070.19</v>
      </c>
      <c r="P19" s="309">
        <f t="shared" si="4"/>
        <v>10115.49</v>
      </c>
      <c r="Q19" s="309">
        <f t="shared" si="4"/>
        <v>10160.790000000001</v>
      </c>
      <c r="R19" s="309">
        <f t="shared" si="4"/>
        <v>10206.09</v>
      </c>
      <c r="S19" s="309">
        <f t="shared" si="4"/>
        <v>10251.390000000001</v>
      </c>
      <c r="T19" s="309">
        <f t="shared" si="4"/>
        <v>10296.69</v>
      </c>
      <c r="U19" s="309">
        <f t="shared" si="4"/>
        <v>10341.99</v>
      </c>
      <c r="V19" s="309">
        <f t="shared" si="4"/>
        <v>10387.290000000001</v>
      </c>
      <c r="W19" s="309">
        <f t="shared" si="4"/>
        <v>10432.59</v>
      </c>
      <c r="X19" s="309">
        <f t="shared" si="4"/>
        <v>10477.890000000001</v>
      </c>
      <c r="Y19" s="309">
        <f t="shared" si="4"/>
        <v>10523.19</v>
      </c>
      <c r="Z19" s="309">
        <f t="shared" si="4"/>
        <v>10568.49</v>
      </c>
      <c r="AA19" s="309">
        <f t="shared" si="4"/>
        <v>10613.79</v>
      </c>
      <c r="AB19" s="309">
        <f t="shared" si="4"/>
        <v>10659.09</v>
      </c>
      <c r="AC19" s="309">
        <f t="shared" si="4"/>
        <v>10704.390000000001</v>
      </c>
      <c r="AD19" s="309">
        <f t="shared" si="4"/>
        <v>10749.69</v>
      </c>
      <c r="AE19" s="309"/>
      <c r="AF19" s="309"/>
      <c r="AG19" s="309"/>
      <c r="AH19" s="309"/>
      <c r="AI19" s="309"/>
    </row>
    <row r="20" spans="1:48" x14ac:dyDescent="0.25">
      <c r="A20" s="308" t="s">
        <v>373</v>
      </c>
      <c r="B20" s="309">
        <f>B16*$P$6</f>
        <v>7796.0063999999993</v>
      </c>
      <c r="C20" s="309">
        <f t="shared" ref="C20:AD20" si="5">C16*$P$6</f>
        <v>7833.2543999999989</v>
      </c>
      <c r="D20" s="309">
        <f t="shared" si="5"/>
        <v>7870.5023999999994</v>
      </c>
      <c r="E20" s="309">
        <f t="shared" si="5"/>
        <v>7907.750399999999</v>
      </c>
      <c r="F20" s="309">
        <f t="shared" si="5"/>
        <v>7944.9983999999995</v>
      </c>
      <c r="G20" s="309">
        <f t="shared" si="5"/>
        <v>7982.2463999999991</v>
      </c>
      <c r="H20" s="309">
        <f t="shared" si="5"/>
        <v>8019.4943999999996</v>
      </c>
      <c r="I20" s="309">
        <f t="shared" si="5"/>
        <v>8056.7423999999992</v>
      </c>
      <c r="J20" s="309">
        <f t="shared" si="5"/>
        <v>8093.9903999999997</v>
      </c>
      <c r="K20" s="309">
        <f t="shared" si="5"/>
        <v>8131.2383999999993</v>
      </c>
      <c r="L20" s="309">
        <f t="shared" si="5"/>
        <v>8168.4863999999989</v>
      </c>
      <c r="M20" s="309">
        <f t="shared" si="5"/>
        <v>8205.7343999999994</v>
      </c>
      <c r="N20" s="309">
        <f t="shared" si="5"/>
        <v>8242.982399999999</v>
      </c>
      <c r="O20" s="309">
        <f t="shared" si="5"/>
        <v>8280.2303999999986</v>
      </c>
      <c r="P20" s="309">
        <f t="shared" si="5"/>
        <v>8317.4784</v>
      </c>
      <c r="Q20" s="309">
        <f t="shared" si="5"/>
        <v>8354.7263999999996</v>
      </c>
      <c r="R20" s="309">
        <f t="shared" si="5"/>
        <v>8391.9743999999992</v>
      </c>
      <c r="S20" s="309">
        <f t="shared" si="5"/>
        <v>8429.2223999999987</v>
      </c>
      <c r="T20" s="309">
        <f t="shared" si="5"/>
        <v>8466.4703999999983</v>
      </c>
      <c r="U20" s="309">
        <f t="shared" si="5"/>
        <v>8503.7183999999997</v>
      </c>
      <c r="V20" s="309">
        <f t="shared" si="5"/>
        <v>8540.9663999999993</v>
      </c>
      <c r="W20" s="309">
        <f t="shared" si="5"/>
        <v>8578.2143999999989</v>
      </c>
      <c r="X20" s="309">
        <f t="shared" si="5"/>
        <v>8615.4623999999985</v>
      </c>
      <c r="Y20" s="309">
        <f t="shared" si="5"/>
        <v>8652.7103999999999</v>
      </c>
      <c r="Z20" s="309">
        <f t="shared" si="5"/>
        <v>8689.9583999999995</v>
      </c>
      <c r="AA20" s="309">
        <f t="shared" si="5"/>
        <v>8727.2063999999991</v>
      </c>
      <c r="AB20" s="309">
        <f t="shared" si="5"/>
        <v>8764.4543999999987</v>
      </c>
      <c r="AC20" s="309">
        <f t="shared" si="5"/>
        <v>8801.7023999999983</v>
      </c>
      <c r="AD20" s="309">
        <f t="shared" si="5"/>
        <v>8838.9503999999997</v>
      </c>
      <c r="AE20" s="309"/>
      <c r="AF20" s="309"/>
      <c r="AG20" s="309"/>
      <c r="AH20" s="309"/>
      <c r="AI20" s="309"/>
    </row>
    <row r="21" spans="1:48" x14ac:dyDescent="0.25">
      <c r="A21" s="308" t="s">
        <v>374</v>
      </c>
      <c r="B21" s="309">
        <f>B16*$Q$6</f>
        <v>962.7800000000002</v>
      </c>
      <c r="C21" s="309">
        <f t="shared" ref="C21:AD21" si="6">C16*$Q$6</f>
        <v>967.38000000000011</v>
      </c>
      <c r="D21" s="309">
        <f t="shared" si="6"/>
        <v>971.98000000000013</v>
      </c>
      <c r="E21" s="309">
        <f t="shared" si="6"/>
        <v>976.58000000000015</v>
      </c>
      <c r="F21" s="309">
        <f t="shared" si="6"/>
        <v>981.18000000000018</v>
      </c>
      <c r="G21" s="309">
        <f t="shared" si="6"/>
        <v>985.7800000000002</v>
      </c>
      <c r="H21" s="309">
        <f t="shared" si="6"/>
        <v>990.38000000000011</v>
      </c>
      <c r="I21" s="309">
        <f t="shared" si="6"/>
        <v>994.98000000000013</v>
      </c>
      <c r="J21" s="309">
        <f t="shared" si="6"/>
        <v>999.58000000000015</v>
      </c>
      <c r="K21" s="309">
        <f t="shared" si="6"/>
        <v>1004.1800000000002</v>
      </c>
      <c r="L21" s="309">
        <f t="shared" si="6"/>
        <v>1008.7800000000002</v>
      </c>
      <c r="M21" s="309">
        <f t="shared" si="6"/>
        <v>1013.3800000000002</v>
      </c>
      <c r="N21" s="309">
        <f t="shared" si="6"/>
        <v>1017.9800000000001</v>
      </c>
      <c r="O21" s="309">
        <f t="shared" si="6"/>
        <v>1022.5800000000002</v>
      </c>
      <c r="P21" s="309">
        <f t="shared" si="6"/>
        <v>1027.18</v>
      </c>
      <c r="Q21" s="309">
        <f t="shared" si="6"/>
        <v>1031.7800000000002</v>
      </c>
      <c r="R21" s="309">
        <f t="shared" si="6"/>
        <v>1036.3800000000001</v>
      </c>
      <c r="S21" s="309">
        <f t="shared" si="6"/>
        <v>1040.9800000000002</v>
      </c>
      <c r="T21" s="309">
        <f t="shared" si="6"/>
        <v>1045.5800000000002</v>
      </c>
      <c r="U21" s="309">
        <f t="shared" si="6"/>
        <v>1050.18</v>
      </c>
      <c r="V21" s="309">
        <f t="shared" si="6"/>
        <v>1054.7800000000002</v>
      </c>
      <c r="W21" s="309">
        <f t="shared" si="6"/>
        <v>1059.3800000000001</v>
      </c>
      <c r="X21" s="309">
        <f t="shared" si="6"/>
        <v>1063.9800000000002</v>
      </c>
      <c r="Y21" s="309">
        <f t="shared" si="6"/>
        <v>1068.5800000000002</v>
      </c>
      <c r="Z21" s="309">
        <f t="shared" si="6"/>
        <v>1073.18</v>
      </c>
      <c r="AA21" s="309">
        <f t="shared" si="6"/>
        <v>1077.7800000000002</v>
      </c>
      <c r="AB21" s="309">
        <f t="shared" si="6"/>
        <v>1082.3800000000001</v>
      </c>
      <c r="AC21" s="309">
        <f t="shared" si="6"/>
        <v>1086.9800000000002</v>
      </c>
      <c r="AD21" s="309">
        <f t="shared" si="6"/>
        <v>1091.5800000000002</v>
      </c>
      <c r="AE21" s="309"/>
      <c r="AF21" s="309"/>
      <c r="AG21" s="309"/>
      <c r="AH21" s="309"/>
      <c r="AI21" s="309"/>
    </row>
    <row r="22" spans="1:48" x14ac:dyDescent="0.25">
      <c r="A22" s="308" t="s">
        <v>375</v>
      </c>
      <c r="B22" s="309">
        <f t="shared" ref="B22:AD22" si="7">MIN(B$18,$C$4)</f>
        <v>25116</v>
      </c>
      <c r="C22" s="309">
        <f t="shared" si="7"/>
        <v>25236</v>
      </c>
      <c r="D22" s="309">
        <f t="shared" si="7"/>
        <v>25356</v>
      </c>
      <c r="E22" s="309">
        <f t="shared" si="7"/>
        <v>25476</v>
      </c>
      <c r="F22" s="309">
        <f t="shared" si="7"/>
        <v>25596</v>
      </c>
      <c r="G22" s="309">
        <f t="shared" si="7"/>
        <v>25716</v>
      </c>
      <c r="H22" s="309">
        <f t="shared" si="7"/>
        <v>25836</v>
      </c>
      <c r="I22" s="309">
        <f t="shared" si="7"/>
        <v>25956</v>
      </c>
      <c r="J22" s="309">
        <f t="shared" si="7"/>
        <v>26076</v>
      </c>
      <c r="K22" s="309">
        <f t="shared" si="7"/>
        <v>26196</v>
      </c>
      <c r="L22" s="309">
        <f t="shared" si="7"/>
        <v>26316</v>
      </c>
      <c r="M22" s="309">
        <f t="shared" si="7"/>
        <v>26436</v>
      </c>
      <c r="N22" s="309">
        <f t="shared" si="7"/>
        <v>26556</v>
      </c>
      <c r="O22" s="309">
        <f t="shared" si="7"/>
        <v>26676</v>
      </c>
      <c r="P22" s="309">
        <f t="shared" si="7"/>
        <v>26796</v>
      </c>
      <c r="Q22" s="309">
        <f t="shared" si="7"/>
        <v>26916</v>
      </c>
      <c r="R22" s="309">
        <f t="shared" si="7"/>
        <v>26916</v>
      </c>
      <c r="S22" s="309">
        <f t="shared" si="7"/>
        <v>26916</v>
      </c>
      <c r="T22" s="309">
        <f t="shared" si="7"/>
        <v>26916</v>
      </c>
      <c r="U22" s="309">
        <f t="shared" si="7"/>
        <v>26916</v>
      </c>
      <c r="V22" s="309">
        <f t="shared" si="7"/>
        <v>26916</v>
      </c>
      <c r="W22" s="309">
        <f t="shared" si="7"/>
        <v>26916</v>
      </c>
      <c r="X22" s="309">
        <f t="shared" si="7"/>
        <v>26916</v>
      </c>
      <c r="Y22" s="309">
        <f t="shared" si="7"/>
        <v>26916</v>
      </c>
      <c r="Z22" s="309">
        <f t="shared" si="7"/>
        <v>26916</v>
      </c>
      <c r="AA22" s="309">
        <f t="shared" si="7"/>
        <v>26916</v>
      </c>
      <c r="AB22" s="309">
        <f t="shared" si="7"/>
        <v>26916</v>
      </c>
      <c r="AC22" s="309">
        <f t="shared" si="7"/>
        <v>26916</v>
      </c>
      <c r="AD22" s="309">
        <f t="shared" si="7"/>
        <v>26916</v>
      </c>
      <c r="AE22" s="309"/>
      <c r="AF22" s="309"/>
      <c r="AG22" s="309"/>
      <c r="AH22" s="309"/>
      <c r="AI22" s="309"/>
    </row>
    <row r="23" spans="1:48" x14ac:dyDescent="0.25">
      <c r="A23" s="308" t="s">
        <v>376</v>
      </c>
      <c r="B23" s="309">
        <f t="shared" ref="B23:AD23" si="8">MIN(B$19,$C$5)</f>
        <v>9481.2900000000009</v>
      </c>
      <c r="C23" s="309">
        <f t="shared" si="8"/>
        <v>9526.59</v>
      </c>
      <c r="D23" s="309">
        <f t="shared" si="8"/>
        <v>9571.8900000000012</v>
      </c>
      <c r="E23" s="309">
        <f t="shared" si="8"/>
        <v>9617.19</v>
      </c>
      <c r="F23" s="309">
        <f t="shared" si="8"/>
        <v>9662.49</v>
      </c>
      <c r="G23" s="309">
        <f t="shared" si="8"/>
        <v>9707.7900000000009</v>
      </c>
      <c r="H23" s="309">
        <f t="shared" si="8"/>
        <v>9753.09</v>
      </c>
      <c r="I23" s="309">
        <f t="shared" si="8"/>
        <v>9798.3900000000012</v>
      </c>
      <c r="J23" s="309">
        <f t="shared" si="8"/>
        <v>9843.69</v>
      </c>
      <c r="K23" s="309">
        <f t="shared" si="8"/>
        <v>9888.99</v>
      </c>
      <c r="L23" s="309">
        <f t="shared" si="8"/>
        <v>9934.2900000000009</v>
      </c>
      <c r="M23" s="309">
        <f t="shared" si="8"/>
        <v>9979.59</v>
      </c>
      <c r="N23" s="309">
        <f t="shared" si="8"/>
        <v>10024.890000000001</v>
      </c>
      <c r="O23" s="309">
        <f t="shared" si="8"/>
        <v>10070.19</v>
      </c>
      <c r="P23" s="309">
        <f t="shared" si="8"/>
        <v>10115.49</v>
      </c>
      <c r="Q23" s="309">
        <f t="shared" si="8"/>
        <v>10160.790000000001</v>
      </c>
      <c r="R23" s="309">
        <f t="shared" si="8"/>
        <v>10160.790000000001</v>
      </c>
      <c r="S23" s="309">
        <f t="shared" si="8"/>
        <v>10160.790000000001</v>
      </c>
      <c r="T23" s="309">
        <f t="shared" si="8"/>
        <v>10160.790000000001</v>
      </c>
      <c r="U23" s="309">
        <f t="shared" si="8"/>
        <v>10160.790000000001</v>
      </c>
      <c r="V23" s="309">
        <f t="shared" si="8"/>
        <v>10160.790000000001</v>
      </c>
      <c r="W23" s="309">
        <f t="shared" si="8"/>
        <v>10160.790000000001</v>
      </c>
      <c r="X23" s="309">
        <f t="shared" si="8"/>
        <v>10160.790000000001</v>
      </c>
      <c r="Y23" s="309">
        <f t="shared" si="8"/>
        <v>10160.790000000001</v>
      </c>
      <c r="Z23" s="309">
        <f t="shared" si="8"/>
        <v>10160.790000000001</v>
      </c>
      <c r="AA23" s="309">
        <f t="shared" si="8"/>
        <v>10160.790000000001</v>
      </c>
      <c r="AB23" s="309">
        <f t="shared" si="8"/>
        <v>10160.790000000001</v>
      </c>
      <c r="AC23" s="309">
        <f t="shared" si="8"/>
        <v>10160.790000000001</v>
      </c>
      <c r="AD23" s="309">
        <f t="shared" si="8"/>
        <v>10160.790000000001</v>
      </c>
      <c r="AE23" s="309"/>
      <c r="AF23" s="309"/>
      <c r="AG23" s="309"/>
      <c r="AH23" s="309"/>
      <c r="AI23" s="309"/>
    </row>
    <row r="24" spans="1:48" x14ac:dyDescent="0.25">
      <c r="A24" s="308" t="s">
        <v>377</v>
      </c>
      <c r="B24" s="309">
        <f t="shared" ref="B24:AD24" si="9">MIN(B$20,$C$6)</f>
        <v>7796.0063999999993</v>
      </c>
      <c r="C24" s="309">
        <f t="shared" si="9"/>
        <v>7833.2543999999989</v>
      </c>
      <c r="D24" s="309">
        <f t="shared" si="9"/>
        <v>7870.5023999999994</v>
      </c>
      <c r="E24" s="309">
        <f t="shared" si="9"/>
        <v>7907.750399999999</v>
      </c>
      <c r="F24" s="309">
        <f t="shared" si="9"/>
        <v>7944.9983999999995</v>
      </c>
      <c r="G24" s="309">
        <f t="shared" si="9"/>
        <v>7982.2463999999991</v>
      </c>
      <c r="H24" s="309">
        <f t="shared" si="9"/>
        <v>8019.4943999999996</v>
      </c>
      <c r="I24" s="309">
        <f t="shared" si="9"/>
        <v>8056.7423999999992</v>
      </c>
      <c r="J24" s="309">
        <f t="shared" si="9"/>
        <v>8093.9903999999997</v>
      </c>
      <c r="K24" s="309">
        <f t="shared" si="9"/>
        <v>8131.2383999999993</v>
      </c>
      <c r="L24" s="309">
        <f t="shared" si="9"/>
        <v>8168.4863999999989</v>
      </c>
      <c r="M24" s="309">
        <f t="shared" si="9"/>
        <v>8205.7343999999994</v>
      </c>
      <c r="N24" s="309">
        <f t="shared" si="9"/>
        <v>8242.982399999999</v>
      </c>
      <c r="O24" s="309">
        <f t="shared" si="9"/>
        <v>8280.2303999999986</v>
      </c>
      <c r="P24" s="309">
        <f t="shared" si="9"/>
        <v>8317.4784</v>
      </c>
      <c r="Q24" s="309">
        <f t="shared" si="9"/>
        <v>8354.7263999999996</v>
      </c>
      <c r="R24" s="309">
        <f t="shared" si="9"/>
        <v>8354.7263999999996</v>
      </c>
      <c r="S24" s="309">
        <f t="shared" si="9"/>
        <v>8354.7263999999996</v>
      </c>
      <c r="T24" s="309">
        <f t="shared" si="9"/>
        <v>8354.7263999999996</v>
      </c>
      <c r="U24" s="309">
        <f t="shared" si="9"/>
        <v>8354.7263999999996</v>
      </c>
      <c r="V24" s="309">
        <f t="shared" si="9"/>
        <v>8354.7263999999996</v>
      </c>
      <c r="W24" s="309">
        <f t="shared" si="9"/>
        <v>8354.7263999999996</v>
      </c>
      <c r="X24" s="309">
        <f t="shared" si="9"/>
        <v>8354.7263999999996</v>
      </c>
      <c r="Y24" s="309">
        <f t="shared" si="9"/>
        <v>8354.7263999999996</v>
      </c>
      <c r="Z24" s="309">
        <f t="shared" si="9"/>
        <v>8354.7263999999996</v>
      </c>
      <c r="AA24" s="309">
        <f t="shared" si="9"/>
        <v>8354.7263999999996</v>
      </c>
      <c r="AB24" s="309">
        <f t="shared" si="9"/>
        <v>8354.7263999999996</v>
      </c>
      <c r="AC24" s="309">
        <f t="shared" si="9"/>
        <v>8354.7263999999996</v>
      </c>
      <c r="AD24" s="309">
        <f t="shared" si="9"/>
        <v>8354.7263999999996</v>
      </c>
      <c r="AE24" s="309"/>
      <c r="AF24" s="309"/>
      <c r="AG24" s="309"/>
      <c r="AH24" s="309"/>
      <c r="AI24" s="309"/>
    </row>
    <row r="25" spans="1:48" x14ac:dyDescent="0.25">
      <c r="A25" s="308" t="s">
        <v>378</v>
      </c>
      <c r="B25" s="309">
        <f t="shared" ref="B25:AD25" si="10">MIN(B$21,$C$7)</f>
        <v>962.7800000000002</v>
      </c>
      <c r="C25" s="309">
        <f t="shared" si="10"/>
        <v>967.38000000000011</v>
      </c>
      <c r="D25" s="309">
        <f t="shared" si="10"/>
        <v>971.98000000000013</v>
      </c>
      <c r="E25" s="309">
        <f t="shared" si="10"/>
        <v>976.58000000000015</v>
      </c>
      <c r="F25" s="309">
        <f t="shared" si="10"/>
        <v>981.18000000000018</v>
      </c>
      <c r="G25" s="309">
        <f t="shared" si="10"/>
        <v>985.7800000000002</v>
      </c>
      <c r="H25" s="309">
        <f t="shared" si="10"/>
        <v>990.38000000000011</v>
      </c>
      <c r="I25" s="309">
        <f t="shared" si="10"/>
        <v>994.98000000000013</v>
      </c>
      <c r="J25" s="309">
        <f t="shared" si="10"/>
        <v>999.58000000000015</v>
      </c>
      <c r="K25" s="309">
        <f t="shared" si="10"/>
        <v>1004.1800000000002</v>
      </c>
      <c r="L25" s="309">
        <f t="shared" si="10"/>
        <v>1008.7800000000002</v>
      </c>
      <c r="M25" s="309">
        <f t="shared" si="10"/>
        <v>1013.3800000000002</v>
      </c>
      <c r="N25" s="309">
        <f t="shared" si="10"/>
        <v>1017.9800000000001</v>
      </c>
      <c r="O25" s="309">
        <f t="shared" si="10"/>
        <v>1022.5800000000002</v>
      </c>
      <c r="P25" s="309">
        <f t="shared" si="10"/>
        <v>1027.18</v>
      </c>
      <c r="Q25" s="309">
        <f t="shared" si="10"/>
        <v>1031.7800000000002</v>
      </c>
      <c r="R25" s="309">
        <f t="shared" si="10"/>
        <v>1031.7800000000002</v>
      </c>
      <c r="S25" s="309">
        <f t="shared" si="10"/>
        <v>1031.7800000000002</v>
      </c>
      <c r="T25" s="309">
        <f t="shared" si="10"/>
        <v>1031.7800000000002</v>
      </c>
      <c r="U25" s="309">
        <f t="shared" si="10"/>
        <v>1031.7800000000002</v>
      </c>
      <c r="V25" s="309">
        <f t="shared" si="10"/>
        <v>1031.7800000000002</v>
      </c>
      <c r="W25" s="309">
        <f t="shared" si="10"/>
        <v>1031.7800000000002</v>
      </c>
      <c r="X25" s="309">
        <f t="shared" si="10"/>
        <v>1031.7800000000002</v>
      </c>
      <c r="Y25" s="309">
        <f t="shared" si="10"/>
        <v>1031.7800000000002</v>
      </c>
      <c r="Z25" s="309">
        <f t="shared" si="10"/>
        <v>1031.7800000000002</v>
      </c>
      <c r="AA25" s="309">
        <f t="shared" si="10"/>
        <v>1031.7800000000002</v>
      </c>
      <c r="AB25" s="309">
        <f t="shared" si="10"/>
        <v>1031.7800000000002</v>
      </c>
      <c r="AC25" s="309">
        <f t="shared" si="10"/>
        <v>1031.7800000000002</v>
      </c>
      <c r="AD25" s="309">
        <f t="shared" si="10"/>
        <v>1031.7800000000002</v>
      </c>
      <c r="AE25" s="309"/>
      <c r="AF25" s="309"/>
      <c r="AG25" s="309"/>
      <c r="AH25" s="309"/>
      <c r="AI25" s="309"/>
    </row>
    <row r="26" spans="1:48" x14ac:dyDescent="0.25">
      <c r="A26" s="310" t="s">
        <v>379</v>
      </c>
      <c r="B26" s="311">
        <f>IF(B22&gt;$B$4,(B22-$B$4)*$H$4,0)</f>
        <v>24773</v>
      </c>
      <c r="C26" s="311">
        <v>0</v>
      </c>
      <c r="D26" s="311">
        <f>IF(D22&gt;$B$4,(D22-$B$4)*$H$4,0)</f>
        <v>26453</v>
      </c>
      <c r="E26" s="311">
        <v>0</v>
      </c>
      <c r="F26" s="311">
        <f>IF(F22&gt;$B$4,(F22-$B$4)*$H$4,0)</f>
        <v>28133</v>
      </c>
      <c r="G26" s="311">
        <v>0</v>
      </c>
      <c r="H26" s="311">
        <f>IF(H22&gt;$B$4,(H22-$B$4)*$H$4,0)</f>
        <v>29813</v>
      </c>
      <c r="I26" s="311">
        <v>0</v>
      </c>
      <c r="J26" s="311">
        <f>IF(J22&gt;$B$4,(J22-$B$4)*$H$4,0)</f>
        <v>31493</v>
      </c>
      <c r="K26" s="311">
        <v>0</v>
      </c>
      <c r="L26" s="311">
        <f>IF(L22&gt;$B$4,(L22-$B$4)*$H$4,0)</f>
        <v>33173</v>
      </c>
      <c r="M26" s="311">
        <v>0</v>
      </c>
      <c r="N26" s="311">
        <f>IF(N22&gt;$B$4,(N22-$B$4)*$H$4,0)</f>
        <v>34853</v>
      </c>
      <c r="O26" s="311">
        <v>0</v>
      </c>
      <c r="P26" s="311">
        <f>IF(P22&gt;$B$4,(P22-$B$4)*$H$4,0)</f>
        <v>36533</v>
      </c>
      <c r="Q26" s="311">
        <v>0</v>
      </c>
      <c r="R26" s="311">
        <f>IF(R22&gt;$B$4,(R22-$B$4)*$H$4,0)</f>
        <v>37373</v>
      </c>
      <c r="S26" s="311">
        <v>0</v>
      </c>
      <c r="T26" s="311">
        <f>IF(T22&gt;$B$4,(T22-$B$4)*$H$4,0)</f>
        <v>37373</v>
      </c>
      <c r="U26" s="311">
        <v>0</v>
      </c>
      <c r="V26" s="311">
        <f>IF(V22&gt;$B$4,(V22-$B$4)*$H$4,0)</f>
        <v>37373</v>
      </c>
      <c r="W26" s="311">
        <v>0</v>
      </c>
      <c r="X26" s="311">
        <f>IF(X22&gt;$B$4,(X22-$B$4)*$H$4,0)</f>
        <v>37373</v>
      </c>
      <c r="Y26" s="311">
        <v>0</v>
      </c>
      <c r="Z26" s="311">
        <f>IF(Z22&gt;$B$4,(Z22-$B$4)*$H$4,0)</f>
        <v>37373</v>
      </c>
      <c r="AA26" s="311">
        <v>0</v>
      </c>
      <c r="AB26" s="311">
        <f>IF(AB22&gt;$B$4,(AB22-$B$4)*$H$4,0)</f>
        <v>37373</v>
      </c>
      <c r="AC26" s="311">
        <v>0</v>
      </c>
      <c r="AD26" s="311">
        <f>IF(AD22&gt;$B$4,(AD22-$B$4)*$H$4,0)</f>
        <v>37373</v>
      </c>
      <c r="AE26" s="311">
        <v>0</v>
      </c>
      <c r="AF26" s="311">
        <f>IF(AF22&gt;$B$4,(AF22-$B$4)*$H$4,0)</f>
        <v>0</v>
      </c>
      <c r="AG26" s="311">
        <v>0</v>
      </c>
      <c r="AH26" s="311">
        <f>IF(AH22&gt;$B$4,(AH22-$B$4)*$H$4,0)</f>
        <v>0</v>
      </c>
      <c r="AI26" s="311">
        <v>0</v>
      </c>
      <c r="AJ26" s="311">
        <f>IF(AJ22&gt;$B$4,(AJ22-$B$4)*$H$4,0)</f>
        <v>0</v>
      </c>
      <c r="AK26" s="311">
        <v>0</v>
      </c>
    </row>
    <row r="27" spans="1:48" x14ac:dyDescent="0.25">
      <c r="A27" s="310" t="s">
        <v>380</v>
      </c>
      <c r="B27" s="311">
        <f>IF(B23&gt;$B$5,(B23-$B$5)*$H$5,0)</f>
        <v>16672.900000000009</v>
      </c>
      <c r="C27" s="311">
        <v>0</v>
      </c>
      <c r="D27" s="311">
        <f>IF(D23&gt;$B$5,(D23-$B$5)*$H$5,0)</f>
        <v>17578.900000000012</v>
      </c>
      <c r="E27" s="311">
        <v>0</v>
      </c>
      <c r="F27" s="311">
        <f>IF(F23&gt;$B$5,(F23-$B$5)*$H$5,0)</f>
        <v>18484.899999999998</v>
      </c>
      <c r="G27" s="311">
        <v>0</v>
      </c>
      <c r="H27" s="311">
        <f>IF(H23&gt;$B$5,(H23-$B$5)*$H$5,0)</f>
        <v>19390.900000000001</v>
      </c>
      <c r="I27" s="311">
        <v>0</v>
      </c>
      <c r="J27" s="311">
        <f>IF(J23&gt;$B$5,(J23-$B$5)*$H$5,0)</f>
        <v>20296.900000000005</v>
      </c>
      <c r="K27" s="311">
        <v>0</v>
      </c>
      <c r="L27" s="311">
        <f>IF(L23&gt;$B$5,(L23-$B$5)*$H$5,0)</f>
        <v>21202.900000000009</v>
      </c>
      <c r="M27" s="311">
        <v>0</v>
      </c>
      <c r="N27" s="311">
        <f>IF(N23&gt;$B$5,(N23-$B$5)*$H$5,0)</f>
        <v>22108.900000000012</v>
      </c>
      <c r="O27" s="311">
        <v>0</v>
      </c>
      <c r="P27" s="311">
        <f>IF(P23&gt;$B$5,(P23-$B$5)*$H$5,0)</f>
        <v>23014.899999999998</v>
      </c>
      <c r="Q27" s="311">
        <v>0</v>
      </c>
      <c r="R27" s="311">
        <f>IF(R23&gt;$B$5,(R23-$B$5)*$H$5,0)</f>
        <v>23467.900000000009</v>
      </c>
      <c r="S27" s="311">
        <v>0</v>
      </c>
      <c r="T27" s="311">
        <f>IF(T23&gt;$B$5,(T23-$B$5)*$H$5,0)</f>
        <v>23467.900000000009</v>
      </c>
      <c r="U27" s="311">
        <v>0</v>
      </c>
      <c r="V27" s="311">
        <f>IF(V23&gt;$B$5,(V23-$B$5)*$H$5,0)</f>
        <v>23467.900000000009</v>
      </c>
      <c r="W27" s="311">
        <v>0</v>
      </c>
      <c r="X27" s="311">
        <f>IF(X23&gt;$B$5,(X23-$B$5)*$H$5,0)</f>
        <v>23467.900000000009</v>
      </c>
      <c r="Y27" s="311">
        <v>0</v>
      </c>
      <c r="Z27" s="311">
        <f>IF(Z23&gt;$B$5,(Z23-$B$5)*$H$5,0)</f>
        <v>23467.900000000009</v>
      </c>
      <c r="AA27" s="311">
        <v>0</v>
      </c>
      <c r="AB27" s="311">
        <f>IF(AB23&gt;$B$5,(AB23-$B$5)*$H$5,0)</f>
        <v>23467.900000000009</v>
      </c>
      <c r="AC27" s="311">
        <v>0</v>
      </c>
      <c r="AD27" s="311">
        <f>IF(AD23&gt;$B$5,(AD23-$B$5)*$H$5,0)</f>
        <v>23467.900000000009</v>
      </c>
      <c r="AE27" s="311">
        <v>0</v>
      </c>
      <c r="AF27" s="311">
        <f>IF(AF23&gt;$B$5,(AF23-$B$5)*$H$5,0)</f>
        <v>0</v>
      </c>
      <c r="AG27" s="311">
        <v>0</v>
      </c>
      <c r="AH27" s="311">
        <f>IF(AH23&gt;$B$5,(AH23-$B$5)*$H$5,0)</f>
        <v>0</v>
      </c>
      <c r="AI27" s="311">
        <v>0</v>
      </c>
      <c r="AJ27" s="311">
        <f>IF(AJ23&gt;$B$5,(AJ23-$B$5)*$H$5,0)</f>
        <v>0</v>
      </c>
      <c r="AK27" s="311">
        <v>0</v>
      </c>
    </row>
    <row r="28" spans="1:48" x14ac:dyDescent="0.25">
      <c r="A28" s="310" t="s">
        <v>381</v>
      </c>
      <c r="B28" s="311">
        <f>IF(B24&gt;$B$6,(B24-$B$6)*$H$6,0)</f>
        <v>33592.121599999984</v>
      </c>
      <c r="C28" s="311">
        <v>0</v>
      </c>
      <c r="D28" s="311">
        <f>IF(D24&gt;$B$6,(D24-$B$6)*$H$6,0)</f>
        <v>35007.54559999999</v>
      </c>
      <c r="E28" s="311">
        <v>0</v>
      </c>
      <c r="F28" s="311">
        <f>IF(F24&gt;$B$6,(F24-$B$6)*$H$6,0)</f>
        <v>36422.969599999989</v>
      </c>
      <c r="G28" s="311">
        <v>0</v>
      </c>
      <c r="H28" s="311">
        <f>IF(H24&gt;$B$6,(H24-$B$6)*$H$6,0)</f>
        <v>37838.393599999996</v>
      </c>
      <c r="I28" s="311">
        <v>0</v>
      </c>
      <c r="J28" s="311">
        <f>IF(J24&gt;$B$6,(J24-$B$6)*$H$6,0)</f>
        <v>39253.817599999995</v>
      </c>
      <c r="K28" s="311">
        <v>0</v>
      </c>
      <c r="L28" s="311">
        <f>IF(L24&gt;$B$6,(L24-$B$6)*$H$6,0)</f>
        <v>40669.241599999979</v>
      </c>
      <c r="M28" s="311">
        <v>0</v>
      </c>
      <c r="N28" s="311">
        <f>IF(N24&gt;$B$6,(N24-$B$6)*$H$6,0)</f>
        <v>42084.665599999978</v>
      </c>
      <c r="O28" s="311">
        <v>0</v>
      </c>
      <c r="P28" s="311">
        <f>IF(P24&gt;$B$6,(P24-$B$6)*$H$6,0)</f>
        <v>43500.089599999999</v>
      </c>
      <c r="Q28" s="311">
        <v>0</v>
      </c>
      <c r="R28" s="311">
        <f>IF(R24&gt;$B$6,(R24-$B$6)*$H$6,0)</f>
        <v>44207.801599999992</v>
      </c>
      <c r="S28" s="311">
        <v>0</v>
      </c>
      <c r="T28" s="311">
        <f>IF(T24&gt;$B$6,(T24-$B$6)*$H$6,0)</f>
        <v>44207.801599999992</v>
      </c>
      <c r="U28" s="311">
        <v>0</v>
      </c>
      <c r="V28" s="311">
        <f>IF(V24&gt;$B$6,(V24-$B$6)*$H$6,0)</f>
        <v>44207.801599999992</v>
      </c>
      <c r="W28" s="311">
        <v>0</v>
      </c>
      <c r="X28" s="311">
        <f>IF(X24&gt;$B$6,(X24-$B$6)*$H$6,0)</f>
        <v>44207.801599999992</v>
      </c>
      <c r="Y28" s="311">
        <v>0</v>
      </c>
      <c r="Z28" s="311">
        <f>IF(Z24&gt;$B$6,(Z24-$B$6)*$H$6,0)</f>
        <v>44207.801599999992</v>
      </c>
      <c r="AA28" s="311">
        <v>0</v>
      </c>
      <c r="AB28" s="311">
        <f>IF(AB24&gt;$B$6,(AB24-$B$6)*$H$6,0)</f>
        <v>44207.801599999992</v>
      </c>
      <c r="AC28" s="311">
        <v>0</v>
      </c>
      <c r="AD28" s="311">
        <f>IF(AD24&gt;$B$6,(AD24-$B$6)*$H$6,0)</f>
        <v>44207.801599999992</v>
      </c>
      <c r="AE28" s="311">
        <v>0</v>
      </c>
      <c r="AF28" s="311">
        <f>IF(AF24&gt;$B$6,(AF24-$B$6)*$H$6,0)</f>
        <v>0</v>
      </c>
      <c r="AG28" s="311">
        <v>0</v>
      </c>
      <c r="AH28" s="311">
        <f>IF(AH24&gt;$B$6,(AH24-$B$6)*$H$6,0)</f>
        <v>0</v>
      </c>
      <c r="AI28" s="311">
        <v>0</v>
      </c>
      <c r="AJ28" s="311">
        <f>IF(AJ24&gt;$B$6,(AJ24-$B$6)*$H$6,0)</f>
        <v>0</v>
      </c>
      <c r="AK28" s="311">
        <v>0</v>
      </c>
    </row>
    <row r="29" spans="1:48" x14ac:dyDescent="0.25">
      <c r="A29" s="310" t="s">
        <v>382</v>
      </c>
      <c r="B29" s="311">
        <f>IF(B25&gt;$B$7,(B25-$B$7)*$H$7,0)</f>
        <v>8567.3000000000065</v>
      </c>
      <c r="C29" s="311">
        <v>0</v>
      </c>
      <c r="D29" s="311">
        <f>IF(D25&gt;$B$7,(D25-$B$7)*$H$7,0)</f>
        <v>8889.3000000000047</v>
      </c>
      <c r="E29" s="311">
        <v>0</v>
      </c>
      <c r="F29" s="311">
        <f>IF(F25&gt;$B$7,(F25-$B$7)*$H$7,0)</f>
        <v>9211.3000000000065</v>
      </c>
      <c r="G29" s="311">
        <v>0</v>
      </c>
      <c r="H29" s="311">
        <f>IF(H25&gt;$B$7,(H25-$B$7)*$H$7,0)</f>
        <v>9533.3000000000029</v>
      </c>
      <c r="I29" s="311">
        <v>0</v>
      </c>
      <c r="J29" s="311">
        <f>IF(J25&gt;$B$7,(J25-$B$7)*$H$7,0)</f>
        <v>9855.3000000000047</v>
      </c>
      <c r="K29" s="311">
        <v>0</v>
      </c>
      <c r="L29" s="311">
        <f>IF(L25&gt;$B$7,(L25-$B$7)*$H$7,0)</f>
        <v>10177.300000000007</v>
      </c>
      <c r="M29" s="311">
        <v>0</v>
      </c>
      <c r="N29" s="311">
        <f>IF(N25&gt;$B$7,(N25-$B$7)*$H$7,0)</f>
        <v>10499.300000000005</v>
      </c>
      <c r="O29" s="311">
        <v>0</v>
      </c>
      <c r="P29" s="311">
        <f>IF(P25&gt;$B$7,(P25-$B$7)*$H$7,0)</f>
        <v>10821.300000000003</v>
      </c>
      <c r="Q29" s="311">
        <v>0</v>
      </c>
      <c r="R29" s="311">
        <f>IF(R25&gt;$B$7,(R25-$B$7)*$H$7,0)</f>
        <v>10982.300000000007</v>
      </c>
      <c r="S29" s="311">
        <v>0</v>
      </c>
      <c r="T29" s="311">
        <f>IF(T25&gt;$B$7,(T25-$B$7)*$H$7,0)</f>
        <v>10982.300000000007</v>
      </c>
      <c r="U29" s="311">
        <v>0</v>
      </c>
      <c r="V29" s="311">
        <f>IF(V25&gt;$B$7,(V25-$B$7)*$H$7,0)</f>
        <v>10982.300000000007</v>
      </c>
      <c r="W29" s="311">
        <v>0</v>
      </c>
      <c r="X29" s="311">
        <f>IF(X25&gt;$B$7,(X25-$B$7)*$H$7,0)</f>
        <v>10982.300000000007</v>
      </c>
      <c r="Y29" s="311">
        <v>0</v>
      </c>
      <c r="Z29" s="311">
        <f>IF(Z25&gt;$B$7,(Z25-$B$7)*$H$7,0)</f>
        <v>10982.300000000007</v>
      </c>
      <c r="AA29" s="311">
        <v>0</v>
      </c>
      <c r="AB29" s="311">
        <f>IF(AB25&gt;$B$7,(AB25-$B$7)*$H$7,0)</f>
        <v>10982.300000000007</v>
      </c>
      <c r="AC29" s="311">
        <v>0</v>
      </c>
      <c r="AD29" s="311">
        <f>IF(AD25&gt;$B$7,(AD25-$B$7)*$H$7,0)</f>
        <v>10982.300000000007</v>
      </c>
      <c r="AE29" s="311">
        <v>0</v>
      </c>
      <c r="AF29" s="311">
        <f>IF(AF25&gt;$B$7,(AF25-$B$7)*$H$7,0)</f>
        <v>0</v>
      </c>
      <c r="AG29" s="311">
        <v>0</v>
      </c>
      <c r="AH29" s="311">
        <f>IF(AH25&gt;$B$7,(AH25-$B$7)*$H$7,0)</f>
        <v>0</v>
      </c>
      <c r="AI29" s="311">
        <v>0</v>
      </c>
      <c r="AJ29" s="311">
        <f>IF(AJ25&gt;$B$7,(AJ25-$B$7)*$H$7,0)</f>
        <v>0</v>
      </c>
      <c r="AK29" s="311">
        <v>0</v>
      </c>
    </row>
    <row r="30" spans="1:48" x14ac:dyDescent="0.25">
      <c r="A30" s="312" t="s">
        <v>383</v>
      </c>
      <c r="B30" s="313">
        <f>G4+G5+G6+G7</f>
        <v>7423.4294000000009</v>
      </c>
      <c r="C30" s="313">
        <f t="shared" ref="C30:AD30" si="11">B30</f>
        <v>7423.4294000000009</v>
      </c>
      <c r="D30" s="313">
        <f t="shared" si="11"/>
        <v>7423.4294000000009</v>
      </c>
      <c r="E30" s="313">
        <f t="shared" si="11"/>
        <v>7423.4294000000009</v>
      </c>
      <c r="F30" s="313">
        <f t="shared" si="11"/>
        <v>7423.4294000000009</v>
      </c>
      <c r="G30" s="313">
        <f t="shared" si="11"/>
        <v>7423.4294000000009</v>
      </c>
      <c r="H30" s="313">
        <f t="shared" si="11"/>
        <v>7423.4294000000009</v>
      </c>
      <c r="I30" s="313">
        <f t="shared" si="11"/>
        <v>7423.4294000000009</v>
      </c>
      <c r="J30" s="313">
        <f t="shared" si="11"/>
        <v>7423.4294000000009</v>
      </c>
      <c r="K30" s="313">
        <f t="shared" si="11"/>
        <v>7423.4294000000009</v>
      </c>
      <c r="L30" s="313">
        <f t="shared" si="11"/>
        <v>7423.4294000000009</v>
      </c>
      <c r="M30" s="313">
        <f t="shared" si="11"/>
        <v>7423.4294000000009</v>
      </c>
      <c r="N30" s="313">
        <f t="shared" si="11"/>
        <v>7423.4294000000009</v>
      </c>
      <c r="O30" s="313">
        <f t="shared" si="11"/>
        <v>7423.4294000000009</v>
      </c>
      <c r="P30" s="313">
        <f t="shared" si="11"/>
        <v>7423.4294000000009</v>
      </c>
      <c r="Q30" s="313">
        <f t="shared" si="11"/>
        <v>7423.4294000000009</v>
      </c>
      <c r="R30" s="313">
        <f t="shared" si="11"/>
        <v>7423.4294000000009</v>
      </c>
      <c r="S30" s="313">
        <f t="shared" si="11"/>
        <v>7423.4294000000009</v>
      </c>
      <c r="T30" s="313">
        <f t="shared" si="11"/>
        <v>7423.4294000000009</v>
      </c>
      <c r="U30" s="313">
        <f t="shared" si="11"/>
        <v>7423.4294000000009</v>
      </c>
      <c r="V30" s="313">
        <f t="shared" si="11"/>
        <v>7423.4294000000009</v>
      </c>
      <c r="W30" s="313">
        <f t="shared" si="11"/>
        <v>7423.4294000000009</v>
      </c>
      <c r="X30" s="313">
        <f t="shared" si="11"/>
        <v>7423.4294000000009</v>
      </c>
      <c r="Y30" s="313">
        <f t="shared" si="11"/>
        <v>7423.4294000000009</v>
      </c>
      <c r="Z30" s="313">
        <f t="shared" si="11"/>
        <v>7423.4294000000009</v>
      </c>
      <c r="AA30" s="313">
        <f t="shared" si="11"/>
        <v>7423.4294000000009</v>
      </c>
      <c r="AB30" s="313">
        <f t="shared" si="11"/>
        <v>7423.4294000000009</v>
      </c>
      <c r="AC30" s="313">
        <f t="shared" si="11"/>
        <v>7423.4294000000009</v>
      </c>
      <c r="AD30" s="313">
        <f t="shared" si="11"/>
        <v>7423.4294000000009</v>
      </c>
      <c r="AE30" s="313"/>
      <c r="AF30" s="313"/>
      <c r="AG30" s="313"/>
      <c r="AH30" s="313"/>
      <c r="AI30" s="313"/>
    </row>
    <row r="31" spans="1:48" x14ac:dyDescent="0.25">
      <c r="A31" s="314" t="s">
        <v>384</v>
      </c>
      <c r="B31" s="315">
        <f t="shared" ref="B31:AD31" si="12">B26+B27+B28+B29-B30</f>
        <v>76181.892200000002</v>
      </c>
      <c r="C31" s="315">
        <f t="shared" si="12"/>
        <v>-7423.4294000000009</v>
      </c>
      <c r="D31" s="315">
        <f t="shared" si="12"/>
        <v>80505.316200000001</v>
      </c>
      <c r="E31" s="315">
        <f t="shared" si="12"/>
        <v>-7423.4294000000009</v>
      </c>
      <c r="F31" s="315">
        <f t="shared" si="12"/>
        <v>84828.740199999971</v>
      </c>
      <c r="G31" s="315">
        <f t="shared" si="12"/>
        <v>-7423.4294000000009</v>
      </c>
      <c r="H31" s="315">
        <f t="shared" si="12"/>
        <v>89152.164199999999</v>
      </c>
      <c r="I31" s="315">
        <f t="shared" si="12"/>
        <v>-7423.4294000000009</v>
      </c>
      <c r="J31" s="315">
        <f t="shared" si="12"/>
        <v>93475.588199999998</v>
      </c>
      <c r="K31" s="315">
        <f t="shared" si="12"/>
        <v>-7423.4294000000009</v>
      </c>
      <c r="L31" s="315">
        <f t="shared" si="12"/>
        <v>97799.012199999997</v>
      </c>
      <c r="M31" s="315">
        <f t="shared" si="12"/>
        <v>-7423.4294000000009</v>
      </c>
      <c r="N31" s="315">
        <f t="shared" si="12"/>
        <v>102122.4362</v>
      </c>
      <c r="O31" s="315">
        <f t="shared" si="12"/>
        <v>-7423.4294000000009</v>
      </c>
      <c r="P31" s="315">
        <f t="shared" si="12"/>
        <v>106445.8602</v>
      </c>
      <c r="Q31" s="315">
        <f t="shared" si="12"/>
        <v>-7423.4294000000009</v>
      </c>
      <c r="R31" s="315">
        <f t="shared" si="12"/>
        <v>108607.5722</v>
      </c>
      <c r="S31" s="315">
        <f t="shared" si="12"/>
        <v>-7423.4294000000009</v>
      </c>
      <c r="T31" s="315">
        <f t="shared" si="12"/>
        <v>108607.5722</v>
      </c>
      <c r="U31" s="315">
        <f t="shared" si="12"/>
        <v>-7423.4294000000009</v>
      </c>
      <c r="V31" s="315">
        <f t="shared" si="12"/>
        <v>108607.5722</v>
      </c>
      <c r="W31" s="315">
        <f t="shared" si="12"/>
        <v>-7423.4294000000009</v>
      </c>
      <c r="X31" s="315">
        <f t="shared" si="12"/>
        <v>108607.5722</v>
      </c>
      <c r="Y31" s="315">
        <f t="shared" si="12"/>
        <v>-7423.4294000000009</v>
      </c>
      <c r="Z31" s="315">
        <f t="shared" si="12"/>
        <v>108607.5722</v>
      </c>
      <c r="AA31" s="315">
        <f t="shared" si="12"/>
        <v>-7423.4294000000009</v>
      </c>
      <c r="AB31" s="315">
        <f t="shared" si="12"/>
        <v>108607.5722</v>
      </c>
      <c r="AC31" s="315">
        <f t="shared" si="12"/>
        <v>-7423.4294000000009</v>
      </c>
      <c r="AD31" s="315">
        <f t="shared" si="12"/>
        <v>108607.5722</v>
      </c>
      <c r="AE31" s="315"/>
      <c r="AF31" s="315"/>
      <c r="AG31" s="315"/>
      <c r="AH31" s="315"/>
      <c r="AI31" s="315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6" t="s">
        <v>385</v>
      </c>
      <c r="B32" s="315">
        <f>-B12-B11+B31</f>
        <v>-653621.73380000016</v>
      </c>
      <c r="C32" s="315">
        <f t="shared" ref="C32:AD32" si="13">B32+C31</f>
        <v>-661045.16320000018</v>
      </c>
      <c r="D32" s="315">
        <f t="shared" si="13"/>
        <v>-580539.84700000018</v>
      </c>
      <c r="E32" s="315">
        <f t="shared" si="13"/>
        <v>-587963.27640000021</v>
      </c>
      <c r="F32" s="315">
        <f t="shared" si="13"/>
        <v>-503134.53620000021</v>
      </c>
      <c r="G32" s="315">
        <f t="shared" si="13"/>
        <v>-510557.96560000023</v>
      </c>
      <c r="H32" s="315">
        <f t="shared" si="13"/>
        <v>-421405.80140000023</v>
      </c>
      <c r="I32" s="315">
        <f t="shared" si="13"/>
        <v>-428829.23080000025</v>
      </c>
      <c r="J32" s="315">
        <f t="shared" si="13"/>
        <v>-335353.64260000025</v>
      </c>
      <c r="K32" s="315">
        <f t="shared" si="13"/>
        <v>-342777.07200000028</v>
      </c>
      <c r="L32" s="315">
        <f t="shared" si="13"/>
        <v>-244978.05980000028</v>
      </c>
      <c r="M32" s="315">
        <f t="shared" si="13"/>
        <v>-252401.48920000027</v>
      </c>
      <c r="N32" s="315">
        <f t="shared" si="13"/>
        <v>-150279.05300000028</v>
      </c>
      <c r="O32" s="315">
        <f t="shared" si="13"/>
        <v>-157702.48240000027</v>
      </c>
      <c r="P32" s="315">
        <f t="shared" si="13"/>
        <v>-51256.622200000274</v>
      </c>
      <c r="Q32" s="315">
        <f t="shared" si="13"/>
        <v>-58680.051600000275</v>
      </c>
      <c r="R32" s="315">
        <f t="shared" si="13"/>
        <v>49927.52059999972</v>
      </c>
      <c r="S32" s="315">
        <f t="shared" si="13"/>
        <v>42504.091199999719</v>
      </c>
      <c r="T32" s="315">
        <f t="shared" si="13"/>
        <v>151111.66339999973</v>
      </c>
      <c r="U32" s="315">
        <f t="shared" si="13"/>
        <v>143688.23399999973</v>
      </c>
      <c r="V32" s="315">
        <f t="shared" si="13"/>
        <v>252295.80619999973</v>
      </c>
      <c r="W32" s="315">
        <f t="shared" si="13"/>
        <v>244872.37679999974</v>
      </c>
      <c r="X32" s="315">
        <f t="shared" si="13"/>
        <v>353479.94899999973</v>
      </c>
      <c r="Y32" s="315">
        <f t="shared" si="13"/>
        <v>346056.51959999971</v>
      </c>
      <c r="Z32" s="315">
        <f t="shared" si="13"/>
        <v>454664.0917999997</v>
      </c>
      <c r="AA32" s="315">
        <f t="shared" si="13"/>
        <v>447240.66239999968</v>
      </c>
      <c r="AB32" s="315">
        <f t="shared" si="13"/>
        <v>555848.23459999962</v>
      </c>
      <c r="AC32" s="315">
        <f t="shared" si="13"/>
        <v>548424.8051999996</v>
      </c>
      <c r="AD32" s="315">
        <f t="shared" si="13"/>
        <v>657032.37739999965</v>
      </c>
      <c r="AE32" s="315"/>
      <c r="AF32" s="315"/>
      <c r="AG32" s="315"/>
      <c r="AH32" s="315"/>
      <c r="AI32" s="315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4">
        <f t="shared" ref="B33:AD33" si="14">B32/$B$13</f>
        <v>-0.89561316293048954</v>
      </c>
      <c r="C33" s="194">
        <f t="shared" si="14"/>
        <v>-0.90578498057503487</v>
      </c>
      <c r="D33" s="194">
        <f t="shared" si="14"/>
        <v>-0.79547405126211312</v>
      </c>
      <c r="E33" s="194">
        <f t="shared" si="14"/>
        <v>-0.80564586890665857</v>
      </c>
      <c r="F33" s="194">
        <f t="shared" si="14"/>
        <v>-0.68941084735032554</v>
      </c>
      <c r="G33" s="194">
        <f t="shared" si="14"/>
        <v>-0.69958266499487098</v>
      </c>
      <c r="H33" s="194">
        <f t="shared" si="14"/>
        <v>-0.57742355119512678</v>
      </c>
      <c r="I33" s="194">
        <f t="shared" si="14"/>
        <v>-0.58759536883967212</v>
      </c>
      <c r="J33" s="194">
        <f t="shared" si="14"/>
        <v>-0.45951216279651669</v>
      </c>
      <c r="K33" s="194">
        <f t="shared" si="14"/>
        <v>-0.46968398044106208</v>
      </c>
      <c r="L33" s="194">
        <f t="shared" si="14"/>
        <v>-0.33567668215449536</v>
      </c>
      <c r="M33" s="194">
        <f t="shared" si="14"/>
        <v>-0.34584849979904075</v>
      </c>
      <c r="N33" s="194">
        <f t="shared" si="14"/>
        <v>-0.20591710926906281</v>
      </c>
      <c r="O33" s="194">
        <f t="shared" si="14"/>
        <v>-0.21608892691360818</v>
      </c>
      <c r="P33" s="194">
        <f t="shared" si="14"/>
        <v>-7.0233444140218981E-2</v>
      </c>
      <c r="Q33" s="194">
        <f t="shared" si="14"/>
        <v>-8.0405261784764356E-2</v>
      </c>
      <c r="R33" s="194">
        <f t="shared" si="14"/>
        <v>6.8412267110330452E-2</v>
      </c>
      <c r="S33" s="194">
        <f t="shared" si="14"/>
        <v>5.824044946578507E-2</v>
      </c>
      <c r="T33" s="194">
        <f t="shared" si="14"/>
        <v>0.20705797836087991</v>
      </c>
      <c r="U33" s="194">
        <f t="shared" si="14"/>
        <v>0.19688616071633452</v>
      </c>
      <c r="V33" s="194">
        <f t="shared" si="14"/>
        <v>0.34570368961142933</v>
      </c>
      <c r="W33" s="194">
        <f t="shared" si="14"/>
        <v>0.335531871966884</v>
      </c>
      <c r="X33" s="194">
        <f t="shared" si="14"/>
        <v>0.48434940086197881</v>
      </c>
      <c r="Y33" s="194">
        <f t="shared" si="14"/>
        <v>0.47417758321743336</v>
      </c>
      <c r="Z33" s="194">
        <f t="shared" si="14"/>
        <v>0.62299511211252823</v>
      </c>
      <c r="AA33" s="194">
        <f t="shared" si="14"/>
        <v>0.61282329446798278</v>
      </c>
      <c r="AB33" s="194">
        <f t="shared" si="14"/>
        <v>0.76164082336307748</v>
      </c>
      <c r="AC33" s="194">
        <f t="shared" si="14"/>
        <v>0.75146900571853215</v>
      </c>
      <c r="AD33" s="194">
        <f t="shared" si="14"/>
        <v>0.90028653461362707</v>
      </c>
      <c r="AE33" s="194"/>
      <c r="AF33" s="194"/>
      <c r="AG33" s="194"/>
      <c r="AH33" s="194"/>
      <c r="AI33" s="194"/>
    </row>
    <row r="36" spans="2:35" x14ac:dyDescent="0.25">
      <c r="K36" s="194"/>
    </row>
    <row r="37" spans="2:35" x14ac:dyDescent="0.25">
      <c r="K37" s="194"/>
    </row>
    <row r="38" spans="2:35" x14ac:dyDescent="0.25">
      <c r="K38" s="194"/>
    </row>
    <row r="39" spans="2:35" x14ac:dyDescent="0.25">
      <c r="K39" s="194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SemEntrenamiento</vt:lpstr>
      <vt:lpstr>Planning_253AIM</vt:lpstr>
      <vt:lpstr>352_BiCen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2021-02-18T17:38:00Z</dcterms:modified>
</cp:coreProperties>
</file>