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Abraldes" sheetId="19" r:id="rId15"/>
    <sheet name="Calculador de Sueldo" sheetId="2" r:id="rId16"/>
    <sheet name="Empleados" sheetId="4" r:id="rId17"/>
  </sheets>
  <calcPr calcId="152511"/>
</workbook>
</file>

<file path=xl/calcChain.xml><?xml version="1.0" encoding="utf-8"?>
<calcChain xmlns="http://schemas.openxmlformats.org/spreadsheetml/2006/main">
  <c r="AC21" i="1" l="1"/>
  <c r="AC20" i="1"/>
  <c r="AC19" i="1"/>
  <c r="AC22" i="1"/>
  <c r="U15" i="1"/>
  <c r="AR15" i="1"/>
  <c r="W15" i="1"/>
  <c r="R15" i="1"/>
  <c r="S15" i="1"/>
  <c r="P15" i="1"/>
  <c r="N15" i="1"/>
  <c r="AI15" i="1" s="1"/>
  <c r="J15" i="1"/>
  <c r="K15" i="1"/>
  <c r="L15" i="1"/>
  <c r="AC13" i="1"/>
  <c r="AC12" i="1"/>
  <c r="AC18" i="1"/>
  <c r="AC17" i="1"/>
  <c r="AC16" i="1"/>
  <c r="AC6" i="1"/>
  <c r="AC10" i="1"/>
  <c r="AC9" i="1"/>
  <c r="AC11" i="1"/>
  <c r="AC8" i="1"/>
  <c r="AC7" i="1"/>
  <c r="AC4" i="1"/>
  <c r="AM15" i="1" l="1"/>
  <c r="AL15" i="1"/>
  <c r="AK15" i="1"/>
  <c r="AN15" i="1"/>
  <c r="AH15" i="1"/>
  <c r="AG15" i="1"/>
  <c r="AJ15" i="1"/>
  <c r="C1" i="20"/>
  <c r="C1" i="19"/>
  <c r="C1" i="18"/>
  <c r="C1" i="17"/>
  <c r="I1" i="15"/>
  <c r="C1" i="16"/>
  <c r="E19" i="10" l="1"/>
  <c r="H19" i="10"/>
  <c r="K19" i="10" s="1"/>
  <c r="I19" i="10"/>
  <c r="L19" i="10" s="1"/>
  <c r="J19" i="10"/>
  <c r="M19" i="10"/>
  <c r="N19" i="10"/>
  <c r="O19" i="10"/>
  <c r="P19" i="10"/>
  <c r="Q19" i="10"/>
  <c r="AH19" i="10" s="1"/>
  <c r="R19" i="10"/>
  <c r="S19" i="10"/>
  <c r="AD19" i="10"/>
  <c r="AE19" i="10"/>
  <c r="AF19" i="10"/>
  <c r="AJ19" i="10"/>
  <c r="E20" i="10"/>
  <c r="H20" i="10"/>
  <c r="I20" i="10"/>
  <c r="L20" i="10" s="1"/>
  <c r="J20" i="10"/>
  <c r="M20" i="10"/>
  <c r="AD20" i="10" s="1"/>
  <c r="N20" i="10"/>
  <c r="AE20" i="10" s="1"/>
  <c r="O20" i="10"/>
  <c r="P20" i="10"/>
  <c r="Q20" i="10"/>
  <c r="AH20" i="10" s="1"/>
  <c r="R20" i="10"/>
  <c r="S20" i="10"/>
  <c r="AJ20" i="10" s="1"/>
  <c r="AF20" i="10"/>
  <c r="E21" i="10"/>
  <c r="H21" i="10"/>
  <c r="I21" i="10"/>
  <c r="J21" i="10"/>
  <c r="M21" i="10"/>
  <c r="AD21" i="10" s="1"/>
  <c r="N21" i="10"/>
  <c r="AE21" i="10" s="1"/>
  <c r="O21" i="10"/>
  <c r="AF21" i="10" s="1"/>
  <c r="P21" i="10"/>
  <c r="Q21" i="10"/>
  <c r="AH21" i="10" s="1"/>
  <c r="R21" i="10"/>
  <c r="S21" i="10"/>
  <c r="AJ21" i="10" s="1"/>
  <c r="K21" i="10" l="1"/>
  <c r="K20" i="10"/>
  <c r="L21" i="10"/>
  <c r="AC20" i="10"/>
  <c r="AC19" i="10"/>
  <c r="AC21" i="10"/>
  <c r="AR22" i="1" l="1"/>
  <c r="AN22" i="1"/>
  <c r="AL22" i="1"/>
  <c r="AK22" i="1"/>
  <c r="AJ22" i="1"/>
  <c r="AI22" i="1"/>
  <c r="AH22" i="1"/>
  <c r="AG22" i="1"/>
  <c r="AM22" i="1"/>
  <c r="W22" i="1"/>
  <c r="U22" i="1"/>
  <c r="S22" i="1"/>
  <c r="R22" i="1"/>
  <c r="P22" i="1"/>
  <c r="L22" i="1"/>
  <c r="K22" i="1"/>
  <c r="J22" i="1"/>
  <c r="AR21" i="1"/>
  <c r="AB21" i="1"/>
  <c r="W21" i="1"/>
  <c r="U21" i="1"/>
  <c r="S21" i="1"/>
  <c r="R21" i="1"/>
  <c r="P21" i="1"/>
  <c r="N21" i="1"/>
  <c r="AK21" i="1" s="1"/>
  <c r="L21" i="1"/>
  <c r="K21" i="1"/>
  <c r="J21" i="1"/>
  <c r="AR20" i="1"/>
  <c r="AB20" i="1"/>
  <c r="W20" i="1"/>
  <c r="U20" i="1"/>
  <c r="S20" i="1"/>
  <c r="R20" i="1"/>
  <c r="P20" i="1"/>
  <c r="N20" i="1"/>
  <c r="AI20" i="1" s="1"/>
  <c r="L20" i="1"/>
  <c r="K20" i="1"/>
  <c r="J20" i="1"/>
  <c r="AR19" i="1"/>
  <c r="AB19" i="1"/>
  <c r="W19" i="1"/>
  <c r="U19" i="1"/>
  <c r="S19" i="1"/>
  <c r="R19" i="1"/>
  <c r="P19" i="1"/>
  <c r="N19" i="1"/>
  <c r="AK19" i="1" s="1"/>
  <c r="L19" i="1"/>
  <c r="K19" i="1"/>
  <c r="J19" i="1"/>
  <c r="AR18" i="1"/>
  <c r="AB18" i="1"/>
  <c r="W18" i="1"/>
  <c r="U18" i="1"/>
  <c r="S18" i="1"/>
  <c r="R18" i="1"/>
  <c r="P18" i="1"/>
  <c r="N18" i="1"/>
  <c r="AI18" i="1" s="1"/>
  <c r="L18" i="1"/>
  <c r="K18" i="1"/>
  <c r="J18" i="1"/>
  <c r="AR17" i="1"/>
  <c r="AB17" i="1"/>
  <c r="W17" i="1"/>
  <c r="U17" i="1"/>
  <c r="S17" i="1"/>
  <c r="R17" i="1"/>
  <c r="P17" i="1"/>
  <c r="N17" i="1"/>
  <c r="AK17" i="1" s="1"/>
  <c r="L17" i="1"/>
  <c r="K17" i="1"/>
  <c r="J17" i="1"/>
  <c r="AR16" i="1"/>
  <c r="AN16" i="1"/>
  <c r="AM16" i="1"/>
  <c r="AL16" i="1"/>
  <c r="AJ16" i="1"/>
  <c r="AI16" i="1"/>
  <c r="AH16" i="1"/>
  <c r="AG16" i="1"/>
  <c r="AB16" i="1"/>
  <c r="AK16" i="1" s="1"/>
  <c r="W16" i="1"/>
  <c r="U16" i="1"/>
  <c r="S16" i="1"/>
  <c r="R16" i="1"/>
  <c r="P16" i="1"/>
  <c r="L16" i="1"/>
  <c r="K16" i="1"/>
  <c r="J16" i="1"/>
  <c r="AR14" i="1"/>
  <c r="AC14" i="1"/>
  <c r="AB14" i="1"/>
  <c r="W14" i="1"/>
  <c r="U14" i="1"/>
  <c r="S14" i="1"/>
  <c r="R14" i="1"/>
  <c r="P14" i="1"/>
  <c r="N14" i="1"/>
  <c r="AI14" i="1" s="1"/>
  <c r="L14" i="1"/>
  <c r="K14" i="1"/>
  <c r="J14" i="1"/>
  <c r="AR13" i="1"/>
  <c r="AB13" i="1"/>
  <c r="W13" i="1"/>
  <c r="U13" i="1"/>
  <c r="S13" i="1"/>
  <c r="R13" i="1"/>
  <c r="P13" i="1"/>
  <c r="N13" i="1"/>
  <c r="AK13" i="1" s="1"/>
  <c r="L13" i="1"/>
  <c r="K13" i="1"/>
  <c r="J13" i="1"/>
  <c r="AR12" i="1"/>
  <c r="AB12" i="1"/>
  <c r="W12" i="1"/>
  <c r="U12" i="1"/>
  <c r="S12" i="1"/>
  <c r="R12" i="1"/>
  <c r="P12" i="1"/>
  <c r="N12" i="1"/>
  <c r="AI12" i="1" s="1"/>
  <c r="L12" i="1"/>
  <c r="K12" i="1"/>
  <c r="J12" i="1"/>
  <c r="AR11" i="1"/>
  <c r="W11" i="1"/>
  <c r="U11" i="1"/>
  <c r="S11" i="1"/>
  <c r="R11" i="1"/>
  <c r="P11" i="1"/>
  <c r="N11" i="1"/>
  <c r="AK11" i="1" s="1"/>
  <c r="L11" i="1"/>
  <c r="K11" i="1"/>
  <c r="J11"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AK8" i="1" s="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C5" i="1"/>
  <c r="AB5" i="1"/>
  <c r="W5" i="1"/>
  <c r="U5" i="1"/>
  <c r="S5" i="1"/>
  <c r="R5" i="1"/>
  <c r="P5" i="1"/>
  <c r="N5" i="1"/>
  <c r="AI5" i="1" s="1"/>
  <c r="L5" i="1"/>
  <c r="K5" i="1"/>
  <c r="J5" i="1"/>
  <c r="AR4" i="1"/>
  <c r="W4" i="1"/>
  <c r="U4" i="1"/>
  <c r="S4" i="1"/>
  <c r="R4" i="1"/>
  <c r="P4" i="1"/>
  <c r="N4" i="1"/>
  <c r="AK4" i="1" s="1"/>
  <c r="L4" i="1"/>
  <c r="K4" i="1"/>
  <c r="J4" i="1"/>
  <c r="AR23" i="1"/>
  <c r="AM10" i="1" l="1"/>
  <c r="AM12" i="1"/>
  <c r="AM14" i="1"/>
  <c r="AM17" i="1"/>
  <c r="AM21" i="1"/>
  <c r="AM7" i="1"/>
  <c r="AN9" i="1"/>
  <c r="AL21" i="1"/>
  <c r="AJ9" i="1"/>
  <c r="AN11" i="1"/>
  <c r="AM5" i="1"/>
  <c r="AJ10" i="1"/>
  <c r="AH11" i="1"/>
  <c r="AL17" i="1"/>
  <c r="AM18" i="1"/>
  <c r="AN20" i="1"/>
  <c r="AN5" i="1"/>
  <c r="AM9" i="1"/>
  <c r="AJ11" i="1"/>
  <c r="AN18" i="1"/>
  <c r="AM19" i="1"/>
  <c r="AM20" i="1"/>
  <c r="AL4" i="1"/>
  <c r="AN13" i="1"/>
  <c r="AL19" i="1"/>
  <c r="AN4" i="1"/>
  <c r="AH12" i="1"/>
  <c r="AH14" i="1"/>
  <c r="AH19" i="1"/>
  <c r="AH21" i="1"/>
  <c r="AN21" i="1"/>
  <c r="AH4" i="1"/>
  <c r="AL7" i="1"/>
  <c r="AK10" i="1"/>
  <c r="AH10" i="1"/>
  <c r="AN10" i="1"/>
  <c r="AJ12" i="1"/>
  <c r="AJ13" i="1"/>
  <c r="AJ14" i="1"/>
  <c r="AI17" i="1"/>
  <c r="AH18" i="1"/>
  <c r="AI19" i="1"/>
  <c r="AH20" i="1"/>
  <c r="AI21" i="1"/>
  <c r="AH13" i="1"/>
  <c r="AI13" i="1"/>
  <c r="AH17" i="1"/>
  <c r="AN17" i="1"/>
  <c r="AN19" i="1"/>
  <c r="AH5" i="1"/>
  <c r="AI7" i="1"/>
  <c r="AJ4" i="1"/>
  <c r="AJ5" i="1"/>
  <c r="AH9" i="1"/>
  <c r="AI10" i="1"/>
  <c r="AL11" i="1"/>
  <c r="AN12" i="1"/>
  <c r="AM13" i="1"/>
  <c r="AL13" i="1"/>
  <c r="AN14" i="1"/>
  <c r="AJ17" i="1"/>
  <c r="AJ18" i="1"/>
  <c r="AJ19" i="1"/>
  <c r="AJ20" i="1"/>
  <c r="AJ21" i="1"/>
  <c r="AL8" i="1"/>
  <c r="AI4" i="1"/>
  <c r="AM4" i="1"/>
  <c r="AG5" i="1"/>
  <c r="AK5" i="1"/>
  <c r="AJ7" i="1"/>
  <c r="AN7" i="1"/>
  <c r="AI8" i="1"/>
  <c r="AM8" i="1"/>
  <c r="AG9" i="1"/>
  <c r="AK9" i="1"/>
  <c r="AI11" i="1"/>
  <c r="AM11" i="1"/>
  <c r="AG12" i="1"/>
  <c r="AK12" i="1"/>
  <c r="AG14" i="1"/>
  <c r="AK14" i="1"/>
  <c r="AG18" i="1"/>
  <c r="AK18" i="1"/>
  <c r="AG20" i="1"/>
  <c r="AK20" i="1"/>
  <c r="AH8" i="1"/>
  <c r="AL5" i="1"/>
  <c r="AG7" i="1"/>
  <c r="AK7" i="1"/>
  <c r="AJ8" i="1"/>
  <c r="AN8" i="1"/>
  <c r="AL9" i="1"/>
  <c r="AL12" i="1"/>
  <c r="AL14" i="1"/>
  <c r="AL18" i="1"/>
  <c r="AL20" i="1"/>
  <c r="AG4" i="1"/>
  <c r="AH7" i="1"/>
  <c r="AG8" i="1"/>
  <c r="AG10" i="1"/>
  <c r="AG11" i="1"/>
  <c r="AG13" i="1"/>
  <c r="AG17" i="1"/>
  <c r="AG19" i="1"/>
  <c r="AG21" i="1"/>
  <c r="AG7" i="10" l="1"/>
  <c r="AI7" i="10"/>
  <c r="A18" i="10"/>
  <c r="B18" i="10"/>
  <c r="D18" i="10"/>
  <c r="E18" i="10"/>
  <c r="H18" i="10"/>
  <c r="I18" i="10"/>
  <c r="AC18" i="10" s="1"/>
  <c r="J18" i="10"/>
  <c r="M18" i="10"/>
  <c r="N18" i="10"/>
  <c r="AE18" i="10" s="1"/>
  <c r="O18" i="10"/>
  <c r="AF18" i="10" s="1"/>
  <c r="P18" i="10"/>
  <c r="Q18" i="10"/>
  <c r="R18" i="10"/>
  <c r="S18" i="10"/>
  <c r="AJ18" i="10" s="1"/>
  <c r="AD18" i="10"/>
  <c r="AH18" i="10"/>
  <c r="L18" i="10" l="1"/>
  <c r="K18" i="10"/>
  <c r="J3" i="3" l="1"/>
  <c r="K3" i="3"/>
  <c r="Q3" i="3"/>
  <c r="AG17" i="10" l="1"/>
  <c r="AI17" i="10"/>
  <c r="AG16" i="10"/>
  <c r="AI16" i="10"/>
  <c r="AG15" i="10"/>
  <c r="AI15" i="10"/>
  <c r="AG14" i="10"/>
  <c r="AI14" i="10"/>
  <c r="AG13" i="10"/>
  <c r="AI13" i="10"/>
  <c r="AG12" i="10"/>
  <c r="AI12" i="10"/>
  <c r="AG11" i="10"/>
  <c r="AI11" i="10"/>
  <c r="AG10" i="10"/>
  <c r="AI10" i="10"/>
  <c r="AG8" i="10"/>
  <c r="AI8" i="10"/>
  <c r="AG6" i="10"/>
  <c r="AG5" i="10"/>
  <c r="AI4" i="10"/>
  <c r="Y17" i="10"/>
  <c r="Y16" i="10"/>
  <c r="Y15" i="10"/>
  <c r="Y14" i="10"/>
  <c r="Y11"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1" i="10"/>
  <c r="B11" i="10"/>
  <c r="D11" i="10"/>
  <c r="E11" i="10"/>
  <c r="G11" i="10"/>
  <c r="H11" i="10"/>
  <c r="I11" i="10"/>
  <c r="J11" i="10"/>
  <c r="M11" i="10"/>
  <c r="N11" i="10"/>
  <c r="AE11" i="10" s="1"/>
  <c r="O11" i="10"/>
  <c r="AF11" i="10" s="1"/>
  <c r="P11" i="10"/>
  <c r="Q11" i="10"/>
  <c r="R11" i="10"/>
  <c r="S11"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9" i="10"/>
  <c r="B19" i="10"/>
  <c r="D19" i="10"/>
  <c r="A20" i="10"/>
  <c r="B20" i="10"/>
  <c r="D20" i="10"/>
  <c r="A21" i="10"/>
  <c r="B21" i="10"/>
  <c r="D21" i="10"/>
  <c r="A22" i="10"/>
  <c r="B22" i="10"/>
  <c r="C22" i="10"/>
  <c r="D22"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3" i="10"/>
  <c r="L5" i="10"/>
  <c r="S19" i="3"/>
  <c r="T19" i="3"/>
  <c r="R19" i="3"/>
  <c r="AO19" i="3" s="1"/>
  <c r="S18" i="3"/>
  <c r="T18" i="3"/>
  <c r="H12" i="3"/>
  <c r="F7" i="12"/>
  <c r="Q12" i="12" s="1"/>
  <c r="W18" i="3"/>
  <c r="Y18" i="3" s="1"/>
  <c r="BZ18" i="3"/>
  <c r="G5" i="3"/>
  <c r="K14" i="10"/>
  <c r="K6" i="10"/>
  <c r="H17" i="3"/>
  <c r="H8" i="3"/>
  <c r="L11"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6" i="10"/>
  <c r="L12" i="10"/>
  <c r="L7" i="10"/>
  <c r="K5" i="10"/>
  <c r="J15" i="12"/>
  <c r="K16"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3" i="10"/>
  <c r="K11" i="10"/>
  <c r="K17" i="10"/>
  <c r="K15" i="10"/>
  <c r="K12" i="10"/>
  <c r="L17" i="10"/>
  <c r="L15" i="10"/>
  <c r="K10" i="10"/>
  <c r="L9" i="10"/>
  <c r="K7" i="10"/>
  <c r="L14"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1" i="10"/>
  <c r="AJ11" i="10"/>
  <c r="AD12" i="10"/>
  <c r="AJ12" i="10"/>
  <c r="AD13" i="10"/>
  <c r="AJ13" i="10"/>
  <c r="AD14" i="10"/>
  <c r="AJ14" i="10"/>
  <c r="AD15" i="10"/>
  <c r="AD16" i="10"/>
  <c r="AD17" i="10"/>
  <c r="AC5" i="10"/>
  <c r="AC6" i="10"/>
  <c r="AC9" i="10"/>
  <c r="AC10" i="10"/>
  <c r="AC14" i="10"/>
  <c r="AC15" i="10"/>
  <c r="AC16" i="10"/>
  <c r="Y10" i="10"/>
  <c r="Y8" i="10"/>
  <c r="Y4" i="10"/>
  <c r="D2" i="10"/>
  <c r="Z1" i="10"/>
  <c r="AA1" i="10" s="1"/>
  <c r="K4" i="10" l="1"/>
  <c r="L4" i="10"/>
  <c r="AC4" i="10"/>
  <c r="AC7" i="10"/>
  <c r="AC8" i="10"/>
  <c r="AC11" i="10"/>
  <c r="AC12" i="10"/>
  <c r="AC13" i="10"/>
  <c r="AC17" i="10"/>
  <c r="AJ17" i="10" l="1"/>
  <c r="AH17" i="10"/>
  <c r="AH16" i="10"/>
  <c r="AJ15" i="10"/>
  <c r="AH14" i="10"/>
  <c r="AH10" i="10"/>
  <c r="AJ10" i="10"/>
  <c r="AH13" i="10"/>
  <c r="AH12" i="10"/>
  <c r="AH11" i="10"/>
  <c r="AH8" i="10"/>
  <c r="AH6" i="10"/>
  <c r="AH9" i="10"/>
  <c r="AH7" i="10"/>
  <c r="AJ7" i="10"/>
  <c r="AJ5" i="10"/>
  <c r="AJ4" i="10"/>
  <c r="AJ16" i="10" l="1"/>
  <c r="AH15"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15" i="1" l="1"/>
  <c r="F20" i="1"/>
  <c r="C15" i="1"/>
  <c r="F9" i="1"/>
  <c r="C9" i="1" s="1"/>
  <c r="F12" i="1"/>
  <c r="C12" i="1" s="1"/>
  <c r="F21" i="1"/>
  <c r="F19" i="1"/>
  <c r="C19" i="1" s="1"/>
  <c r="C18" i="10" s="1"/>
  <c r="F17" i="1"/>
  <c r="C17" i="1" s="1"/>
  <c r="F16" i="1"/>
  <c r="C16" i="1" s="1"/>
  <c r="F13" i="1"/>
  <c r="C13" i="1" s="1"/>
  <c r="F10" i="1"/>
  <c r="C10" i="1" s="1"/>
  <c r="F6" i="1"/>
  <c r="C6" i="1" s="1"/>
  <c r="F7" i="1"/>
  <c r="C7" i="1" s="1"/>
  <c r="F22" i="1"/>
  <c r="F18" i="1"/>
  <c r="C18" i="1" s="1"/>
  <c r="F14" i="1"/>
  <c r="C14" i="1" s="1"/>
  <c r="F11" i="1"/>
  <c r="C11" i="1" s="1"/>
  <c r="F5" i="1"/>
  <c r="C5" i="1" s="1"/>
  <c r="F4" i="1"/>
  <c r="C4" i="1" s="1"/>
  <c r="F8" i="1"/>
  <c r="C8" i="1" s="1"/>
  <c r="C20" i="1" l="1"/>
  <c r="C19" i="10" s="1"/>
  <c r="F19" i="10"/>
  <c r="C22" i="1"/>
  <c r="C21" i="10" s="1"/>
  <c r="F21" i="10"/>
  <c r="C21" i="1"/>
  <c r="F20" i="10"/>
  <c r="F18" i="10"/>
  <c r="F6" i="10"/>
  <c r="C8" i="3"/>
  <c r="F9" i="10"/>
  <c r="C12" i="3"/>
  <c r="F13" i="10"/>
  <c r="C11" i="3"/>
  <c r="F12" i="10"/>
  <c r="C9" i="3"/>
  <c r="F10" i="10"/>
  <c r="C15" i="3"/>
  <c r="F16" i="10"/>
  <c r="C17" i="3"/>
  <c r="C6" i="3"/>
  <c r="F7" i="10"/>
  <c r="C7" i="3"/>
  <c r="F8" i="10"/>
  <c r="C10" i="3"/>
  <c r="F11" i="10"/>
  <c r="C19" i="3"/>
  <c r="C16" i="3"/>
  <c r="F17" i="10"/>
  <c r="C18" i="3"/>
  <c r="C14" i="3"/>
  <c r="F15" i="10"/>
  <c r="C13" i="3"/>
  <c r="F14" i="10"/>
  <c r="C4" i="3"/>
  <c r="F5" i="10"/>
  <c r="C3" i="3"/>
  <c r="F4" i="10"/>
  <c r="C6" i="10"/>
  <c r="C5" i="3"/>
  <c r="C11" i="10"/>
  <c r="C4" i="10"/>
  <c r="C17" i="10"/>
  <c r="C8" i="10"/>
  <c r="C10" i="10"/>
  <c r="C15" i="10"/>
  <c r="C12" i="10"/>
  <c r="C5" i="10"/>
  <c r="C9" i="10"/>
  <c r="C7" i="10"/>
  <c r="C14" i="10"/>
  <c r="C13" i="10"/>
  <c r="C16" i="10"/>
  <c r="C20"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<sst xmlns="http://schemas.openxmlformats.org/spreadsheetml/2006/main" count="1454" uniqueCount="585">
  <si>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</si>
  <si>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</si>
  <si>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</si>
  <si>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</si>
  <si>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</si>
  <si>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</si>
  <si>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</si>
  <si>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</si>
  <si>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</si>
  <si>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</si>
  <si>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</si>
  <si>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</si>
  <si>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</si>
  <si>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</si>
  <si>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</si>
  <si>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</si>
  <si>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</si>
  <si>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</si>
  <si>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</si>
  <si>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</si>
  <si>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</si>
  <si>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</si>
  <si>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</si>
  <si>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</si>
  <si>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</si>
  <si>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</si>
  <si>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</si>
  <si>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</si>
  <si>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</si>
  <si>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</si>
  <si>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</si>
  <si>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</si>
  <si>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</si>
  <si>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</si>
  <si>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</si>
  <si>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</si>
  <si>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</si>
  <si>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</si>
  <si>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</si>
  <si>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</si>
  <si>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</si>
  <si>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</si>
  <si>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</si>
  <si>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</si>
  <si>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</si>
  <si>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</si>
  <si>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</si>
  <si>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</si>
  <si>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</si>
  <si>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</si>
  <si>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</si>
  <si>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</si>
  <si>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</si>
  <si>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</si>
  <si>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</si>
  <si>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</si>
  <si>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</si>
  <si>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</si>
  <si>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</si>
  <si>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</si>
  <si>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</si>
  <si>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</si>
  <si>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</si>
  <si>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</si>
  <si>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</si>
  <si>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</si>
  <si>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</si>
  <si>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</si>
  <si>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</si>
  <si>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</si>
  <si>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</si>
  <si>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</si>
  <si>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</si>
  <si>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</si>
  <si>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</si>
  <si>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</si>
  <si>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</si>
  <si>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</si>
  <si>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</si>
  <si>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</si>
  <si>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</si>
  <si>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</si>
  <si>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</si>
  <si>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</si>
  <si>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</si>
  <si>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</si>
  <si>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</si>
  <si>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</si>
  <si>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</si>
  <si>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</si>
  <si>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</si>
  <si>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</si>
  <si>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</si>
  <si>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</si>
  <si>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</si>
  <si>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</si>
  <si>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</si>
  <si>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</si>
  <si>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</si>
  <si>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</si>
  <si>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</si>
  <si>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</si>
  <si>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</si>
  <si>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</si>
  <si>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</si>
  <si>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</si>
  <si>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</si>
  <si>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</si>
  <si>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</si>
  <si>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</si>
  <si>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</si>
  <si>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</si>
  <si>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</si>
  <si>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</si>
  <si>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</si>
  <si>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</si>
  <si>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</si>
  <si>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</si>
  <si>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</si>
  <si>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</si>
  <si>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</si>
  <si>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</si>
  <si>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</si>
  <si>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</si>
  <si>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</si>
  <si>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</si>
  <si>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</si>
  <si>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</si>
  <si>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</si>
  <si>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</si>
  <si>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</si>
  <si>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</si>
  <si>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</si>
  <si>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</si>
  <si>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</si>
  <si>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</si>
  <si>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</si>
  <si>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</si>
  <si>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</si>
  <si>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</si>
  <si>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</si>
  <si>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</si>
  <si>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</si>
  <si>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</si>
  <si>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</si>
  <si>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</si>
  <si>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</si>
  <si>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</si>
  <si>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</si>
  <si>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</si>
  <si>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</si>
  <si>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</si>
  <si>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</si>
  <si>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</si>
  <si>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</si>
  <si>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</si>
  <si>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</si>
  <si>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</si>
  <si>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</si>
  <si>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</si>
  <si>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</si>
  <si>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</si>
  <si>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</si>
  <si>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</si>
  <si>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</si>
  <si>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</si>
  <si>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</si>
  <si>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</si>
  <si>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</si>
  <si>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</si>
  <si>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</si>
  <si>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</si>
  <si>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</si>
  <si>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</si>
  <si>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</si>
  <si>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</si>
  <si>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</si>
  <si>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</si>
  <si>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</si>
  <si>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</si>
  <si>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</si>
  <si>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</si>
  <si>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</si>
  <si>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</si>
  <si>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</si>
  <si>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</si>
  <si>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</si>
  <si>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</si>
  <si>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</si>
  <si>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</si>
  <si>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</si>
  <si>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</si>
  <si>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</si>
  <si>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</si>
  <si>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</si>
  <si>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</si>
  <si>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</si>
  <si>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</si>
  <si>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</si>
  <si>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</si>
  <si>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</si>
  <si>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</si>
  <si>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</si>
  <si>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</si>
  <si>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</si>
  <si>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</si>
  <si>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</si>
  <si>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</si>
  <si>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</si>
  <si>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</si>
  <si>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</si>
  <si>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</si>
  <si>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</si>
  <si>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</si>
  <si>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</si>
  <si>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</si>
  <si>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</si>
  <si>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</si>
  <si>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</si>
  <si>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</si>
  <si>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</si>
  <si>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</si>
  <si>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</si>
  <si>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</si>
  <si>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</si>
  <si>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</si>
  <si>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</si>
  <si>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</si>
  <si>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</si>
  <si>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</si>
  <si>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</si>
  <si>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</si>
  <si>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</si>
  <si>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</si>
  <si>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</si>
  <si>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</si>
  <si>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</si>
  <si>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</si>
  <si>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</si>
  <si>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</si>
  <si>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</si>
  <si>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</si>
  <si>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</si>
  <si>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</si>
  <si>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</si>
  <si>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</si>
  <si>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</si>
  <si>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</si>
  <si>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</si>
  <si>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</si>
  <si>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</si>
  <si>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</si>
  <si>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</si>
  <si>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</si>
  <si>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</si>
  <si>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</si>
  <si>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</si>
  <si>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</si>
  <si>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</si>
  <si>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</si>
  <si>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</si>
  <si>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</si>
  <si>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</si>
  <si>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</si>
  <si>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</si>
  <si>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</si>
  <si>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</si>
  <si>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</si>
  <si>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</si>
  <si>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</si>
  <si>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</si>
  <si>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</si>
  <si>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</si>
  <si>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</si>
  <si>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</si>
  <si>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</si>
  <si>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</si>
  <si>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</si>
  <si>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</si>
  <si>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</si>
  <si>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</si>
  <si>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</si>
  <si>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</si>
  <si>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</si>
  <si>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</si>
  <si>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</si>
  <si>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</si>
  <si>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</si>
  <si>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</si>
  <si>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</si>
  <si>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</si>
  <si>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</si>
  <si>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</si>
  <si>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</si>
  <si>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</si>
  <si>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</si>
  <si>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</si>
  <si>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</si>
  <si>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</si>
  <si>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</si>
  <si>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</si>
  <si>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</si>
  <si>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</si>
  <si>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</si>
  <si>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</si>
  <si>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</si>
  <si>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</si>
  <si>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</si>
  <si>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</si>
  <si>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</si>
  <si>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</si>
  <si>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</si>
  <si>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</si>
  <si>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</si>
  <si>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</si>
  <si>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</si>
  <si>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</si>
  <si>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</si>
  <si>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</si>
  <si>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</si>
  <si>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</si>
  <si>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</si>
  <si>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</si>
  <si>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</si>
  <si>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</si>
  <si>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</si>
  <si>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</si>
  <si>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</si>
  <si>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</si>
  <si>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</si>
  <si>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</si>
  <si>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</si>
  <si>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</si>
  <si>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</si>
  <si>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</si>
  <si>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</si>
  <si>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</si>
  <si>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</si>
  <si>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</si>
  <si>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</si>
  <si>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</si>
  <si>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</si>
  <si>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</si>
  <si>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</si>
  <si>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</si>
  <si>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</si>
  <si>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</si>
  <si>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</si>
  <si>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</si>
  <si>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</si>
  <si>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</si>
  <si>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</si>
  <si>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</si>
  <si>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</si>
  <si>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</si>
  <si>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</si>
  <si>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</si>
  <si>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</si>
  <si>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</si>
  <si>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</si>
  <si>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</si>
  <si>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</si>
  <si>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</si>
  <si>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</si>
  <si>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</si>
  <si>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</si>
  <si>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</si>
  <si>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</si>
  <si>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</si>
  <si>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</si>
  <si>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</si>
  <si>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</si>
  <si>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</si>
  <si>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</si>
  <si>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</si>
  <si>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</si>
  <si>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</si>
  <si>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</si>
  <si>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</si>
  <si>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</si>
  <si>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</si>
  <si>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</si>
  <si>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</si>
  <si>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</si>
  <si>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</si>
  <si>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</si>
  <si>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</si>
  <si>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</si>
  <si>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</si>
  <si>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</si>
  <si>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</si>
  <si>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</si>
  <si>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</si>
  <si>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</si>
  <si>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</si>
  <si>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</si>
  <si>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</si>
  <si>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</si>
  <si>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</si>
  <si>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</si>
  <si>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</si>
  <si>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</si>
  <si>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</si>
  <si>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</si>
  <si>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</si>
  <si>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</si>
  <si>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</si>
  <si>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</si>
  <si>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</si>
  <si>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</si>
  <si>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</si>
  <si>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</si>
  <si>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</si>
  <si>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</si>
  <si>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</si>
  <si>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</si>
  <si>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</si>
  <si>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</si>
  <si>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</si>
  <si>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</si>
  <si>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</si>
  <si>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</si>
  <si>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</si>
  <si>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</si>
  <si>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</si>
  <si>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</si>
  <si>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</si>
  <si>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</si>
  <si>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</si>
  <si>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</si>
  <si>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</si>
  <si>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</si>
  <si>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</si>
  <si>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</si>
  <si>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</si>
  <si>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</si>
  <si>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</si>
  <si>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</si>
  <si>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</si>
  <si>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</si>
  <si>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</si>
  <si>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</si>
  <si>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</si>
  <si>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</si>
  <si>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</si>
  <si>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</si>
  <si>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</si>
  <si>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</si>
  <si>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</si>
  <si>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</si>
  <si>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Casildo Abraldes</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</si>
  <si>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</si>
  <si>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</si>
  <si>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</si>
  <si>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</si>
  <si>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</si>
  <si>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</si>
  <si>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</si>
  <si>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</si>
  <si>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</si>
  <si>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</si>
  <si>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</si>
  <si>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</si>
  <si>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</si>
  <si>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</si>
  <si>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</si>
  <si>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</si>
  <si>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</si>
  <si>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</si>
  <si>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</si>
  <si>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</si>
  <si>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</si>
  <si>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</si>
  <si>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</si>
  <si>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</si>
  <si>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</si>
  <si>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</si>
  <si>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</si>
  <si>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</si>
  <si>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</si>
  <si>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</si>
  <si>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</si>
  <si>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</si>
  <si>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</si>
  <si>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</si>
  <si>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</si>
  <si>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</si>
  <si>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</si>
  <si>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</si>
  <si>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</si>
  <si>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</si>
  <si>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</si>
  <si>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</si>
  <si>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</si>
  <si>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</si>
  <si>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</si>
  <si>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</si>
  <si>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</si>
  <si>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</si>
  <si>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</si>
  <si>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</si>
  <si>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</si>
  <si>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</si>
  <si>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</si>
  <si>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</si>
  <si>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</si>
  <si>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</si>
  <si>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</si>
  <si>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</si>
  <si>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</si>
  <si>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</si>
  <si>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</si>
  <si>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</si>
  <si>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</si>
  <si>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</si>
  <si>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</si>
  <si>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</si>
  <si>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</si>
  <si>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</si>
  <si>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</si>
  <si>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</si>
  <si>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</si>
  <si>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</si>
  <si>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</si>
  <si>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</si>
  <si>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</si>
  <si>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</si>
  <si>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</si>
  <si>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</si>
  <si>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</si>
  <si>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</si>
  <si>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</si>
  <si>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</si>
  <si>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</si>
  <si>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</si>
  <si>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</si>
  <si>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</si>
  <si>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</si>
  <si>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</si>
  <si>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</si>
  <si>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</si>
  <si>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</si>
  <si>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</si>
  <si>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</si>
  <si>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</si>
  <si>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</si>
  <si>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</si>
  <si>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</si>
  <si>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</si>
  <si>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</si>
  <si>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</si>
  <si>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17 (55)</t>
  </si>
  <si>
    <t>18 (5)</t>
  </si>
  <si>
    <t>18 (47)</t>
  </si>
  <si>
    <t>18 (89)</t>
  </si>
  <si>
    <t>19 (33)</t>
  </si>
  <si>
    <t xml:space="preserve">12 (57) </t>
  </si>
  <si>
    <t>19 (89)</t>
  </si>
  <si>
    <t xml:space="preserve">6 (58) </t>
  </si>
  <si>
    <t>20 (48)</t>
  </si>
  <si>
    <t xml:space="preserve">1 (59) </t>
  </si>
  <si>
    <t>21 (13)</t>
  </si>
  <si>
    <t xml:space="preserve">14 (59) </t>
  </si>
  <si>
    <t>21 (103)</t>
  </si>
  <si>
    <t xml:space="preserve">15 (60) </t>
  </si>
  <si>
    <t>22 (110)</t>
  </si>
  <si>
    <t xml:space="preserve">5 (62) </t>
  </si>
  <si>
    <t>24 (41)</t>
  </si>
  <si>
    <t xml:space="preserve">10 (64) </t>
  </si>
  <si>
    <t>26 (76)</t>
  </si>
  <si>
    <t>18 (86)</t>
  </si>
  <si>
    <t xml:space="preserve">15 (56) </t>
  </si>
  <si>
    <t>19 (16)</t>
  </si>
  <si>
    <t>19 (72)</t>
  </si>
  <si>
    <t>20 (17)</t>
  </si>
  <si>
    <t>20 (87)</t>
  </si>
  <si>
    <t xml:space="preserve">4 (59) </t>
  </si>
  <si>
    <t>21 (51)</t>
  </si>
  <si>
    <t>22 (37)</t>
  </si>
  <si>
    <t>23 (45)</t>
  </si>
  <si>
    <t xml:space="preserve">9 (62) </t>
  </si>
  <si>
    <t>24 (86)</t>
  </si>
  <si>
    <t>27 (10)</t>
  </si>
  <si>
    <t>#30</t>
  </si>
  <si>
    <t>Mauro Vaz</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</si>
</sst>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
      <b/>
      <sz val="11"/>
      <color theme="4" tint="-0.499984740745262"/>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45" fillId="34" borderId="1" xfId="3" applyFont="1" applyFill="1" applyBorder="1" applyAlignment="1">
      <alignment horizontal="right"/>
    </xf>
    <xf numFmtId="0" fontId="46" fillId="34" borderId="1" xfId="3" applyFont="1" applyFill="1" applyBorder="1" applyAlignment="1">
      <alignment horizontal="right"/>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8" t="s">
        <v>106</v>
      </c>
      <c r="C59" s="96" t="s">
        <v>105</v>
      </c>
      <c r="D59" s="232" t="s">
        <v>137</v>
      </c>
      <c r="E59" s="232" t="s">
        <v>137</v>
      </c>
      <c r="F59" s="97" t="s">
        <v>103</v>
      </c>
      <c r="H59" s="98" t="s">
        <v>138</v>
      </c>
      <c r="X59" s="89"/>
    </row>
    <row r="60" spans="1:24" ht="15.75" x14ac:dyDescent="0.25">
      <c r="A60" s="99">
        <v>18</v>
      </c>
      <c r="B60" s="228"/>
      <c r="C60" s="96" t="s">
        <v>139</v>
      </c>
      <c r="D60" s="232"/>
      <c r="E60" s="232"/>
      <c r="F60" s="97" t="s">
        <v>140</v>
      </c>
      <c r="H60" s="92" t="s">
        <v>141</v>
      </c>
      <c r="X60" s="89"/>
    </row>
    <row r="61" spans="1:24" ht="15.75" x14ac:dyDescent="0.25">
      <c r="A61" s="95">
        <v>19</v>
      </c>
      <c r="B61" s="228"/>
      <c r="C61" s="100"/>
      <c r="D61" s="232"/>
      <c r="E61" s="232"/>
      <c r="F61" s="101"/>
      <c r="H61" s="92" t="s">
        <v>142</v>
      </c>
      <c r="I61" s="91"/>
      <c r="X61" s="89"/>
    </row>
    <row r="62" spans="1:24" ht="15.75" x14ac:dyDescent="0.25">
      <c r="A62" s="99">
        <v>20</v>
      </c>
      <c r="B62" s="228"/>
      <c r="C62" s="97" t="s">
        <v>137</v>
      </c>
      <c r="D62" s="233" t="s">
        <v>103</v>
      </c>
      <c r="E62" s="97" t="s">
        <v>103</v>
      </c>
      <c r="F62" s="101"/>
      <c r="H62" s="92" t="s">
        <v>143</v>
      </c>
      <c r="X62" s="89"/>
    </row>
    <row r="63" spans="1:24" ht="15.75" x14ac:dyDescent="0.25">
      <c r="A63" s="95">
        <v>21</v>
      </c>
      <c r="B63" s="230" t="s">
        <v>105</v>
      </c>
      <c r="C63" s="97" t="s">
        <v>144</v>
      </c>
      <c r="D63" s="233"/>
      <c r="E63" s="97" t="s">
        <v>140</v>
      </c>
      <c r="F63" s="101"/>
      <c r="H63" s="92" t="s">
        <v>145</v>
      </c>
      <c r="X63" s="89"/>
    </row>
    <row r="64" spans="1:24" ht="15.75" x14ac:dyDescent="0.25">
      <c r="A64" s="99">
        <v>22</v>
      </c>
      <c r="B64" s="230"/>
      <c r="C64" s="101"/>
      <c r="D64" s="233"/>
      <c r="E64" s="101"/>
      <c r="F64" s="101"/>
      <c r="H64" s="92" t="s">
        <v>146</v>
      </c>
      <c r="X64" s="89"/>
    </row>
    <row r="65" spans="1:24" ht="15.75" x14ac:dyDescent="0.25">
      <c r="A65" s="95">
        <v>23</v>
      </c>
      <c r="B65" s="230"/>
      <c r="C65" s="101"/>
      <c r="D65" s="233"/>
      <c r="E65" s="101"/>
      <c r="F65" s="101"/>
      <c r="H65" s="92"/>
      <c r="X65" s="89"/>
    </row>
    <row r="66" spans="1:24" ht="15.75" x14ac:dyDescent="0.25">
      <c r="A66" s="99">
        <v>24</v>
      </c>
      <c r="B66" s="230"/>
      <c r="C66" s="101"/>
      <c r="D66" s="233"/>
      <c r="E66" s="101"/>
      <c r="F66" s="101"/>
      <c r="H66" s="92" t="s">
        <v>147</v>
      </c>
      <c r="X66" s="89"/>
    </row>
    <row r="67" spans="1:24" ht="15.75" x14ac:dyDescent="0.25">
      <c r="A67" s="95">
        <v>25</v>
      </c>
      <c r="B67" s="230"/>
      <c r="C67" s="101"/>
      <c r="D67" s="232" t="s">
        <v>137</v>
      </c>
      <c r="E67" s="101"/>
      <c r="F67" s="101"/>
      <c r="H67" s="92" t="s">
        <v>148</v>
      </c>
      <c r="X67" s="89"/>
    </row>
    <row r="68" spans="1:24" ht="15.75" x14ac:dyDescent="0.25">
      <c r="A68" s="99">
        <v>26</v>
      </c>
      <c r="B68" s="230"/>
      <c r="C68" s="232" t="s">
        <v>137</v>
      </c>
      <c r="D68" s="232"/>
      <c r="E68" s="101"/>
      <c r="F68" s="101"/>
      <c r="H68" s="92"/>
      <c r="X68" s="89"/>
    </row>
    <row r="69" spans="1:24" ht="15.75" x14ac:dyDescent="0.25">
      <c r="A69" s="95">
        <v>27</v>
      </c>
      <c r="B69" s="228" t="s">
        <v>106</v>
      </c>
      <c r="C69" s="232"/>
      <c r="D69" s="232"/>
      <c r="E69" s="101"/>
      <c r="F69" s="101"/>
      <c r="H69" s="92"/>
      <c r="X69" s="89"/>
    </row>
    <row r="70" spans="1:24" ht="15.75" x14ac:dyDescent="0.25">
      <c r="A70" s="99">
        <v>28</v>
      </c>
      <c r="B70" s="228"/>
      <c r="C70" s="230" t="s">
        <v>105</v>
      </c>
      <c r="D70" s="232"/>
      <c r="E70" s="101"/>
      <c r="F70" s="101"/>
      <c r="H70" s="92" t="s">
        <v>149</v>
      </c>
      <c r="X70" s="89"/>
    </row>
    <row r="71" spans="1:24" ht="15.75" x14ac:dyDescent="0.25">
      <c r="A71" s="95">
        <v>29</v>
      </c>
      <c r="B71" s="228"/>
      <c r="C71" s="230"/>
      <c r="D71" s="232"/>
      <c r="E71" s="101"/>
      <c r="F71" s="101"/>
      <c r="H71" s="92"/>
      <c r="X71" s="89"/>
    </row>
    <row r="72" spans="1:24" ht="15.75" x14ac:dyDescent="0.25">
      <c r="A72" s="99">
        <v>30</v>
      </c>
      <c r="B72" s="228"/>
      <c r="C72" s="230"/>
      <c r="D72" s="230" t="s">
        <v>105</v>
      </c>
      <c r="E72" s="101"/>
      <c r="F72" s="101"/>
      <c r="H72" s="92" t="s">
        <v>150</v>
      </c>
      <c r="X72" s="89"/>
    </row>
    <row r="73" spans="1:24" ht="15.75" x14ac:dyDescent="0.25">
      <c r="A73" s="95">
        <v>31</v>
      </c>
      <c r="B73" s="228"/>
      <c r="C73" s="230"/>
      <c r="D73" s="230"/>
      <c r="E73" s="97" t="s">
        <v>137</v>
      </c>
      <c r="F73" s="101"/>
      <c r="H73" s="92"/>
      <c r="X73" s="89"/>
    </row>
    <row r="74" spans="1:24" ht="15.75" x14ac:dyDescent="0.25">
      <c r="A74" s="99">
        <v>32</v>
      </c>
      <c r="B74" s="228"/>
      <c r="C74" s="230"/>
      <c r="D74" s="230"/>
      <c r="E74" s="97" t="s">
        <v>144</v>
      </c>
      <c r="F74" s="101"/>
      <c r="H74" s="92" t="s">
        <v>151</v>
      </c>
      <c r="X74" s="89"/>
    </row>
    <row r="75" spans="1:24" ht="15.75" x14ac:dyDescent="0.25">
      <c r="A75" s="95">
        <v>33</v>
      </c>
      <c r="B75" s="228"/>
      <c r="C75" s="228" t="s">
        <v>106</v>
      </c>
      <c r="D75" s="230"/>
      <c r="E75" s="96" t="s">
        <v>105</v>
      </c>
      <c r="F75" s="96" t="s">
        <v>105</v>
      </c>
      <c r="H75" s="92"/>
      <c r="X75" s="89"/>
    </row>
    <row r="76" spans="1:24" ht="15.75" x14ac:dyDescent="0.25">
      <c r="A76" s="99">
        <v>34</v>
      </c>
      <c r="B76" s="231" t="s">
        <v>152</v>
      </c>
      <c r="C76" s="228"/>
      <c r="D76" s="230"/>
      <c r="E76" s="96" t="s">
        <v>139</v>
      </c>
      <c r="F76" s="96" t="s">
        <v>139</v>
      </c>
      <c r="H76" s="92" t="s">
        <v>153</v>
      </c>
      <c r="X76" s="89"/>
    </row>
    <row r="77" spans="1:24" ht="15.75" x14ac:dyDescent="0.25">
      <c r="A77" s="95">
        <v>35</v>
      </c>
      <c r="B77" s="231"/>
      <c r="C77" s="231" t="s">
        <v>152</v>
      </c>
      <c r="D77" s="228" t="s">
        <v>106</v>
      </c>
      <c r="E77" s="228" t="s">
        <v>106</v>
      </c>
      <c r="F77" s="100"/>
      <c r="H77" s="92"/>
      <c r="X77" s="89"/>
    </row>
    <row r="78" spans="1:24" ht="15.75" x14ac:dyDescent="0.25">
      <c r="A78" s="99">
        <v>36</v>
      </c>
      <c r="B78" s="231"/>
      <c r="C78" s="231"/>
      <c r="D78" s="228"/>
      <c r="E78" s="228"/>
      <c r="F78" s="102" t="s">
        <v>106</v>
      </c>
      <c r="H78" s="92" t="s">
        <v>154</v>
      </c>
      <c r="X78" s="89"/>
    </row>
    <row r="79" spans="1:24" ht="15.75" x14ac:dyDescent="0.25">
      <c r="A79" s="229" t="s">
        <v>155</v>
      </c>
      <c r="B79" s="229"/>
      <c r="C79" s="229"/>
      <c r="D79" s="229"/>
      <c r="E79" s="229"/>
      <c r="F79" s="229"/>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4" bestFit="1" customWidth="1"/>
    <col min="8" max="8" width="12.28515625" style="224" bestFit="1" customWidth="1"/>
    <col min="9" max="9" width="9.5703125" style="224" bestFit="1" customWidth="1"/>
    <col min="10" max="10" width="13.5703125" style="224" bestFit="1" customWidth="1"/>
    <col min="11" max="11" width="7.85546875" style="224" bestFit="1" customWidth="1"/>
  </cols>
  <sheetData>
    <row r="1" spans="1:11" x14ac:dyDescent="0.25">
      <c r="A1" s="221">
        <v>43088</v>
      </c>
      <c r="B1" s="220" t="s">
        <v>308</v>
      </c>
      <c r="C1" s="220"/>
      <c r="D1" s="220"/>
      <c r="E1" s="220"/>
      <c r="G1" s="221">
        <v>43110</v>
      </c>
      <c r="H1" s="224" t="s">
        <v>308</v>
      </c>
      <c r="I1" s="47">
        <f>Rendimiento_ENTRENAMIENTO!Y2</f>
        <v>15</v>
      </c>
    </row>
    <row r="2" spans="1:11" s="52" customFormat="1" x14ac:dyDescent="0.25">
      <c r="A2" s="227" t="s">
        <v>385</v>
      </c>
      <c r="B2" s="226" t="s">
        <v>484</v>
      </c>
      <c r="C2" s="226" t="s">
        <v>482</v>
      </c>
      <c r="D2" s="226" t="s">
        <v>483</v>
      </c>
      <c r="E2" s="226" t="s">
        <v>389</v>
      </c>
      <c r="G2" s="227" t="s">
        <v>385</v>
      </c>
      <c r="H2" s="226" t="s">
        <v>484</v>
      </c>
      <c r="I2" s="226" t="s">
        <v>482</v>
      </c>
      <c r="J2" s="226" t="s">
        <v>483</v>
      </c>
      <c r="K2" s="226" t="s">
        <v>389</v>
      </c>
    </row>
    <row r="3" spans="1:11" x14ac:dyDescent="0.25">
      <c r="A3" s="225"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5" t="s">
        <v>393</v>
      </c>
      <c r="H4" s="105" t="s">
        <v>441</v>
      </c>
      <c r="I4" s="105">
        <v>1</v>
      </c>
      <c r="J4" s="105">
        <v>1</v>
      </c>
      <c r="K4" s="105" t="s">
        <v>454</v>
      </c>
    </row>
    <row r="5" spans="1:11" x14ac:dyDescent="0.25">
      <c r="A5" s="105" t="s">
        <v>396</v>
      </c>
      <c r="B5" s="105" t="s">
        <v>397</v>
      </c>
      <c r="C5" s="105">
        <v>8</v>
      </c>
      <c r="D5" s="105">
        <v>3</v>
      </c>
      <c r="E5" s="105" t="s">
        <v>398</v>
      </c>
      <c r="G5" s="105" t="s">
        <v>396</v>
      </c>
      <c r="H5" s="105" t="s">
        <v>442</v>
      </c>
      <c r="I5" s="105">
        <v>3</v>
      </c>
      <c r="J5" s="105">
        <v>2</v>
      </c>
      <c r="K5" s="105" t="s">
        <v>455</v>
      </c>
    </row>
    <row r="6" spans="1:11" x14ac:dyDescent="0.25">
      <c r="A6" s="105" t="s">
        <v>399</v>
      </c>
      <c r="B6" s="105" t="s">
        <v>400</v>
      </c>
      <c r="C6" s="105">
        <v>11</v>
      </c>
      <c r="D6" s="105">
        <v>3</v>
      </c>
      <c r="E6" s="105" t="s">
        <v>401</v>
      </c>
      <c r="G6" s="105" t="s">
        <v>399</v>
      </c>
      <c r="H6" s="105" t="s">
        <v>456</v>
      </c>
      <c r="I6" s="105">
        <v>7</v>
      </c>
      <c r="J6" s="105">
        <v>4</v>
      </c>
      <c r="K6" s="105" t="s">
        <v>457</v>
      </c>
    </row>
    <row r="7" spans="1:11" x14ac:dyDescent="0.25">
      <c r="A7" s="105" t="s">
        <v>402</v>
      </c>
      <c r="B7" s="105" t="s">
        <v>403</v>
      </c>
      <c r="C7" s="105">
        <v>14</v>
      </c>
      <c r="D7" s="105">
        <v>3</v>
      </c>
      <c r="E7" s="105" t="s">
        <v>404</v>
      </c>
      <c r="G7" s="105" t="s">
        <v>402</v>
      </c>
      <c r="H7" s="105" t="s">
        <v>458</v>
      </c>
      <c r="I7" s="105">
        <v>10</v>
      </c>
      <c r="J7" s="105">
        <v>3</v>
      </c>
      <c r="K7" s="105" t="s">
        <v>459</v>
      </c>
    </row>
    <row r="8" spans="1:11" s="52" customFormat="1" x14ac:dyDescent="0.25">
      <c r="A8" s="225" t="s">
        <v>405</v>
      </c>
      <c r="B8" s="225" t="s">
        <v>406</v>
      </c>
      <c r="C8" s="225">
        <v>19</v>
      </c>
      <c r="D8" s="225">
        <v>5</v>
      </c>
      <c r="E8" s="225" t="s">
        <v>407</v>
      </c>
      <c r="G8" s="225" t="s">
        <v>405</v>
      </c>
      <c r="H8" s="225" t="s">
        <v>460</v>
      </c>
      <c r="I8" s="225">
        <v>14</v>
      </c>
      <c r="J8" s="225">
        <v>4</v>
      </c>
      <c r="K8" s="225" t="s">
        <v>461</v>
      </c>
    </row>
    <row r="9" spans="1:11" x14ac:dyDescent="0.25">
      <c r="A9" s="105" t="s">
        <v>408</v>
      </c>
      <c r="B9" s="105" t="s">
        <v>409</v>
      </c>
      <c r="C9" s="105">
        <v>23</v>
      </c>
      <c r="D9" s="105">
        <v>4</v>
      </c>
      <c r="E9" s="105" t="s">
        <v>410</v>
      </c>
      <c r="G9" s="153" t="s">
        <v>408</v>
      </c>
      <c r="H9" s="153" t="s">
        <v>462</v>
      </c>
      <c r="I9" s="153">
        <v>19</v>
      </c>
      <c r="J9" s="153">
        <v>5</v>
      </c>
      <c r="K9" s="153" t="s">
        <v>463</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464</v>
      </c>
      <c r="I11" s="105">
        <v>32</v>
      </c>
      <c r="J11" s="105">
        <v>7</v>
      </c>
      <c r="K11" s="105" t="s">
        <v>465</v>
      </c>
    </row>
    <row r="12" spans="1:11" x14ac:dyDescent="0.25">
      <c r="A12" s="105" t="s">
        <v>417</v>
      </c>
      <c r="B12" s="105" t="s">
        <v>418</v>
      </c>
      <c r="C12" s="105">
        <v>43</v>
      </c>
      <c r="D12" s="105">
        <v>7</v>
      </c>
      <c r="E12" s="105" t="s">
        <v>419</v>
      </c>
      <c r="G12" s="105" t="s">
        <v>417</v>
      </c>
      <c r="H12" s="105" t="s">
        <v>466</v>
      </c>
      <c r="I12" s="105">
        <v>39</v>
      </c>
      <c r="J12" s="105">
        <v>7</v>
      </c>
      <c r="K12" s="105" t="s">
        <v>467</v>
      </c>
    </row>
    <row r="13" spans="1:11" x14ac:dyDescent="0.25">
      <c r="A13" s="105" t="s">
        <v>420</v>
      </c>
      <c r="B13" s="105" t="s">
        <v>421</v>
      </c>
      <c r="C13" s="105">
        <v>52</v>
      </c>
      <c r="D13" s="105">
        <v>9</v>
      </c>
      <c r="E13" s="105" t="s">
        <v>422</v>
      </c>
      <c r="G13" s="105" t="s">
        <v>420</v>
      </c>
      <c r="H13" s="105" t="s">
        <v>468</v>
      </c>
      <c r="I13" s="105">
        <v>48</v>
      </c>
      <c r="J13" s="105">
        <v>9</v>
      </c>
      <c r="K13" s="105" t="s">
        <v>469</v>
      </c>
    </row>
    <row r="14" spans="1:11" x14ac:dyDescent="0.25">
      <c r="A14" s="105" t="s">
        <v>423</v>
      </c>
      <c r="B14" s="105" t="s">
        <v>424</v>
      </c>
      <c r="C14" s="105">
        <v>62</v>
      </c>
      <c r="D14" s="105">
        <v>10</v>
      </c>
      <c r="E14" s="105" t="s">
        <v>425</v>
      </c>
      <c r="G14" s="105" t="s">
        <v>423</v>
      </c>
      <c r="H14" s="105" t="s">
        <v>470</v>
      </c>
      <c r="I14" s="105">
        <v>57</v>
      </c>
      <c r="J14" s="105">
        <v>9</v>
      </c>
      <c r="K14" s="105" t="s">
        <v>471</v>
      </c>
    </row>
    <row r="15" spans="1:11" x14ac:dyDescent="0.25">
      <c r="A15" s="105" t="s">
        <v>426</v>
      </c>
      <c r="B15" s="105" t="s">
        <v>427</v>
      </c>
      <c r="C15" s="105">
        <v>73</v>
      </c>
      <c r="D15" s="105">
        <v>11</v>
      </c>
      <c r="E15" s="105" t="s">
        <v>428</v>
      </c>
      <c r="G15" s="105" t="s">
        <v>426</v>
      </c>
      <c r="H15" s="105" t="s">
        <v>472</v>
      </c>
      <c r="I15" s="105">
        <v>69</v>
      </c>
      <c r="J15" s="105">
        <v>12</v>
      </c>
      <c r="K15" s="105" t="s">
        <v>473</v>
      </c>
    </row>
    <row r="16" spans="1:11" x14ac:dyDescent="0.25">
      <c r="A16" s="105" t="s">
        <v>429</v>
      </c>
      <c r="B16" s="105" t="s">
        <v>430</v>
      </c>
      <c r="C16" s="105">
        <v>87</v>
      </c>
      <c r="D16" s="105">
        <v>14</v>
      </c>
      <c r="E16" s="105" t="s">
        <v>431</v>
      </c>
      <c r="G16" s="105" t="s">
        <v>429</v>
      </c>
      <c r="H16" s="105" t="s">
        <v>474</v>
      </c>
      <c r="I16" s="105">
        <v>83</v>
      </c>
      <c r="J16" s="105">
        <v>14</v>
      </c>
      <c r="K16" s="105" t="s">
        <v>475</v>
      </c>
    </row>
    <row r="17" spans="1:11" x14ac:dyDescent="0.25">
      <c r="A17" s="105" t="s">
        <v>432</v>
      </c>
      <c r="B17" s="105" t="s">
        <v>433</v>
      </c>
      <c r="C17" s="105">
        <v>104</v>
      </c>
      <c r="D17" s="105">
        <v>17</v>
      </c>
      <c r="E17" s="105" t="s">
        <v>434</v>
      </c>
      <c r="G17" s="105" t="s">
        <v>432</v>
      </c>
      <c r="H17" s="105" t="s">
        <v>476</v>
      </c>
      <c r="I17" s="105">
        <v>99</v>
      </c>
      <c r="J17" s="105">
        <v>16</v>
      </c>
      <c r="K17" s="105" t="s">
        <v>477</v>
      </c>
    </row>
    <row r="18" spans="1:11" x14ac:dyDescent="0.25">
      <c r="A18" s="105" t="s">
        <v>435</v>
      </c>
      <c r="B18" s="105" t="s">
        <v>436</v>
      </c>
      <c r="C18" s="105">
        <v>126</v>
      </c>
      <c r="D18" s="105">
        <v>22</v>
      </c>
      <c r="E18" s="105" t="s">
        <v>437</v>
      </c>
      <c r="G18" s="105" t="s">
        <v>435</v>
      </c>
      <c r="H18" s="105" t="s">
        <v>478</v>
      </c>
      <c r="I18" s="105">
        <v>122</v>
      </c>
      <c r="J18" s="105">
        <v>23</v>
      </c>
      <c r="K18" s="105" t="s">
        <v>479</v>
      </c>
    </row>
    <row r="19" spans="1:11" x14ac:dyDescent="0.25">
      <c r="A19" s="105" t="s">
        <v>438</v>
      </c>
      <c r="B19" s="105" t="s">
        <v>439</v>
      </c>
      <c r="C19" s="105">
        <v>164</v>
      </c>
      <c r="D19" s="105">
        <v>38</v>
      </c>
      <c r="E19" s="105" t="s">
        <v>440</v>
      </c>
      <c r="G19" s="105" t="s">
        <v>438</v>
      </c>
      <c r="H19" s="105" t="s">
        <v>480</v>
      </c>
      <c r="I19" s="105">
        <v>160</v>
      </c>
      <c r="J19" s="105">
        <v>38</v>
      </c>
      <c r="K19" s="105" t="s">
        <v>481</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15</v>
      </c>
    </row>
    <row r="2" spans="1:5" s="52" customFormat="1" x14ac:dyDescent="0.25">
      <c r="A2" s="227" t="s">
        <v>385</v>
      </c>
      <c r="B2" s="226" t="s">
        <v>386</v>
      </c>
      <c r="C2" s="226" t="s">
        <v>387</v>
      </c>
      <c r="D2" s="226" t="s">
        <v>388</v>
      </c>
      <c r="E2" s="226" t="s">
        <v>389</v>
      </c>
    </row>
    <row r="3" spans="1:5" x14ac:dyDescent="0.25">
      <c r="A3" s="225" t="s">
        <v>396</v>
      </c>
      <c r="B3" s="105" t="s">
        <v>441</v>
      </c>
      <c r="C3" s="105">
        <v>1</v>
      </c>
      <c r="D3" s="105">
        <v>1</v>
      </c>
      <c r="E3" s="105" t="s">
        <v>485</v>
      </c>
    </row>
    <row r="4" spans="1:5" x14ac:dyDescent="0.25">
      <c r="A4" s="105" t="s">
        <v>399</v>
      </c>
      <c r="B4" s="105" t="s">
        <v>486</v>
      </c>
      <c r="C4" s="105">
        <v>4</v>
      </c>
      <c r="D4" s="105">
        <v>3</v>
      </c>
      <c r="E4" s="105" t="s">
        <v>487</v>
      </c>
    </row>
    <row r="5" spans="1:5" x14ac:dyDescent="0.25">
      <c r="A5" s="105" t="s">
        <v>402</v>
      </c>
      <c r="B5" s="105" t="s">
        <v>456</v>
      </c>
      <c r="C5" s="105">
        <v>7</v>
      </c>
      <c r="D5" s="105">
        <v>3</v>
      </c>
      <c r="E5" s="105" t="s">
        <v>488</v>
      </c>
    </row>
    <row r="6" spans="1:5" x14ac:dyDescent="0.25">
      <c r="A6" s="105" t="s">
        <v>405</v>
      </c>
      <c r="B6" s="105" t="s">
        <v>403</v>
      </c>
      <c r="C6" s="105">
        <v>11</v>
      </c>
      <c r="D6" s="105">
        <v>4</v>
      </c>
      <c r="E6" s="105" t="s">
        <v>489</v>
      </c>
    </row>
    <row r="7" spans="1:5" x14ac:dyDescent="0.25">
      <c r="A7" s="225" t="s">
        <v>408</v>
      </c>
      <c r="B7" s="225" t="s">
        <v>406</v>
      </c>
      <c r="C7" s="225">
        <v>16</v>
      </c>
      <c r="D7" s="225">
        <v>5</v>
      </c>
      <c r="E7" s="225" t="s">
        <v>490</v>
      </c>
    </row>
    <row r="8" spans="1:5" x14ac:dyDescent="0.25">
      <c r="A8" s="153" t="s">
        <v>411</v>
      </c>
      <c r="B8" s="153" t="s">
        <v>491</v>
      </c>
      <c r="C8" s="153">
        <v>22</v>
      </c>
      <c r="D8" s="153">
        <v>6</v>
      </c>
      <c r="E8" s="153" t="s">
        <v>492</v>
      </c>
    </row>
    <row r="9" spans="1:5" x14ac:dyDescent="0.25">
      <c r="A9" s="105" t="s">
        <v>414</v>
      </c>
      <c r="B9" s="105" t="s">
        <v>493</v>
      </c>
      <c r="C9" s="105">
        <v>29</v>
      </c>
      <c r="D9" s="105">
        <v>7</v>
      </c>
      <c r="E9" s="105" t="s">
        <v>494</v>
      </c>
    </row>
    <row r="10" spans="1:5" x14ac:dyDescent="0.25">
      <c r="A10" s="105" t="s">
        <v>417</v>
      </c>
      <c r="B10" s="105" t="s">
        <v>495</v>
      </c>
      <c r="C10" s="105">
        <v>36</v>
      </c>
      <c r="D10" s="105">
        <v>7</v>
      </c>
      <c r="E10" s="105" t="s">
        <v>496</v>
      </c>
    </row>
    <row r="11" spans="1:5" x14ac:dyDescent="0.25">
      <c r="A11" s="105" t="s">
        <v>420</v>
      </c>
      <c r="B11" s="105" t="s">
        <v>497</v>
      </c>
      <c r="C11" s="105">
        <v>45</v>
      </c>
      <c r="D11" s="105">
        <v>9</v>
      </c>
      <c r="E11" s="105" t="s">
        <v>498</v>
      </c>
    </row>
    <row r="12" spans="1:5" x14ac:dyDescent="0.25">
      <c r="A12" s="105" t="s">
        <v>423</v>
      </c>
      <c r="B12" s="105" t="s">
        <v>499</v>
      </c>
      <c r="C12" s="105">
        <v>54</v>
      </c>
      <c r="D12" s="105">
        <v>9</v>
      </c>
      <c r="E12" s="105" t="s">
        <v>500</v>
      </c>
    </row>
    <row r="13" spans="1:5" x14ac:dyDescent="0.25">
      <c r="A13" s="105" t="s">
        <v>426</v>
      </c>
      <c r="B13" s="105" t="s">
        <v>501</v>
      </c>
      <c r="C13" s="105">
        <v>66</v>
      </c>
      <c r="D13" s="105">
        <v>12</v>
      </c>
      <c r="E13" s="105" t="s">
        <v>502</v>
      </c>
    </row>
    <row r="14" spans="1:5" x14ac:dyDescent="0.25">
      <c r="A14" s="105" t="s">
        <v>429</v>
      </c>
      <c r="B14" s="105" t="s">
        <v>503</v>
      </c>
      <c r="C14" s="105">
        <v>79</v>
      </c>
      <c r="D14" s="105">
        <v>13</v>
      </c>
      <c r="E14" s="105" t="s">
        <v>504</v>
      </c>
    </row>
    <row r="15" spans="1:5" x14ac:dyDescent="0.25">
      <c r="A15" s="105" t="s">
        <v>432</v>
      </c>
      <c r="B15" s="105" t="s">
        <v>505</v>
      </c>
      <c r="C15" s="105">
        <v>96</v>
      </c>
      <c r="D15" s="105">
        <v>17</v>
      </c>
      <c r="E15" s="105" t="s">
        <v>506</v>
      </c>
    </row>
    <row r="16" spans="1:5" x14ac:dyDescent="0.25">
      <c r="A16" s="105" t="s">
        <v>435</v>
      </c>
      <c r="B16" s="105" t="s">
        <v>507</v>
      </c>
      <c r="C16" s="105">
        <v>119</v>
      </c>
      <c r="D16" s="105">
        <v>23</v>
      </c>
      <c r="E16" s="105" t="s">
        <v>508</v>
      </c>
    </row>
    <row r="17" spans="1:5" x14ac:dyDescent="0.25">
      <c r="A17" s="105" t="s">
        <v>438</v>
      </c>
      <c r="B17" s="105" t="s">
        <v>509</v>
      </c>
      <c r="C17" s="105">
        <v>156</v>
      </c>
      <c r="D17" s="105">
        <v>37</v>
      </c>
      <c r="E17" s="105" t="s">
        <v>510</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512</v>
      </c>
      <c r="C1" s="47">
        <f>Rendimiento_ENTRENAMIENTO!Y2</f>
        <v>15</v>
      </c>
    </row>
    <row r="2" spans="1:5" s="52" customFormat="1" x14ac:dyDescent="0.25">
      <c r="A2" s="227" t="s">
        <v>385</v>
      </c>
      <c r="B2" s="226" t="s">
        <v>386</v>
      </c>
      <c r="C2" s="226" t="s">
        <v>387</v>
      </c>
      <c r="D2" s="226" t="s">
        <v>388</v>
      </c>
      <c r="E2" s="226" t="s">
        <v>389</v>
      </c>
    </row>
    <row r="3" spans="1:5" x14ac:dyDescent="0.25">
      <c r="A3" s="225" t="s">
        <v>399</v>
      </c>
      <c r="B3" s="105" t="s">
        <v>394</v>
      </c>
      <c r="C3" s="105">
        <v>2</v>
      </c>
      <c r="D3" s="105">
        <v>2</v>
      </c>
      <c r="E3" s="105" t="s">
        <v>487</v>
      </c>
    </row>
    <row r="4" spans="1:5" x14ac:dyDescent="0.25">
      <c r="A4" s="105" t="s">
        <v>402</v>
      </c>
      <c r="B4" s="105" t="s">
        <v>513</v>
      </c>
      <c r="C4" s="105">
        <v>6</v>
      </c>
      <c r="D4" s="105">
        <v>4</v>
      </c>
      <c r="E4" s="105" t="s">
        <v>514</v>
      </c>
    </row>
    <row r="5" spans="1:5" x14ac:dyDescent="0.25">
      <c r="A5" s="105" t="s">
        <v>405</v>
      </c>
      <c r="B5" s="105" t="s">
        <v>458</v>
      </c>
      <c r="C5" s="105">
        <v>10</v>
      </c>
      <c r="D5" s="105">
        <v>4</v>
      </c>
      <c r="E5" s="105" t="s">
        <v>515</v>
      </c>
    </row>
    <row r="6" spans="1:5" x14ac:dyDescent="0.25">
      <c r="A6" s="225" t="s">
        <v>408</v>
      </c>
      <c r="B6" s="225" t="s">
        <v>443</v>
      </c>
      <c r="C6" s="225">
        <v>15</v>
      </c>
      <c r="D6" s="225">
        <v>5</v>
      </c>
      <c r="E6" s="225" t="s">
        <v>516</v>
      </c>
    </row>
    <row r="7" spans="1:5" x14ac:dyDescent="0.25">
      <c r="A7" s="153" t="s">
        <v>411</v>
      </c>
      <c r="B7" s="153" t="s">
        <v>517</v>
      </c>
      <c r="C7" s="153">
        <v>21</v>
      </c>
      <c r="D7" s="153">
        <v>6</v>
      </c>
      <c r="E7" s="153" t="s">
        <v>518</v>
      </c>
    </row>
    <row r="8" spans="1:5" x14ac:dyDescent="0.25">
      <c r="A8" s="153" t="s">
        <v>414</v>
      </c>
      <c r="B8" s="153" t="s">
        <v>519</v>
      </c>
      <c r="C8" s="153">
        <v>27</v>
      </c>
      <c r="D8" s="153">
        <v>6</v>
      </c>
      <c r="E8" s="153" t="s">
        <v>494</v>
      </c>
    </row>
    <row r="9" spans="1:5" x14ac:dyDescent="0.25">
      <c r="A9" s="105" t="s">
        <v>417</v>
      </c>
      <c r="B9" s="105" t="s">
        <v>520</v>
      </c>
      <c r="C9" s="105">
        <v>35</v>
      </c>
      <c r="D9" s="105">
        <v>8</v>
      </c>
      <c r="E9" s="105" t="s">
        <v>521</v>
      </c>
    </row>
    <row r="10" spans="1:5" x14ac:dyDescent="0.25">
      <c r="A10" s="105" t="s">
        <v>420</v>
      </c>
      <c r="B10" s="105" t="s">
        <v>522</v>
      </c>
      <c r="C10" s="105">
        <v>43</v>
      </c>
      <c r="D10" s="105">
        <v>8</v>
      </c>
      <c r="E10" s="105" t="s">
        <v>498</v>
      </c>
    </row>
    <row r="11" spans="1:5" x14ac:dyDescent="0.25">
      <c r="A11" s="105" t="s">
        <v>423</v>
      </c>
      <c r="B11" s="105" t="s">
        <v>449</v>
      </c>
      <c r="C11" s="105">
        <v>53</v>
      </c>
      <c r="D11" s="105">
        <v>10</v>
      </c>
      <c r="E11" s="105" t="s">
        <v>523</v>
      </c>
    </row>
    <row r="12" spans="1:5" x14ac:dyDescent="0.25">
      <c r="A12" s="105" t="s">
        <v>426</v>
      </c>
      <c r="B12" s="105" t="s">
        <v>524</v>
      </c>
      <c r="C12" s="105">
        <v>64</v>
      </c>
      <c r="D12" s="105">
        <v>11</v>
      </c>
      <c r="E12" s="105" t="s">
        <v>525</v>
      </c>
    </row>
    <row r="13" spans="1:5" x14ac:dyDescent="0.25">
      <c r="A13" s="105" t="s">
        <v>429</v>
      </c>
      <c r="B13" s="105" t="s">
        <v>526</v>
      </c>
      <c r="C13" s="105">
        <v>78</v>
      </c>
      <c r="D13" s="105">
        <v>14</v>
      </c>
      <c r="E13" s="105" t="s">
        <v>527</v>
      </c>
    </row>
    <row r="14" spans="1:5" x14ac:dyDescent="0.25">
      <c r="A14" s="105" t="s">
        <v>432</v>
      </c>
      <c r="B14" s="105" t="s">
        <v>528</v>
      </c>
      <c r="C14" s="105">
        <v>95</v>
      </c>
      <c r="D14" s="105">
        <v>17</v>
      </c>
      <c r="E14" s="105" t="s">
        <v>529</v>
      </c>
    </row>
    <row r="15" spans="1:5" x14ac:dyDescent="0.25">
      <c r="A15" s="105" t="s">
        <v>435</v>
      </c>
      <c r="B15" s="105" t="s">
        <v>530</v>
      </c>
      <c r="C15" s="105">
        <v>117</v>
      </c>
      <c r="D15" s="105">
        <v>22</v>
      </c>
      <c r="E15" s="105" t="s">
        <v>508</v>
      </c>
    </row>
    <row r="16" spans="1:5" x14ac:dyDescent="0.25">
      <c r="A16" s="105" t="s">
        <v>438</v>
      </c>
      <c r="B16" s="105" t="s">
        <v>531</v>
      </c>
      <c r="C16" s="105">
        <v>155</v>
      </c>
      <c r="D16" s="105">
        <v>38</v>
      </c>
      <c r="E16" s="105" t="s">
        <v>532</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15</v>
      </c>
    </row>
    <row r="2" spans="1:5" s="52" customFormat="1" x14ac:dyDescent="0.25">
      <c r="A2" s="227" t="s">
        <v>385</v>
      </c>
      <c r="B2" s="226" t="s">
        <v>386</v>
      </c>
      <c r="C2" s="226" t="s">
        <v>387</v>
      </c>
      <c r="D2" s="226" t="s">
        <v>388</v>
      </c>
      <c r="E2" s="226" t="s">
        <v>389</v>
      </c>
    </row>
    <row r="3" spans="1:5" x14ac:dyDescent="0.25">
      <c r="A3" s="225" t="s">
        <v>396</v>
      </c>
      <c r="B3" s="105" t="s">
        <v>394</v>
      </c>
      <c r="C3" s="105">
        <v>2</v>
      </c>
      <c r="D3" s="105">
        <v>2</v>
      </c>
      <c r="E3" s="105" t="s">
        <v>533</v>
      </c>
    </row>
    <row r="4" spans="1:5" x14ac:dyDescent="0.25">
      <c r="A4" s="105" t="s">
        <v>399</v>
      </c>
      <c r="B4" s="105" t="s">
        <v>397</v>
      </c>
      <c r="C4" s="105">
        <v>5</v>
      </c>
      <c r="D4" s="105">
        <v>3</v>
      </c>
      <c r="E4" s="105" t="s">
        <v>534</v>
      </c>
    </row>
    <row r="5" spans="1:5" x14ac:dyDescent="0.25">
      <c r="A5" s="105" t="s">
        <v>402</v>
      </c>
      <c r="B5" s="105" t="s">
        <v>400</v>
      </c>
      <c r="C5" s="105">
        <v>8</v>
      </c>
      <c r="D5" s="105">
        <v>3</v>
      </c>
      <c r="E5" s="105" t="s">
        <v>514</v>
      </c>
    </row>
    <row r="6" spans="1:5" x14ac:dyDescent="0.25">
      <c r="A6" s="225" t="s">
        <v>405</v>
      </c>
      <c r="B6" s="225" t="s">
        <v>535</v>
      </c>
      <c r="C6" s="225">
        <v>13</v>
      </c>
      <c r="D6" s="225">
        <v>5</v>
      </c>
      <c r="E6" s="225" t="s">
        <v>536</v>
      </c>
    </row>
    <row r="7" spans="1:5" x14ac:dyDescent="0.25">
      <c r="A7" s="153" t="s">
        <v>408</v>
      </c>
      <c r="B7" s="153" t="s">
        <v>537</v>
      </c>
      <c r="C7" s="153">
        <v>17</v>
      </c>
      <c r="D7" s="153">
        <v>4</v>
      </c>
      <c r="E7" s="153" t="s">
        <v>516</v>
      </c>
    </row>
    <row r="8" spans="1:5" x14ac:dyDescent="0.25">
      <c r="A8" s="153" t="s">
        <v>411</v>
      </c>
      <c r="B8" s="153" t="s">
        <v>538</v>
      </c>
      <c r="C8" s="153">
        <v>23</v>
      </c>
      <c r="D8" s="153">
        <v>6</v>
      </c>
      <c r="E8" s="153" t="s">
        <v>518</v>
      </c>
    </row>
    <row r="9" spans="1:5" x14ac:dyDescent="0.25">
      <c r="A9" s="105" t="s">
        <v>414</v>
      </c>
      <c r="B9" s="105" t="s">
        <v>446</v>
      </c>
      <c r="C9" s="105">
        <v>30</v>
      </c>
      <c r="D9" s="105">
        <v>7</v>
      </c>
      <c r="E9" s="105" t="s">
        <v>539</v>
      </c>
    </row>
    <row r="10" spans="1:5" x14ac:dyDescent="0.25">
      <c r="A10" s="105" t="s">
        <v>417</v>
      </c>
      <c r="B10" s="105" t="s">
        <v>447</v>
      </c>
      <c r="C10" s="105">
        <v>37</v>
      </c>
      <c r="D10" s="105">
        <v>7</v>
      </c>
      <c r="E10" s="105" t="s">
        <v>521</v>
      </c>
    </row>
    <row r="11" spans="1:5" x14ac:dyDescent="0.25">
      <c r="A11" s="105" t="s">
        <v>420</v>
      </c>
      <c r="B11" s="105" t="s">
        <v>540</v>
      </c>
      <c r="C11" s="105">
        <v>46</v>
      </c>
      <c r="D11" s="105">
        <v>9</v>
      </c>
      <c r="E11" s="105" t="s">
        <v>541</v>
      </c>
    </row>
    <row r="12" spans="1:5" x14ac:dyDescent="0.25">
      <c r="A12" s="105" t="s">
        <v>423</v>
      </c>
      <c r="B12" s="105" t="s">
        <v>542</v>
      </c>
      <c r="C12" s="105">
        <v>55</v>
      </c>
      <c r="D12" s="105">
        <v>9</v>
      </c>
      <c r="E12" s="105" t="s">
        <v>523</v>
      </c>
    </row>
    <row r="13" spans="1:5" x14ac:dyDescent="0.25">
      <c r="A13" s="105" t="s">
        <v>426</v>
      </c>
      <c r="B13" s="105" t="s">
        <v>543</v>
      </c>
      <c r="C13" s="105">
        <v>67</v>
      </c>
      <c r="D13" s="105">
        <v>12</v>
      </c>
      <c r="E13" s="105" t="s">
        <v>544</v>
      </c>
    </row>
    <row r="14" spans="1:5" x14ac:dyDescent="0.25">
      <c r="A14" s="105" t="s">
        <v>429</v>
      </c>
      <c r="B14" s="105" t="s">
        <v>545</v>
      </c>
      <c r="C14" s="105">
        <v>80</v>
      </c>
      <c r="D14" s="105">
        <v>13</v>
      </c>
      <c r="E14" s="105" t="s">
        <v>527</v>
      </c>
    </row>
    <row r="15" spans="1:5" x14ac:dyDescent="0.25">
      <c r="A15" s="105" t="s">
        <v>432</v>
      </c>
      <c r="B15" s="105" t="s">
        <v>546</v>
      </c>
      <c r="C15" s="105">
        <v>97</v>
      </c>
      <c r="D15" s="105">
        <v>17</v>
      </c>
      <c r="E15" s="105" t="s">
        <v>529</v>
      </c>
    </row>
    <row r="16" spans="1:5" x14ac:dyDescent="0.25">
      <c r="A16" s="105" t="s">
        <v>435</v>
      </c>
      <c r="B16" s="105" t="s">
        <v>547</v>
      </c>
      <c r="C16" s="105">
        <v>120</v>
      </c>
      <c r="D16" s="105">
        <v>23</v>
      </c>
      <c r="E16" s="105" t="s">
        <v>548</v>
      </c>
    </row>
    <row r="17" spans="1:5" x14ac:dyDescent="0.25">
      <c r="A17" s="105" t="s">
        <v>438</v>
      </c>
      <c r="B17" s="105" t="s">
        <v>549</v>
      </c>
      <c r="C17" s="105">
        <v>158</v>
      </c>
      <c r="D17" s="105">
        <v>38</v>
      </c>
      <c r="E17" s="105" t="s">
        <v>550</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453</v>
      </c>
      <c r="C1" s="47">
        <f>Rendimiento_ENTRENAMIENTO!Y2</f>
        <v>15</v>
      </c>
    </row>
    <row r="2" spans="1:5" s="52" customFormat="1" x14ac:dyDescent="0.25">
      <c r="A2" s="227" t="s">
        <v>385</v>
      </c>
      <c r="B2" s="226" t="s">
        <v>386</v>
      </c>
      <c r="C2" s="226" t="s">
        <v>387</v>
      </c>
      <c r="D2" s="226" t="s">
        <v>388</v>
      </c>
      <c r="E2" s="226" t="s">
        <v>389</v>
      </c>
    </row>
    <row r="3" spans="1:5" x14ac:dyDescent="0.25">
      <c r="A3" s="225" t="s">
        <v>399</v>
      </c>
      <c r="B3" s="105" t="s">
        <v>486</v>
      </c>
      <c r="C3" s="105">
        <v>4</v>
      </c>
      <c r="D3" s="105">
        <v>4</v>
      </c>
      <c r="E3" s="105" t="s">
        <v>485</v>
      </c>
    </row>
    <row r="4" spans="1:5" x14ac:dyDescent="0.25">
      <c r="A4" s="105" t="s">
        <v>402</v>
      </c>
      <c r="B4" s="105" t="s">
        <v>456</v>
      </c>
      <c r="C4" s="105">
        <v>7</v>
      </c>
      <c r="D4" s="105">
        <v>3</v>
      </c>
      <c r="E4" s="105" t="s">
        <v>487</v>
      </c>
    </row>
    <row r="5" spans="1:5" x14ac:dyDescent="0.25">
      <c r="A5" s="153" t="s">
        <v>405</v>
      </c>
      <c r="B5" s="153" t="s">
        <v>403</v>
      </c>
      <c r="C5" s="153">
        <v>11</v>
      </c>
      <c r="D5" s="153">
        <v>4</v>
      </c>
      <c r="E5" s="153" t="s">
        <v>514</v>
      </c>
    </row>
    <row r="6" spans="1:5" x14ac:dyDescent="0.25">
      <c r="A6" s="225" t="s">
        <v>408</v>
      </c>
      <c r="B6" s="225" t="s">
        <v>406</v>
      </c>
      <c r="C6" s="225">
        <v>16</v>
      </c>
      <c r="D6" s="225">
        <v>5</v>
      </c>
      <c r="E6" s="225" t="s">
        <v>536</v>
      </c>
    </row>
    <row r="7" spans="1:5" x14ac:dyDescent="0.25">
      <c r="A7" s="153" t="s">
        <v>411</v>
      </c>
      <c r="B7" s="153" t="s">
        <v>491</v>
      </c>
      <c r="C7" s="153">
        <v>22</v>
      </c>
      <c r="D7" s="153">
        <v>6</v>
      </c>
      <c r="E7" s="153" t="s">
        <v>570</v>
      </c>
    </row>
    <row r="8" spans="1:5" x14ac:dyDescent="0.25">
      <c r="A8" s="153" t="s">
        <v>414</v>
      </c>
      <c r="B8" s="153" t="s">
        <v>571</v>
      </c>
      <c r="C8" s="153">
        <v>28</v>
      </c>
      <c r="D8" s="153">
        <v>6</v>
      </c>
      <c r="E8" s="153" t="s">
        <v>572</v>
      </c>
    </row>
    <row r="9" spans="1:5" x14ac:dyDescent="0.25">
      <c r="A9" s="105" t="s">
        <v>417</v>
      </c>
      <c r="B9" s="105" t="s">
        <v>495</v>
      </c>
      <c r="C9" s="105">
        <v>36</v>
      </c>
      <c r="D9" s="105">
        <v>8</v>
      </c>
      <c r="E9" s="105" t="s">
        <v>573</v>
      </c>
    </row>
    <row r="10" spans="1:5" x14ac:dyDescent="0.25">
      <c r="A10" s="105" t="s">
        <v>420</v>
      </c>
      <c r="B10" s="105" t="s">
        <v>448</v>
      </c>
      <c r="C10" s="105">
        <v>44</v>
      </c>
      <c r="D10" s="105">
        <v>8</v>
      </c>
      <c r="E10" s="105" t="s">
        <v>574</v>
      </c>
    </row>
    <row r="11" spans="1:5" x14ac:dyDescent="0.25">
      <c r="A11" s="105" t="s">
        <v>423</v>
      </c>
      <c r="B11" s="105" t="s">
        <v>499</v>
      </c>
      <c r="C11" s="105">
        <v>54</v>
      </c>
      <c r="D11" s="105">
        <v>10</v>
      </c>
      <c r="E11" s="105" t="s">
        <v>575</v>
      </c>
    </row>
    <row r="12" spans="1:5" x14ac:dyDescent="0.25">
      <c r="A12" s="105" t="s">
        <v>426</v>
      </c>
      <c r="B12" s="105" t="s">
        <v>576</v>
      </c>
      <c r="C12" s="105">
        <v>65</v>
      </c>
      <c r="D12" s="105">
        <v>11</v>
      </c>
      <c r="E12" s="105" t="s">
        <v>577</v>
      </c>
    </row>
    <row r="13" spans="1:5" x14ac:dyDescent="0.25">
      <c r="A13" s="105" t="s">
        <v>429</v>
      </c>
      <c r="B13" s="105" t="s">
        <v>503</v>
      </c>
      <c r="C13" s="105">
        <v>79</v>
      </c>
      <c r="D13" s="105">
        <v>14</v>
      </c>
      <c r="E13" s="105" t="s">
        <v>578</v>
      </c>
    </row>
    <row r="14" spans="1:5" x14ac:dyDescent="0.25">
      <c r="A14" s="105" t="s">
        <v>432</v>
      </c>
      <c r="B14" s="105" t="s">
        <v>505</v>
      </c>
      <c r="C14" s="105">
        <v>96</v>
      </c>
      <c r="D14" s="105">
        <v>17</v>
      </c>
      <c r="E14" s="105" t="s">
        <v>579</v>
      </c>
    </row>
    <row r="15" spans="1:5" x14ac:dyDescent="0.25">
      <c r="A15" s="105" t="s">
        <v>435</v>
      </c>
      <c r="B15" s="105" t="s">
        <v>580</v>
      </c>
      <c r="C15" s="105">
        <v>118</v>
      </c>
      <c r="D15" s="105">
        <v>22</v>
      </c>
      <c r="E15" s="105" t="s">
        <v>581</v>
      </c>
    </row>
    <row r="16" spans="1:5" x14ac:dyDescent="0.25">
      <c r="A16" s="105" t="s">
        <v>438</v>
      </c>
      <c r="B16" s="105" t="s">
        <v>531</v>
      </c>
      <c r="C16" s="105">
        <v>155</v>
      </c>
      <c r="D16" s="105">
        <v>37</v>
      </c>
      <c r="E16" s="105" t="s">
        <v>582</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B7" sqref="B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450</v>
      </c>
      <c r="C1" s="47">
        <f>Rendimiento_ENTRENAMIENTO!Y2</f>
        <v>15</v>
      </c>
    </row>
    <row r="2" spans="1:5" s="52" customFormat="1" x14ac:dyDescent="0.25">
      <c r="A2" s="227" t="s">
        <v>385</v>
      </c>
      <c r="B2" s="226" t="s">
        <v>386</v>
      </c>
      <c r="C2" s="226" t="s">
        <v>387</v>
      </c>
      <c r="D2" s="226" t="s">
        <v>388</v>
      </c>
      <c r="E2" s="226" t="s">
        <v>389</v>
      </c>
    </row>
    <row r="3" spans="1:5" x14ac:dyDescent="0.25">
      <c r="A3" s="225" t="s">
        <v>402</v>
      </c>
      <c r="B3" s="105" t="s">
        <v>486</v>
      </c>
      <c r="C3" s="105">
        <v>4</v>
      </c>
      <c r="D3" s="105">
        <v>4</v>
      </c>
      <c r="E3" s="105" t="s">
        <v>551</v>
      </c>
    </row>
    <row r="4" spans="1:5" x14ac:dyDescent="0.25">
      <c r="A4" s="105" t="s">
        <v>405</v>
      </c>
      <c r="B4" s="105" t="s">
        <v>400</v>
      </c>
      <c r="C4" s="105">
        <v>8</v>
      </c>
      <c r="D4" s="105">
        <v>4</v>
      </c>
      <c r="E4" s="105" t="s">
        <v>395</v>
      </c>
    </row>
    <row r="5" spans="1:5" x14ac:dyDescent="0.25">
      <c r="A5" s="225" t="s">
        <v>408</v>
      </c>
      <c r="B5" s="225" t="s">
        <v>535</v>
      </c>
      <c r="C5" s="225">
        <v>13</v>
      </c>
      <c r="D5" s="225">
        <v>5</v>
      </c>
      <c r="E5" s="225" t="s">
        <v>552</v>
      </c>
    </row>
    <row r="6" spans="1:5" x14ac:dyDescent="0.25">
      <c r="A6" s="153" t="s">
        <v>411</v>
      </c>
      <c r="B6" s="153" t="s">
        <v>462</v>
      </c>
      <c r="C6" s="153">
        <v>19</v>
      </c>
      <c r="D6" s="153">
        <v>6</v>
      </c>
      <c r="E6" s="153" t="s">
        <v>553</v>
      </c>
    </row>
    <row r="7" spans="1:5" x14ac:dyDescent="0.25">
      <c r="A7" s="153" t="s">
        <v>414</v>
      </c>
      <c r="B7" s="153" t="s">
        <v>444</v>
      </c>
      <c r="C7" s="153">
        <v>25</v>
      </c>
      <c r="D7" s="153">
        <v>6</v>
      </c>
      <c r="E7" s="153" t="s">
        <v>554</v>
      </c>
    </row>
    <row r="8" spans="1:5" x14ac:dyDescent="0.25">
      <c r="A8" s="153" t="s">
        <v>417</v>
      </c>
      <c r="B8" s="153" t="s">
        <v>415</v>
      </c>
      <c r="C8" s="153">
        <v>33</v>
      </c>
      <c r="D8" s="153">
        <v>8</v>
      </c>
      <c r="E8" s="153" t="s">
        <v>555</v>
      </c>
    </row>
    <row r="9" spans="1:5" x14ac:dyDescent="0.25">
      <c r="A9" s="105" t="s">
        <v>420</v>
      </c>
      <c r="B9" s="105" t="s">
        <v>556</v>
      </c>
      <c r="C9" s="105">
        <v>41</v>
      </c>
      <c r="D9" s="105">
        <v>8</v>
      </c>
      <c r="E9" s="105" t="s">
        <v>557</v>
      </c>
    </row>
    <row r="10" spans="1:5" x14ac:dyDescent="0.25">
      <c r="A10" s="105" t="s">
        <v>423</v>
      </c>
      <c r="B10" s="105" t="s">
        <v>558</v>
      </c>
      <c r="C10" s="105">
        <v>51</v>
      </c>
      <c r="D10" s="105">
        <v>10</v>
      </c>
      <c r="E10" s="105" t="s">
        <v>559</v>
      </c>
    </row>
    <row r="11" spans="1:5" x14ac:dyDescent="0.25">
      <c r="A11" s="105" t="s">
        <v>426</v>
      </c>
      <c r="B11" s="105" t="s">
        <v>560</v>
      </c>
      <c r="C11" s="105">
        <v>62</v>
      </c>
      <c r="D11" s="105">
        <v>11</v>
      </c>
      <c r="E11" s="105" t="s">
        <v>561</v>
      </c>
    </row>
    <row r="12" spans="1:5" x14ac:dyDescent="0.25">
      <c r="A12" s="105" t="s">
        <v>429</v>
      </c>
      <c r="B12" s="105" t="s">
        <v>562</v>
      </c>
      <c r="C12" s="105">
        <v>75</v>
      </c>
      <c r="D12" s="105">
        <v>13</v>
      </c>
      <c r="E12" s="105" t="s">
        <v>563</v>
      </c>
    </row>
    <row r="13" spans="1:5" x14ac:dyDescent="0.25">
      <c r="A13" s="105" t="s">
        <v>432</v>
      </c>
      <c r="B13" s="105" t="s">
        <v>564</v>
      </c>
      <c r="C13" s="105">
        <v>92</v>
      </c>
      <c r="D13" s="105">
        <v>17</v>
      </c>
      <c r="E13" s="105" t="s">
        <v>565</v>
      </c>
    </row>
    <row r="14" spans="1:5" x14ac:dyDescent="0.25">
      <c r="A14" s="105" t="s">
        <v>435</v>
      </c>
      <c r="B14" s="105" t="s">
        <v>566</v>
      </c>
      <c r="C14" s="105">
        <v>114</v>
      </c>
      <c r="D14" s="105">
        <v>22</v>
      </c>
      <c r="E14" s="105" t="s">
        <v>567</v>
      </c>
    </row>
    <row r="15" spans="1:5" x14ac:dyDescent="0.25">
      <c r="A15" s="105" t="s">
        <v>438</v>
      </c>
      <c r="B15" s="105" t="s">
        <v>568</v>
      </c>
      <c r="C15" s="105">
        <v>151</v>
      </c>
      <c r="D15" s="105">
        <v>37</v>
      </c>
      <c r="E15" s="105" t="s">
        <v>569</v>
      </c>
    </row>
    <row r="16" spans="1:5" x14ac:dyDescent="0.25">
      <c r="A16" s="105"/>
      <c r="B16" s="105"/>
      <c r="C16" s="105"/>
      <c r="D16" s="105"/>
      <c r="E16" s="1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6"/>
  <sheetViews>
    <sheetView tabSelected="1" zoomScaleNormal="100" workbookViewId="0">
      <pane xSplit="4" ySplit="3" topLeftCell="E4" activePane="bottomRight" state="frozen"/>
      <selection pane="topRight" activeCell="E1" sqref="E1"/>
      <selection pane="bottomLeft" activeCell="A4" sqref="A4"/>
      <selection pane="bottomRight" activeCell="G10" sqref="G10"/>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43115</v>
      </c>
      <c r="I2" s="32">
        <f>AVERAGE(I4:I22)</f>
        <v>1.0421052631578949</v>
      </c>
      <c r="J2" s="32"/>
      <c r="N2" s="37">
        <f ca="1">AVERAGE(N4:N22)</f>
        <v>0.49708103841586093</v>
      </c>
      <c r="O2" s="32">
        <f>AVERAGE(O4:O22)</f>
        <v>4.9157894736842103</v>
      </c>
      <c r="Q2" s="32">
        <f>AVERAGE(Q4:Q22)</f>
        <v>5.7368421052631575</v>
      </c>
      <c r="R2" s="116">
        <f>AVERAGE(R4:R22)</f>
        <v>0.89927309003177935</v>
      </c>
      <c r="S2" s="116">
        <f>AVERAGE(S4:S22)</f>
        <v>0.95783418164429757</v>
      </c>
      <c r="T2" s="38">
        <f>SUM(T4:T22)</f>
        <v>37300</v>
      </c>
      <c r="U2" s="38">
        <f>SUM(U4:U22)</f>
        <v>1690</v>
      </c>
      <c r="V2" s="38">
        <f>SUM(V4:V22)</f>
        <v>6810</v>
      </c>
      <c r="W2" s="39">
        <f>T2/V2</f>
        <v>5.4772393538913366</v>
      </c>
      <c r="AD2" s="37">
        <f>AVERAGE(AD20:AD22)</f>
        <v>3.1666666666666665</v>
      </c>
      <c r="AE2" s="33">
        <f>AVERAGE(AE20:AE22)</f>
        <v>414</v>
      </c>
      <c r="AF2" s="33"/>
      <c r="AK2" s="32"/>
      <c r="AL2" s="32"/>
      <c r="AM2" s="32"/>
      <c r="AN2" s="32"/>
      <c r="AO2" s="32">
        <f>AVERAGE(AO20:AO23)</f>
        <v>1.25</v>
      </c>
      <c r="AP2" s="32"/>
      <c r="AQ2" s="32">
        <f>AVERAGE(AQ20:AQ23)</f>
        <v>1</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10.803571428571429</v>
      </c>
      <c r="D4" s="216" t="s">
        <v>451</v>
      </c>
      <c r="E4" s="1">
        <v>22</v>
      </c>
      <c r="F4" s="2">
        <f ca="1">8-659+D2-D1-112-62</f>
        <v>22</v>
      </c>
      <c r="G4" s="3" t="s">
        <v>296</v>
      </c>
      <c r="H4" s="4">
        <v>4</v>
      </c>
      <c r="I4" s="5">
        <v>2.2999999999999998</v>
      </c>
      <c r="J4" s="22">
        <f>LOG(I4)*4/3</f>
        <v>0.48230378135679047</v>
      </c>
      <c r="K4" s="6">
        <f t="shared" ref="K4:K5" si="0">(H4)*(H4)*(I4)</f>
        <v>36.799999999999997</v>
      </c>
      <c r="L4" s="6">
        <f t="shared" ref="L4:L5" si="1">(H4+1)*(H4+1)*I4</f>
        <v>57.499999999999993</v>
      </c>
      <c r="M4" s="130">
        <v>43097</v>
      </c>
      <c r="N4" s="131">
        <f ca="1">IF((TODAY()-M4)&gt;335,1,((TODAY()-M4)^0.64)/(336^0.64))</f>
        <v>0.15364458747949647</v>
      </c>
      <c r="O4" s="25">
        <v>6.7</v>
      </c>
      <c r="P4" s="20">
        <f t="shared" ref="P4:P6" si="2">O4*10+19</f>
        <v>86</v>
      </c>
      <c r="Q4" s="26">
        <v>5</v>
      </c>
      <c r="R4" s="115">
        <f t="shared" ref="R4:R5" si="3">(Q4/7)^0.5</f>
        <v>0.84515425472851657</v>
      </c>
      <c r="S4" s="115">
        <f t="shared" ref="S4:S5" si="4">IF(Q4=7,1,((Q4+0.99)/7)^0.5)</f>
        <v>0.92504826128926143</v>
      </c>
      <c r="T4" s="29">
        <v>7770</v>
      </c>
      <c r="U4" s="29">
        <f>T4-AS4</f>
        <v>440</v>
      </c>
      <c r="V4" s="7">
        <v>710</v>
      </c>
      <c r="W4" s="8">
        <f t="shared" ref="W4:W5" si="5">T4/V4</f>
        <v>10.943661971830986</v>
      </c>
      <c r="X4" s="21">
        <v>0</v>
      </c>
      <c r="Y4" s="22">
        <v>7</v>
      </c>
      <c r="Z4" s="21">
        <v>2</v>
      </c>
      <c r="AA4" s="22">
        <v>5</v>
      </c>
      <c r="AB4" s="21">
        <v>7</v>
      </c>
      <c r="AC4" s="22">
        <f>5+1/21+1/21</f>
        <v>5.0952380952380949</v>
      </c>
      <c r="AD4" s="21">
        <v>4</v>
      </c>
      <c r="AE4" s="9">
        <v>645</v>
      </c>
      <c r="AF4" s="9">
        <v>1496</v>
      </c>
      <c r="AG4" s="23">
        <f ca="1">(AD4+1+(LOG(I4)*4/3)+N4)*(Q4/7)^0.5</f>
        <v>4.7632457433522308</v>
      </c>
      <c r="AH4" s="23">
        <f ca="1">(AD4+1+N4+(LOG(I4)*4/3))*(IF(Q4=7, (Q4/7)^0.5, ((Q4+1)/7)^0.5))</f>
        <v>5.2178742811489593</v>
      </c>
      <c r="AI4" s="120">
        <f ca="1">(Z4+N4+(LOG(I4)*4/3))*(Q4/7)^0.5</f>
        <v>2.227782979166681</v>
      </c>
      <c r="AJ4" s="120">
        <f ca="1">(Z4+N4+(LOG(I4)*4/3))*(IF(Q4=7, (Q4/7)^0.5, ((Q4+1)/7)^0.5))</f>
        <v>2.4404139818313051</v>
      </c>
      <c r="AK4" s="8">
        <f ca="1">(((Y4+LOG(I4)*4/3+N4)+(AB4+LOG(I4)*4/3+N4)*2)/8)*(Q4/7)^0.5</f>
        <v>2.4200828448034737</v>
      </c>
      <c r="AL4" s="8">
        <f ca="1">(AD4+LOG(I4)*4/3+N4)*0.7+(AC4+LOG(I4)*4/3+N4)*0.3</f>
        <v>4.9645197974077151</v>
      </c>
      <c r="AM4" s="8">
        <f ca="1">(0.5*(AC4+LOG(I4)*4/3+N4)+ 0.3*(AD4+LOG(I4)*4/3+N4))/10</f>
        <v>0.42563777426880767</v>
      </c>
      <c r="AN4" s="8">
        <f ca="1">(0.4*(Y4+LOG(I4)*4/3+N4)+0.3*(AD4+LOG(I4)*4/3+N4))/10</f>
        <v>0.44451638581854008</v>
      </c>
      <c r="AO4" s="20">
        <v>4</v>
      </c>
      <c r="AP4" s="20">
        <v>1</v>
      </c>
      <c r="AQ4" s="20">
        <v>2</v>
      </c>
      <c r="AR4" s="129">
        <f t="shared" ref="AR4:AR5" si="6">IF(AP4=4,IF(AQ4=0,0.137+0.0697,0.137+0.02),IF(AP4=3,IF(AQ4=0,0.0958+0.0697,0.0958+0.02),IF(AP4=2,IF(AQ4=0,0.0415+0.0697,0.0415+0.02),IF(AP4=1,IF(AQ4=0,0.0294+0.0697,0.0294+0.02),IF(AP4=0,IF(AQ4=0,0.0063+0.0697,0.0063+0.02))))))</f>
        <v>4.9399999999999999E-2</v>
      </c>
      <c r="AS4">
        <v>7330</v>
      </c>
    </row>
    <row r="5" spans="1:45" x14ac:dyDescent="0.25">
      <c r="A5" s="15" t="s">
        <v>369</v>
      </c>
      <c r="B5" s="15" t="s">
        <v>370</v>
      </c>
      <c r="C5" s="121">
        <f t="shared" ref="C5" ca="1" si="7">((33*112)-(E5*112)-(F5))/112</f>
        <v>15.321428571428571</v>
      </c>
      <c r="D5" s="215" t="s">
        <v>306</v>
      </c>
      <c r="E5" s="16">
        <v>17</v>
      </c>
      <c r="F5" s="2">
        <f ca="1">8-159+16-570-5+D2-D1-2-12-49+9-11+44-40</f>
        <v>76</v>
      </c>
      <c r="G5" s="18" t="s">
        <v>177</v>
      </c>
      <c r="H5" s="4">
        <v>3</v>
      </c>
      <c r="I5" s="27">
        <v>1</v>
      </c>
      <c r="J5" s="22">
        <f t="shared" ref="J5" si="8">LOG(I5)*4/3</f>
        <v>0</v>
      </c>
      <c r="K5" s="6">
        <f t="shared" si="0"/>
        <v>9</v>
      </c>
      <c r="L5" s="6">
        <f t="shared" si="1"/>
        <v>16</v>
      </c>
      <c r="M5" s="130">
        <v>43046</v>
      </c>
      <c r="N5" s="131">
        <f t="shared" ref="N5" ca="1" si="9">IF((TODAY()-M5)&gt;335,1,((TODAY()-M5)^0.64)/(336^0.64))</f>
        <v>0.36308330545524814</v>
      </c>
      <c r="O5" s="19">
        <v>4.3</v>
      </c>
      <c r="P5" s="20">
        <f t="shared" si="2"/>
        <v>62</v>
      </c>
      <c r="Q5" s="26">
        <v>6</v>
      </c>
      <c r="R5" s="115">
        <f t="shared" si="3"/>
        <v>0.92582009977255142</v>
      </c>
      <c r="S5" s="115">
        <f t="shared" si="4"/>
        <v>0.99928545900129484</v>
      </c>
      <c r="T5" s="29">
        <v>550</v>
      </c>
      <c r="U5" s="29">
        <f t="shared" ref="U5" si="10">T5-AS5</f>
        <v>-10</v>
      </c>
      <c r="V5" s="29">
        <v>250</v>
      </c>
      <c r="W5" s="8">
        <f t="shared" si="5"/>
        <v>2.2000000000000002</v>
      </c>
      <c r="X5" s="21">
        <v>0</v>
      </c>
      <c r="Y5" s="22">
        <v>4</v>
      </c>
      <c r="Z5" s="21">
        <v>4</v>
      </c>
      <c r="AA5" s="22">
        <v>3</v>
      </c>
      <c r="AB5" s="21">
        <f>4+0.25+(0.25*0.16*3/90)+0.25*3/90*0.16</f>
        <v>4.2526666666666664</v>
      </c>
      <c r="AC5" s="22">
        <f>3+1/15</f>
        <v>3.0666666666666669</v>
      </c>
      <c r="AD5" s="21">
        <v>0.4</v>
      </c>
      <c r="AE5" s="9">
        <v>360</v>
      </c>
      <c r="AF5" s="9">
        <v>1991</v>
      </c>
      <c r="AG5" s="23">
        <f t="shared" ref="AG5" ca="1" si="11">(AD5+1+(LOG(I5)*4/3)+N5)*(Q5/7)^0.5</f>
        <v>1.6322979617638975</v>
      </c>
      <c r="AH5" s="23">
        <f t="shared" ref="AH5" ca="1" si="12">(AD5+1+N5+(LOG(I5)*4/3))*(IF(Q5=7, (Q5/7)^0.5, ((Q5+1)/7)^0.5))</f>
        <v>1.7630833054552482</v>
      </c>
      <c r="AI5" s="120">
        <f t="shared" ref="AI5" ca="1" si="13">(Z5+N5+(LOG(I5)*4/3))*(Q5/7)^0.5</f>
        <v>4.0394302211725313</v>
      </c>
      <c r="AJ5" s="120">
        <f t="shared" ref="AJ5" ca="1" si="14">(Z5+N5+(LOG(I5)*4/3))*(IF(Q5=7, (Q5/7)^0.5, ((Q5+1)/7)^0.5))</f>
        <v>4.3630833054552483</v>
      </c>
      <c r="AK5" s="8">
        <f t="shared" ref="AK5" ca="1" si="15">(((Y5+LOG(I5)*4/3+N5)+(AB5+LOG(I5)*4/3+N5)*2)/8)*(Q5/7)^0.5</f>
        <v>1.5732673025753321</v>
      </c>
      <c r="AL5" s="8">
        <f t="shared" ref="AL5" ca="1" si="16">(AD5+LOG(I5)*4/3+N5)*0.7+(AC5+LOG(I5)*4/3+N5)*0.3</f>
        <v>1.5630833054552482</v>
      </c>
      <c r="AM5" s="8">
        <f t="shared" ref="AM5" ca="1" si="17">(0.5*(AC5+LOG(I5)*4/3+N5)+ 0.3*(AD5+LOG(I5)*4/3+N5))/10</f>
        <v>0.1943799977697532</v>
      </c>
      <c r="AN5" s="8">
        <f t="shared" ref="AN5" ca="1" si="18">(0.4*(Y5+LOG(I5)*4/3+N5)+0.3*(AD5+LOG(I5)*4/3+N5))/10</f>
        <v>0.19741583138186738</v>
      </c>
      <c r="AO5" s="20">
        <v>1</v>
      </c>
      <c r="AP5" s="20">
        <v>1</v>
      </c>
      <c r="AQ5" s="20">
        <v>3</v>
      </c>
      <c r="AR5" s="129">
        <f t="shared" si="6"/>
        <v>4.9399999999999999E-2</v>
      </c>
      <c r="AS5">
        <v>560</v>
      </c>
    </row>
    <row r="6" spans="1:45" x14ac:dyDescent="0.25">
      <c r="A6" s="15" t="s">
        <v>39</v>
      </c>
      <c r="B6" s="15" t="s">
        <v>370</v>
      </c>
      <c r="C6" s="121">
        <f ca="1">((33*112)-(E6*112)-(F6))/112</f>
        <v>15.794642857142858</v>
      </c>
      <c r="D6" s="215" t="s">
        <v>452</v>
      </c>
      <c r="E6" s="16">
        <v>17</v>
      </c>
      <c r="F6" s="17">
        <f ca="1">72+D2-D1-112-112-112-112-112+17-112-112+10-112-27</f>
        <v>23</v>
      </c>
      <c r="G6" s="18"/>
      <c r="H6" s="4">
        <v>1</v>
      </c>
      <c r="I6" s="27">
        <v>1.1000000000000001</v>
      </c>
      <c r="J6" s="22">
        <f>LOG(I6)*4/3</f>
        <v>5.5190246877633437E-2</v>
      </c>
      <c r="K6" s="6">
        <f>(H6)*(H6)*(I6)</f>
        <v>1.1000000000000001</v>
      </c>
      <c r="L6" s="6">
        <f>(H6+1)*(H6+1)*I6</f>
        <v>4.4000000000000004</v>
      </c>
      <c r="M6" s="130">
        <v>43097</v>
      </c>
      <c r="N6" s="131">
        <v>1.5</v>
      </c>
      <c r="O6" s="19">
        <v>3.8</v>
      </c>
      <c r="P6" s="20">
        <f t="shared" si="2"/>
        <v>57</v>
      </c>
      <c r="Q6" s="20">
        <v>5</v>
      </c>
      <c r="R6" s="115">
        <f>(Q6/7)^0.5</f>
        <v>0.84515425472851657</v>
      </c>
      <c r="S6" s="115">
        <f>IF(Q6=7,1,((Q6+0.99)/7)^0.5)</f>
        <v>0.92504826128926143</v>
      </c>
      <c r="T6" s="29">
        <v>1360</v>
      </c>
      <c r="U6" s="29">
        <f>T6-AS6</f>
        <v>0</v>
      </c>
      <c r="V6" s="29">
        <v>470</v>
      </c>
      <c r="W6" s="8">
        <f>T6/V6</f>
        <v>2.8936170212765959</v>
      </c>
      <c r="X6" s="21">
        <v>0</v>
      </c>
      <c r="Y6" s="22">
        <v>5</v>
      </c>
      <c r="Z6" s="21">
        <v>6.7</v>
      </c>
      <c r="AA6" s="22">
        <v>3</v>
      </c>
      <c r="AB6" s="21">
        <v>2</v>
      </c>
      <c r="AC6" s="22">
        <f>3+1/15+1/15</f>
        <v>3.1333333333333337</v>
      </c>
      <c r="AD6" s="21">
        <v>2</v>
      </c>
      <c r="AE6" s="9">
        <v>422</v>
      </c>
      <c r="AF6" s="9">
        <v>2055</v>
      </c>
      <c r="AG6" s="23">
        <f>(AD6+1+(LOG(I6)*4/3)+N6)*(Q6/7)^0.5</f>
        <v>3.849838418246474</v>
      </c>
      <c r="AH6" s="23">
        <f>(AD6+1+N6+(LOG(I6)*4/3))*(IF(Q6=7, (Q6/7)^0.5, ((Q6+1)/7)^0.5))</f>
        <v>4.2172866888472038</v>
      </c>
      <c r="AI6" s="120">
        <f>(Z6+N6+(LOG(I6)*4/3))*(Q6/7)^0.5</f>
        <v>6.9769091607419842</v>
      </c>
      <c r="AJ6" s="120">
        <f>(Z6+N6+(LOG(I6)*4/3))*(IF(Q6=7, (Q6/7)^0.5, ((Q6+1)/7)^0.5))</f>
        <v>7.6428210580056426</v>
      </c>
      <c r="AK6" s="8">
        <f>(((Y6+LOG(I6)*4/3+N6)+(AB6+LOG(I6)*4/3+N6)*2)/8)*(Q6/7)^0.5</f>
        <v>1.4436894068424277</v>
      </c>
      <c r="AL6" s="8">
        <f>(AD6+LOG(I6)*4/3+N6)*0.7+(AC6+LOG(I6)*4/3+N6)*0.3</f>
        <v>3.8951902468776334</v>
      </c>
      <c r="AM6" s="8">
        <f>(0.5*(AC6+LOG(I6)*4/3+N6)+ 0.3*(AD6+LOG(I6)*4/3+N6))/10</f>
        <v>0.34108188641687737</v>
      </c>
      <c r="AN6" s="8">
        <f>(0.4*(Y6+LOG(I6)*4/3+N6)+0.3*(AD6+LOG(I6)*4/3+N6))/10</f>
        <v>0.36886331728143434</v>
      </c>
      <c r="AO6" s="20">
        <v>2</v>
      </c>
      <c r="AP6" s="20">
        <v>2</v>
      </c>
      <c r="AQ6" s="20">
        <v>1</v>
      </c>
      <c r="AR6" s="129">
        <f>IF(AP6=4,IF(AQ6=0,0.137+0.0697,0.137+0.02),IF(AP6=3,IF(AQ6=0,0.0958+0.0697,0.0958+0.02),IF(AP6=2,IF(AQ6=0,0.0415+0.0697,0.0415+0.02),IF(AP6=1,IF(AQ6=0,0.0294+0.0697,0.0294+0.02),IF(AP6=0,IF(AQ6=0,0.0063+0.0697,0.0063+0.02))))))</f>
        <v>6.1499999999999999E-2</v>
      </c>
      <c r="AS6">
        <v>1360</v>
      </c>
    </row>
    <row r="7" spans="1:45" x14ac:dyDescent="0.25">
      <c r="A7" s="15" t="s">
        <v>41</v>
      </c>
      <c r="B7" s="15" t="s">
        <v>194</v>
      </c>
      <c r="C7" s="121">
        <f ca="1">((33*112)-(E7*112)-(F7))/112</f>
        <v>15.294642857142858</v>
      </c>
      <c r="D7" s="222" t="s">
        <v>308</v>
      </c>
      <c r="E7" s="16">
        <v>17</v>
      </c>
      <c r="F7" s="2">
        <f ca="1">8-159+16-570-5+D2-D1-2-31-25</f>
        <v>79</v>
      </c>
      <c r="G7" s="18" t="s">
        <v>296</v>
      </c>
      <c r="H7" s="40">
        <v>6</v>
      </c>
      <c r="I7" s="27">
        <v>1.4</v>
      </c>
      <c r="J7" s="22">
        <f>LOG(I7)*4/3</f>
        <v>0.19483738090431735</v>
      </c>
      <c r="K7" s="6">
        <f>(H7)*(H7)*(I7)</f>
        <v>50.4</v>
      </c>
      <c r="L7" s="6">
        <f>(H7+1)*(H7+1)*I7</f>
        <v>68.599999999999994</v>
      </c>
      <c r="M7" s="130">
        <v>43051</v>
      </c>
      <c r="N7" s="131">
        <f ca="1">IF((TODAY()-M7)&gt;335,1,((TODAY()-M7)^0.64)/(336^0.64))</f>
        <v>0.34601748551657119</v>
      </c>
      <c r="O7" s="19">
        <v>5.3</v>
      </c>
      <c r="P7" s="20">
        <f>O7*10+19</f>
        <v>72</v>
      </c>
      <c r="Q7" s="26">
        <v>6</v>
      </c>
      <c r="R7" s="115">
        <f>(Q7/7)^0.5</f>
        <v>0.92582009977255142</v>
      </c>
      <c r="S7" s="115">
        <f>IF(Q7=7,1,((Q7+0.99)/7)^0.5)</f>
        <v>0.99928545900129484</v>
      </c>
      <c r="T7" s="29">
        <v>2120</v>
      </c>
      <c r="U7" s="29">
        <f>T7-AS7</f>
        <v>120</v>
      </c>
      <c r="V7" s="29">
        <v>330</v>
      </c>
      <c r="W7" s="8">
        <f>T7/V7</f>
        <v>6.4242424242424239</v>
      </c>
      <c r="X7" s="21">
        <v>0</v>
      </c>
      <c r="Y7" s="22">
        <v>6</v>
      </c>
      <c r="Z7" s="21">
        <v>3</v>
      </c>
      <c r="AA7" s="22">
        <v>3</v>
      </c>
      <c r="AB7" s="21">
        <f>5+0.2+0.2</f>
        <v>5.4</v>
      </c>
      <c r="AC7" s="22">
        <f>3+0.34+0.33+0.33</f>
        <v>4</v>
      </c>
      <c r="AD7" s="21">
        <v>3</v>
      </c>
      <c r="AE7" s="9">
        <v>476</v>
      </c>
      <c r="AF7" s="9">
        <v>2009</v>
      </c>
      <c r="AG7" s="23">
        <f t="shared" ref="AG7:AG18" ca="1" si="19">(AD7+1+(LOG(I7)*4/3)+N7)*(Q7/7)^0.5</f>
        <v>4.2040147054824626</v>
      </c>
      <c r="AH7" s="23">
        <f t="shared" ref="AH7:AH18" ca="1" si="20">(AD7+1+N7+(LOG(I7)*4/3))*(IF(Q7=7, (Q7/7)^0.5, ((Q7+1)/7)^0.5))</f>
        <v>4.5408548664208883</v>
      </c>
      <c r="AI7" s="120">
        <f t="shared" ref="AI7:AI18" ca="1" si="21">(Z7+N7+(LOG(I7)*4/3))*(Q7/7)^0.5</f>
        <v>3.2781946057099112</v>
      </c>
      <c r="AJ7" s="120">
        <f t="shared" ref="AJ7:AJ18" ca="1" si="22">(Z7+N7+(LOG(I7)*4/3))*(IF(Q7=7, (Q7/7)^0.5, ((Q7+1)/7)^0.5))</f>
        <v>3.5408548664208883</v>
      </c>
      <c r="AK7" s="8">
        <f t="shared" ref="AK7:AK18" ca="1" si="23">(((Y7+LOG(I7)*4/3+N7)+(AB7+LOG(I7)*4/3+N7)*2)/8)*(Q7/7)^0.5</f>
        <v>2.1319975744194544</v>
      </c>
      <c r="AL7" s="8">
        <f t="shared" ref="AL7:AL18" ca="1" si="24">(AD7+LOG(I7)*4/3+N7)*0.7+(AC7+LOG(I7)*4/3+N7)*0.3</f>
        <v>3.8408548664208881</v>
      </c>
      <c r="AM7" s="8">
        <f t="shared" ref="AM7:AM18" ca="1" si="25">(0.5*(AC7+LOG(I7)*4/3+N7)+ 0.3*(AD7+LOG(I7)*4/3+N7))/10</f>
        <v>0.33326838931367109</v>
      </c>
      <c r="AN7" s="8">
        <f t="shared" ref="AN7:AN18" ca="1" si="26">(0.4*(Y7+LOG(I7)*4/3+N7)+0.3*(AD7+LOG(I7)*4/3+N7))/10</f>
        <v>0.3678598406494622</v>
      </c>
      <c r="AO7" s="20">
        <v>2</v>
      </c>
      <c r="AP7" s="20">
        <v>2</v>
      </c>
      <c r="AQ7" s="20">
        <v>1</v>
      </c>
      <c r="AR7" s="129">
        <f>IF(AP7=4,IF(AQ7=0,0.137+0.0697,0.137+0.02),IF(AP7=3,IF(AQ7=0,0.0958+0.0697,0.0958+0.02),IF(AP7=2,IF(AQ7=0,0.0415+0.0697,0.0415+0.02),IF(AP7=1,IF(AQ7=0,0.0294+0.0697,0.0294+0.02),IF(AP7=0,IF(AQ7=0,0.0063+0.0697,0.0063+0.02))))))</f>
        <v>6.1499999999999999E-2</v>
      </c>
      <c r="AS7">
        <v>2000</v>
      </c>
    </row>
    <row r="8" spans="1:45" x14ac:dyDescent="0.25">
      <c r="A8" s="15" t="s">
        <v>38</v>
      </c>
      <c r="B8" s="15" t="s">
        <v>194</v>
      </c>
      <c r="C8" s="121">
        <f ca="1">((33*112)-(E8*112)-(F8))/112</f>
        <v>15.205357142857142</v>
      </c>
      <c r="D8" s="222" t="s">
        <v>382</v>
      </c>
      <c r="E8" s="16">
        <v>17</v>
      </c>
      <c r="F8" s="2">
        <f ca="1">8-159+16-570-5+D2-D1-2-31-15</f>
        <v>89</v>
      </c>
      <c r="G8" s="18" t="s">
        <v>70</v>
      </c>
      <c r="H8" s="4">
        <v>0</v>
      </c>
      <c r="I8" s="27">
        <v>1.5</v>
      </c>
      <c r="J8" s="22">
        <f>LOG(I8)*4/3</f>
        <v>0.23478834540757498</v>
      </c>
      <c r="K8" s="6">
        <f>(H8)*(H8)*(I8)</f>
        <v>0</v>
      </c>
      <c r="L8" s="6">
        <f>(H8+1)*(H8+1)*I8</f>
        <v>1.5</v>
      </c>
      <c r="M8" s="130">
        <v>43081</v>
      </c>
      <c r="N8" s="131">
        <f ca="1">IF((TODAY()-M8)&gt;335,1,((TODAY()-M8)^0.64)/(336^0.64))</f>
        <v>0.23082846810273991</v>
      </c>
      <c r="O8" s="19">
        <v>3.5</v>
      </c>
      <c r="P8" s="20">
        <f>O8*10+19</f>
        <v>54</v>
      </c>
      <c r="Q8" s="26">
        <v>7</v>
      </c>
      <c r="R8" s="115">
        <f>(Q8/7)^0.5</f>
        <v>1</v>
      </c>
      <c r="S8" s="115">
        <f>IF(Q8=7,1,((Q8+0.99)/7)^0.5)</f>
        <v>1</v>
      </c>
      <c r="T8" s="29">
        <v>5420</v>
      </c>
      <c r="U8" s="29">
        <f>T8-AS8</f>
        <v>400</v>
      </c>
      <c r="V8" s="29">
        <v>370</v>
      </c>
      <c r="W8" s="8">
        <f>T8/V8</f>
        <v>14.648648648648649</v>
      </c>
      <c r="X8" s="21">
        <v>0</v>
      </c>
      <c r="Y8" s="22">
        <v>6</v>
      </c>
      <c r="Z8" s="21">
        <v>5</v>
      </c>
      <c r="AA8" s="22">
        <v>6</v>
      </c>
      <c r="AB8" s="21">
        <f>5.8+0.2</f>
        <v>6</v>
      </c>
      <c r="AC8" s="22">
        <f>5+0.33+0.33</f>
        <v>5.66</v>
      </c>
      <c r="AD8" s="21">
        <v>0</v>
      </c>
      <c r="AE8" s="9">
        <v>653</v>
      </c>
      <c r="AF8" s="9">
        <v>2192</v>
      </c>
      <c r="AG8" s="23">
        <f t="shared" ca="1" si="19"/>
        <v>1.4656168135103149</v>
      </c>
      <c r="AH8" s="23">
        <f t="shared" ca="1" si="20"/>
        <v>1.4656168135103149</v>
      </c>
      <c r="AI8" s="120">
        <f t="shared" ca="1" si="21"/>
        <v>5.465616813510314</v>
      </c>
      <c r="AJ8" s="120">
        <f t="shared" ca="1" si="22"/>
        <v>5.465616813510314</v>
      </c>
      <c r="AK8" s="8">
        <f t="shared" ca="1" si="23"/>
        <v>2.4246063050663675</v>
      </c>
      <c r="AL8" s="8">
        <f t="shared" ca="1" si="24"/>
        <v>2.1636168135103144</v>
      </c>
      <c r="AM8" s="8">
        <f t="shared" ca="1" si="25"/>
        <v>0.32024934508082514</v>
      </c>
      <c r="AN8" s="8">
        <f t="shared" ca="1" si="26"/>
        <v>0.27259317694572205</v>
      </c>
      <c r="AO8" s="20">
        <v>1</v>
      </c>
      <c r="AP8" s="20">
        <v>2</v>
      </c>
      <c r="AQ8" s="20">
        <v>2</v>
      </c>
      <c r="AR8" s="129">
        <f>IF(AP8=4,IF(AQ8=0,0.137+0.0697,0.137+0.02),IF(AP8=3,IF(AQ8=0,0.0958+0.0697,0.0958+0.02),IF(AP8=2,IF(AQ8=0,0.0415+0.0697,0.0415+0.02),IF(AP8=1,IF(AQ8=0,0.0294+0.0697,0.0294+0.02),IF(AP8=0,IF(AQ8=0,0.0063+0.0697,0.0063+0.02))))))</f>
        <v>6.1499999999999999E-2</v>
      </c>
      <c r="AS8" s="214">
        <v>5020</v>
      </c>
    </row>
    <row r="9" spans="1:45" x14ac:dyDescent="0.25">
      <c r="A9" s="15" t="s">
        <v>364</v>
      </c>
      <c r="B9" s="24" t="s">
        <v>194</v>
      </c>
      <c r="C9" s="121">
        <f ca="1">((33*112)-(E9*112)-(F9))/112</f>
        <v>14.901785714285714</v>
      </c>
      <c r="D9" s="216" t="s">
        <v>301</v>
      </c>
      <c r="E9" s="1">
        <v>18</v>
      </c>
      <c r="F9" s="2">
        <f ca="1">8-159+16-570-5+D2-D1-2-12-112</f>
        <v>11</v>
      </c>
      <c r="G9" s="3" t="s">
        <v>70</v>
      </c>
      <c r="H9" s="4">
        <v>2</v>
      </c>
      <c r="I9" s="5">
        <v>0.5</v>
      </c>
      <c r="J9" s="22">
        <f>LOG(I9)*4/3</f>
        <v>-0.40137332755197491</v>
      </c>
      <c r="K9" s="6">
        <f>(H9)*(H9)*(I9)</f>
        <v>2</v>
      </c>
      <c r="L9" s="6">
        <f>(H9+1)*(H9+1)*I9</f>
        <v>4.5</v>
      </c>
      <c r="M9" s="130">
        <v>43046</v>
      </c>
      <c r="N9" s="131">
        <f ca="1">IF((TODAY()-M9)&gt;335,1,((TODAY()-M9)^0.64)/(336^0.64))</f>
        <v>0.36308330545524814</v>
      </c>
      <c r="O9" s="25">
        <v>6</v>
      </c>
      <c r="P9" s="20">
        <f>O9*10+19</f>
        <v>79</v>
      </c>
      <c r="Q9" s="26">
        <v>7</v>
      </c>
      <c r="R9" s="115">
        <f>(Q9/7)^0.5</f>
        <v>1</v>
      </c>
      <c r="S9" s="115">
        <f>IF(Q9=7,1,((Q9+0.99)/7)^0.5)</f>
        <v>1</v>
      </c>
      <c r="T9" s="29">
        <v>2420</v>
      </c>
      <c r="U9" s="29">
        <f>T9-AS9</f>
        <v>60</v>
      </c>
      <c r="V9" s="7">
        <v>450</v>
      </c>
      <c r="W9" s="8">
        <f>T9/V9</f>
        <v>5.3777777777777782</v>
      </c>
      <c r="X9" s="21">
        <v>0</v>
      </c>
      <c r="Y9" s="22">
        <v>6</v>
      </c>
      <c r="Z9" s="21">
        <v>4</v>
      </c>
      <c r="AA9" s="22">
        <v>4</v>
      </c>
      <c r="AB9" s="21">
        <f>2.67+0.33+0.33*0.16+0.25</f>
        <v>3.3028</v>
      </c>
      <c r="AC9" s="22">
        <f>3+0.33+1/15+1/15+1/15</f>
        <v>3.5300000000000007</v>
      </c>
      <c r="AD9" s="21">
        <v>6</v>
      </c>
      <c r="AE9" s="9">
        <v>459</v>
      </c>
      <c r="AF9" s="9">
        <v>1975</v>
      </c>
      <c r="AG9" s="23">
        <f t="shared" ca="1" si="19"/>
        <v>6.961709977903273</v>
      </c>
      <c r="AH9" s="23">
        <f t="shared" ca="1" si="20"/>
        <v>6.961709977903273</v>
      </c>
      <c r="AI9" s="120">
        <f t="shared" ca="1" si="21"/>
        <v>3.9617099779032734</v>
      </c>
      <c r="AJ9" s="120">
        <f t="shared" ca="1" si="22"/>
        <v>3.9617099779032734</v>
      </c>
      <c r="AK9" s="8">
        <f t="shared" ca="1" si="23"/>
        <v>1.5613412417137273</v>
      </c>
      <c r="AL9" s="8">
        <f t="shared" ca="1" si="24"/>
        <v>5.2207099779032733</v>
      </c>
      <c r="AM9" s="8">
        <f t="shared" ca="1" si="25"/>
        <v>0.35343679823226187</v>
      </c>
      <c r="AN9" s="8">
        <f t="shared" ca="1" si="26"/>
        <v>0.41731969845322914</v>
      </c>
      <c r="AO9" s="20">
        <v>2</v>
      </c>
      <c r="AP9" s="20">
        <v>0</v>
      </c>
      <c r="AQ9" s="20">
        <v>3</v>
      </c>
      <c r="AR9" s="129">
        <f>IF(AP9=4,IF(AQ9=0,0.137+0.0697,0.137+0.02),IF(AP9=3,IF(AQ9=0,0.0958+0.0697,0.0958+0.02),IF(AP9=2,IF(AQ9=0,0.0415+0.0697,0.0415+0.02),IF(AP9=1,IF(AQ9=0,0.0294+0.0697,0.0294+0.02),IF(AP9=0,IF(AQ9=0,0.0063+0.0697,0.0063+0.02))))))</f>
        <v>2.63E-2</v>
      </c>
      <c r="AS9">
        <v>2360</v>
      </c>
    </row>
    <row r="10" spans="1:45" x14ac:dyDescent="0.25">
      <c r="A10" s="15" t="s">
        <v>309</v>
      </c>
      <c r="B10" s="15" t="s">
        <v>194</v>
      </c>
      <c r="C10" s="121">
        <f t="shared" ref="C10" ca="1" si="27">((33*112)-(E10*112)-(F10))/112</f>
        <v>15.330357142857142</v>
      </c>
      <c r="D10" s="216" t="s">
        <v>299</v>
      </c>
      <c r="E10" s="1">
        <v>17</v>
      </c>
      <c r="F10" s="2">
        <f ca="1">8-159+16-570-5+D2-D1-2-60</f>
        <v>75</v>
      </c>
      <c r="G10" s="3" t="s">
        <v>296</v>
      </c>
      <c r="H10" s="4">
        <v>3</v>
      </c>
      <c r="I10" s="5">
        <v>1.3</v>
      </c>
      <c r="J10" s="22">
        <f t="shared" ref="J10" si="28">LOG(I10)*4/3</f>
        <v>0.15192446974244905</v>
      </c>
      <c r="K10" s="6">
        <f t="shared" ref="K10:K11" si="29">(H10)*(H10)*(I10)</f>
        <v>11.700000000000001</v>
      </c>
      <c r="L10" s="6">
        <f t="shared" ref="L10:L11" si="30">(H10+1)*(H10+1)*I10</f>
        <v>20.8</v>
      </c>
      <c r="M10" s="130">
        <v>43045</v>
      </c>
      <c r="N10" s="131">
        <f t="shared" ref="N10" ca="1" si="31">IF((TODAY()-M10)&gt;335,1,((TODAY()-M10)^0.64)/(336^0.64))</f>
        <v>0.36644230651630028</v>
      </c>
      <c r="O10" s="25">
        <v>5.6</v>
      </c>
      <c r="P10" s="20">
        <f t="shared" ref="P10:P11" si="32">O10*10+19</f>
        <v>75</v>
      </c>
      <c r="Q10" s="26">
        <v>7</v>
      </c>
      <c r="R10" s="115">
        <f t="shared" ref="R10" si="33">(Q10/7)^0.5</f>
        <v>1</v>
      </c>
      <c r="S10" s="115">
        <f t="shared" ref="S10" si="34">IF(Q10=7,1,((Q10+0.99)/7)^0.5)</f>
        <v>1</v>
      </c>
      <c r="T10" s="29">
        <v>1150</v>
      </c>
      <c r="U10" s="29">
        <f t="shared" ref="U10" si="35">T10-AS10</f>
        <v>10</v>
      </c>
      <c r="V10" s="7">
        <v>330</v>
      </c>
      <c r="W10" s="8">
        <f t="shared" ref="W10:W11" si="36">T10/V10</f>
        <v>3.4848484848484849</v>
      </c>
      <c r="X10" s="21">
        <v>0</v>
      </c>
      <c r="Y10" s="22">
        <v>5</v>
      </c>
      <c r="Z10" s="21">
        <v>3</v>
      </c>
      <c r="AA10" s="22">
        <v>4</v>
      </c>
      <c r="AB10" s="21">
        <f>2+(0.33*0.16)+0.33+(0.33*0.16)</f>
        <v>2.4356</v>
      </c>
      <c r="AC10" s="22">
        <f>3.73+1/15+1/15+1/15+1/15</f>
        <v>3.9966666666666675</v>
      </c>
      <c r="AD10" s="21">
        <v>3</v>
      </c>
      <c r="AE10" s="9">
        <v>381</v>
      </c>
      <c r="AF10" s="9">
        <v>1920</v>
      </c>
      <c r="AG10" s="23">
        <f t="shared" ca="1" si="19"/>
        <v>4.5183667762587492</v>
      </c>
      <c r="AH10" s="23">
        <f t="shared" ca="1" si="20"/>
        <v>4.5183667762587492</v>
      </c>
      <c r="AI10" s="120">
        <f t="shared" ca="1" si="21"/>
        <v>3.5183667762587496</v>
      </c>
      <c r="AJ10" s="120">
        <f t="shared" ca="1" si="22"/>
        <v>3.5183667762587496</v>
      </c>
      <c r="AK10" s="8">
        <f t="shared" ca="1" si="23"/>
        <v>1.4282875410970308</v>
      </c>
      <c r="AL10" s="8">
        <f t="shared" ca="1" si="24"/>
        <v>3.8173667762587495</v>
      </c>
      <c r="AM10" s="8">
        <f t="shared" ca="1" si="25"/>
        <v>0.3313026754340333</v>
      </c>
      <c r="AN10" s="8">
        <f t="shared" ca="1" si="26"/>
        <v>0.32628567433811251</v>
      </c>
      <c r="AO10" s="20">
        <v>3</v>
      </c>
      <c r="AP10" s="20">
        <v>1</v>
      </c>
      <c r="AQ10" s="20">
        <v>2</v>
      </c>
      <c r="AR10" s="129">
        <f t="shared" ref="AR10" si="37">IF(AP10=4,IF(AQ10=0,0.137+0.0697,0.137+0.02),IF(AP10=3,IF(AQ10=0,0.0958+0.0697,0.0958+0.02),IF(AP10=2,IF(AQ10=0,0.0415+0.0697,0.0415+0.02),IF(AP10=1,IF(AQ10=0,0.0294+0.0697,0.0294+0.02),IF(AP10=0,IF(AQ10=0,0.0063+0.0697,0.0063+0.02))))))</f>
        <v>4.9399999999999999E-2</v>
      </c>
      <c r="AS10">
        <v>1140</v>
      </c>
    </row>
    <row r="11" spans="1:45" x14ac:dyDescent="0.25">
      <c r="A11" s="15" t="s">
        <v>35</v>
      </c>
      <c r="B11" s="15" t="s">
        <v>194</v>
      </c>
      <c r="C11" s="121">
        <f ca="1">((33*112)-(E11*112)-(F11))/112</f>
        <v>15.517857142857142</v>
      </c>
      <c r="D11" s="223" t="s">
        <v>453</v>
      </c>
      <c r="E11" s="16">
        <v>17</v>
      </c>
      <c r="F11" s="2">
        <f ca="1">-35+D2-D1-67-112-112-112+87-112-112-112-112+6</f>
        <v>54</v>
      </c>
      <c r="G11" s="18" t="s">
        <v>45</v>
      </c>
      <c r="H11" s="40">
        <v>6</v>
      </c>
      <c r="I11" s="27">
        <v>1.1000000000000001</v>
      </c>
      <c r="J11" s="22">
        <f>LOG(I11)*4/3</f>
        <v>5.5190246877633437E-2</v>
      </c>
      <c r="K11" s="6">
        <f t="shared" si="29"/>
        <v>39.6</v>
      </c>
      <c r="L11" s="6">
        <f t="shared" si="30"/>
        <v>53.900000000000006</v>
      </c>
      <c r="M11" s="130">
        <v>43097</v>
      </c>
      <c r="N11" s="131">
        <f ca="1">IF((TODAY()-M11)&gt;335,1,((TODAY()-M11)^0.64)/(336^0.64))</f>
        <v>0.15364458747949647</v>
      </c>
      <c r="O11" s="25">
        <v>3.8</v>
      </c>
      <c r="P11" s="20">
        <f t="shared" si="32"/>
        <v>57</v>
      </c>
      <c r="Q11" s="20">
        <v>2</v>
      </c>
      <c r="R11" s="115">
        <f>(Q11/7)^0.5</f>
        <v>0.53452248382484879</v>
      </c>
      <c r="S11" s="115">
        <f>IF(Q11=7,1,((Q11+0.99)/7)^0.5)</f>
        <v>0.65356167049702141</v>
      </c>
      <c r="T11" s="29">
        <v>830</v>
      </c>
      <c r="U11" s="29">
        <f>T11-AS11</f>
        <v>-60</v>
      </c>
      <c r="V11" s="29">
        <v>350</v>
      </c>
      <c r="W11" s="8">
        <f t="shared" si="36"/>
        <v>2.3714285714285714</v>
      </c>
      <c r="X11" s="21">
        <v>0</v>
      </c>
      <c r="Y11" s="22">
        <v>6</v>
      </c>
      <c r="Z11" s="21">
        <v>3</v>
      </c>
      <c r="AA11" s="22">
        <v>3</v>
      </c>
      <c r="AB11" s="21">
        <v>3</v>
      </c>
      <c r="AC11" s="22">
        <f>5+0.25</f>
        <v>5.25</v>
      </c>
      <c r="AD11" s="21">
        <v>4</v>
      </c>
      <c r="AE11" s="9">
        <v>460</v>
      </c>
      <c r="AF11" s="9">
        <v>2039</v>
      </c>
      <c r="AG11" s="23">
        <f ca="1">(AD11+1+(LOG(I11)*4/3)+N11)*(Q11/7)^0.5</f>
        <v>2.7842393334939679</v>
      </c>
      <c r="AH11" s="23">
        <f ca="1">(AD11+1+N11+(LOG(I11)*4/3))*(IF(Q11=7, (Q11/7)^0.5, ((Q11+1)/7)^0.5))</f>
        <v>3.4099828444234728</v>
      </c>
      <c r="AI11" s="120">
        <f t="shared" ca="1" si="21"/>
        <v>1.7151943658442703</v>
      </c>
      <c r="AJ11" s="120">
        <f t="shared" ca="1" si="22"/>
        <v>2.1006755030075186</v>
      </c>
      <c r="AK11" s="8">
        <f t="shared" ca="1" si="23"/>
        <v>0.84364381862591964</v>
      </c>
      <c r="AL11" s="8">
        <f ca="1">(AD11+LOG(I11)*4/3+N11)*0.7+(AC11+LOG(I11)*4/3+N11)*0.3</f>
        <v>4.5838348343571296</v>
      </c>
      <c r="AM11" s="8">
        <f ca="1">(0.5*(AC11+LOG(I11)*4/3+N11)+ 0.3*(AD11+LOG(I11)*4/3+N11))/10</f>
        <v>0.39920678674857035</v>
      </c>
      <c r="AN11" s="8">
        <f ca="1">(0.4*(Y11+LOG(I11)*4/3+N11)+0.3*(AD11+LOG(I11)*4/3+N11))/10</f>
        <v>0.37461843840499903</v>
      </c>
      <c r="AO11" s="20">
        <v>2</v>
      </c>
      <c r="AP11" s="20">
        <v>3</v>
      </c>
      <c r="AQ11" s="20">
        <v>1</v>
      </c>
      <c r="AR11" s="129">
        <f>IF(AP11=4,IF(AQ11=0,0.137+0.0697,0.137+0.02),IF(AP11=3,IF(AQ11=0,0.0958+0.0697,0.0958+0.02),IF(AP11=2,IF(AQ11=0,0.0415+0.0697,0.0415+0.02),IF(AP11=1,IF(AQ11=0,0.0294+0.0697,0.0294+0.02),IF(AP11=0,IF(AQ11=0,0.0063+0.0697,0.0063+0.02))))))</f>
        <v>0.1158</v>
      </c>
      <c r="AS11">
        <v>890</v>
      </c>
    </row>
    <row r="12" spans="1:45" x14ac:dyDescent="0.25">
      <c r="A12" s="15" t="s">
        <v>293</v>
      </c>
      <c r="B12" s="15" t="s">
        <v>95</v>
      </c>
      <c r="C12" s="121">
        <f ca="1">((33*112)-(E12*112)-(F12))/112</f>
        <v>14.964285714285714</v>
      </c>
      <c r="D12" s="215" t="s">
        <v>295</v>
      </c>
      <c r="E12" s="16">
        <v>18</v>
      </c>
      <c r="F12" s="17">
        <f ca="1">8-159+16-570-5+D2-D1-2-19-112</f>
        <v>4</v>
      </c>
      <c r="G12" s="18" t="s">
        <v>296</v>
      </c>
      <c r="H12" s="4">
        <v>3</v>
      </c>
      <c r="I12" s="27">
        <v>0.5</v>
      </c>
      <c r="J12" s="22">
        <f>LOG(I12)*4/3</f>
        <v>-0.40137332755197491</v>
      </c>
      <c r="K12" s="6">
        <f>(H12)*(H12)*(I12)</f>
        <v>4.5</v>
      </c>
      <c r="L12" s="6">
        <f>(H12+1)*(H12+1)*I12</f>
        <v>8</v>
      </c>
      <c r="M12" s="130">
        <v>43045</v>
      </c>
      <c r="N12" s="131">
        <f ca="1">IF((TODAY()-M12)&gt;335,1,((TODAY()-M12)^0.64)/(336^0.64))</f>
        <v>0.36644230651630028</v>
      </c>
      <c r="O12" s="19">
        <v>5.7</v>
      </c>
      <c r="P12" s="20">
        <f>O12*10+19</f>
        <v>76</v>
      </c>
      <c r="Q12" s="20">
        <v>7</v>
      </c>
      <c r="R12" s="115">
        <f>(Q12/7)^0.5</f>
        <v>1</v>
      </c>
      <c r="S12" s="115">
        <f>IF(Q12=7,1,((Q12+0.99)/7)^0.5)</f>
        <v>1</v>
      </c>
      <c r="T12" s="29">
        <v>1720</v>
      </c>
      <c r="U12" s="29">
        <f>T12-AS12</f>
        <v>10</v>
      </c>
      <c r="V12" s="29">
        <v>370</v>
      </c>
      <c r="W12" s="8">
        <f>T12/V12</f>
        <v>4.6486486486486482</v>
      </c>
      <c r="X12" s="21">
        <v>0</v>
      </c>
      <c r="Y12" s="22">
        <v>3</v>
      </c>
      <c r="Z12" s="21">
        <v>6</v>
      </c>
      <c r="AA12" s="22">
        <v>3</v>
      </c>
      <c r="AB12" s="21">
        <f>3.25+0.25+0.25+0.25</f>
        <v>4</v>
      </c>
      <c r="AC12" s="22">
        <f>4.22+0.33+0.33+1/17+1/17</f>
        <v>4.9976470588235289</v>
      </c>
      <c r="AD12" s="21">
        <v>3</v>
      </c>
      <c r="AE12" s="9">
        <v>461</v>
      </c>
      <c r="AF12" s="9">
        <v>1941</v>
      </c>
      <c r="AG12" s="23">
        <f t="shared" ca="1" si="19"/>
        <v>3.9650689789643252</v>
      </c>
      <c r="AH12" s="23">
        <f t="shared" ca="1" si="20"/>
        <v>3.9650689789643256</v>
      </c>
      <c r="AI12" s="120">
        <f t="shared" ca="1" si="21"/>
        <v>5.9650689789643252</v>
      </c>
      <c r="AJ12" s="120">
        <f t="shared" ca="1" si="22"/>
        <v>5.9650689789643252</v>
      </c>
      <c r="AK12" s="8">
        <f t="shared" ca="1" si="23"/>
        <v>1.3619008671116219</v>
      </c>
      <c r="AL12" s="8">
        <f t="shared" ca="1" si="24"/>
        <v>3.564363096611384</v>
      </c>
      <c r="AM12" s="8">
        <f t="shared" ca="1" si="25"/>
        <v>0.33708787125832246</v>
      </c>
      <c r="AN12" s="8">
        <f t="shared" ca="1" si="26"/>
        <v>0.20755482852750276</v>
      </c>
      <c r="AO12" s="20">
        <v>2</v>
      </c>
      <c r="AP12" s="20">
        <v>3</v>
      </c>
      <c r="AQ12" s="20">
        <v>2</v>
      </c>
      <c r="AR12" s="129">
        <f>IF(AP12=4,IF(AQ12=0,0.137+0.0697,0.137+0.02),IF(AP12=3,IF(AQ12=0,0.0958+0.0697,0.0958+0.02),IF(AP12=2,IF(AQ12=0,0.0415+0.0697,0.0415+0.02),IF(AP12=1,IF(AQ12=0,0.0294+0.0697,0.0294+0.02),IF(AP12=0,IF(AQ12=0,0.0063+0.0697,0.0063+0.02))))))</f>
        <v>0.1158</v>
      </c>
      <c r="AS12">
        <v>1710</v>
      </c>
    </row>
    <row r="13" spans="1:45" x14ac:dyDescent="0.25">
      <c r="A13" s="15" t="s">
        <v>367</v>
      </c>
      <c r="B13" s="24" t="s">
        <v>95</v>
      </c>
      <c r="C13" s="121">
        <f ca="1">((33*112)-(E13*112)-(F13))/112</f>
        <v>15.071428571428571</v>
      </c>
      <c r="D13" s="216" t="s">
        <v>300</v>
      </c>
      <c r="E13" s="1">
        <v>17</v>
      </c>
      <c r="F13" s="2">
        <f ca="1">8-159+16-570-5+D2-D1-2-31</f>
        <v>104</v>
      </c>
      <c r="G13" s="3" t="s">
        <v>0</v>
      </c>
      <c r="H13" s="4">
        <v>4</v>
      </c>
      <c r="I13" s="5">
        <v>0.5</v>
      </c>
      <c r="J13" s="22">
        <f>LOG(I13)*4/3</f>
        <v>-0.40137332755197491</v>
      </c>
      <c r="K13" s="6">
        <f>(H13)*(H13)*(I13)</f>
        <v>8</v>
      </c>
      <c r="L13" s="6">
        <f>(H13+1)*(H13+1)*I13</f>
        <v>12.5</v>
      </c>
      <c r="M13" s="130">
        <v>43046</v>
      </c>
      <c r="N13" s="131">
        <f ca="1">IF((TODAY()-M13)&gt;335,1,((TODAY()-M13)^0.64)/(336^0.64))</f>
        <v>0.36308330545524814</v>
      </c>
      <c r="O13" s="25">
        <v>5.4</v>
      </c>
      <c r="P13" s="20">
        <f>O13*10+19</f>
        <v>73</v>
      </c>
      <c r="Q13" s="26">
        <v>5</v>
      </c>
      <c r="R13" s="115">
        <f>(Q13/7)^0.5</f>
        <v>0.84515425472851657</v>
      </c>
      <c r="S13" s="115">
        <f>IF(Q13=7,1,((Q13+0.99)/7)^0.5)</f>
        <v>0.92504826128926143</v>
      </c>
      <c r="T13" s="29">
        <v>1120</v>
      </c>
      <c r="U13" s="29">
        <f>T13-AS13</f>
        <v>-10</v>
      </c>
      <c r="V13" s="7">
        <v>330</v>
      </c>
      <c r="W13" s="8">
        <f>T13/V13</f>
        <v>3.393939393939394</v>
      </c>
      <c r="X13" s="21">
        <v>0</v>
      </c>
      <c r="Y13" s="22">
        <v>2</v>
      </c>
      <c r="Z13" s="21">
        <v>5</v>
      </c>
      <c r="AA13" s="22">
        <v>3</v>
      </c>
      <c r="AB13" s="21">
        <f>2+(0.33*0.16)+(0.33*0.16)+(0.33*0.16)</f>
        <v>2.1583999999999999</v>
      </c>
      <c r="AC13" s="22">
        <f>5+1/20+1/20+1/20+1/20</f>
        <v>5.1999999999999993</v>
      </c>
      <c r="AD13" s="21">
        <v>5</v>
      </c>
      <c r="AE13" s="9">
        <v>367</v>
      </c>
      <c r="AF13" s="9">
        <v>1910</v>
      </c>
      <c r="AG13" s="23">
        <f t="shared" ca="1" si="19"/>
        <v>5.0385645532824013</v>
      </c>
      <c r="AH13" s="23">
        <f t="shared" ca="1" si="20"/>
        <v>5.5194709265574238</v>
      </c>
      <c r="AI13" s="120">
        <f t="shared" ca="1" si="21"/>
        <v>4.1934102985538848</v>
      </c>
      <c r="AJ13" s="120">
        <f t="shared" ca="1" si="22"/>
        <v>4.5936508267848719</v>
      </c>
      <c r="AK13" s="8">
        <f t="shared" ca="1" si="23"/>
        <v>0.65519843387537513</v>
      </c>
      <c r="AL13" s="8">
        <f t="shared" ca="1" si="24"/>
        <v>5.0217099779032726</v>
      </c>
      <c r="AM13" s="8">
        <f t="shared" ca="1" si="25"/>
        <v>0.40693679823226175</v>
      </c>
      <c r="AN13" s="8">
        <f t="shared" ca="1" si="26"/>
        <v>0.22731969845322914</v>
      </c>
      <c r="AO13" s="20">
        <v>4</v>
      </c>
      <c r="AP13" s="20">
        <v>2</v>
      </c>
      <c r="AQ13" s="20">
        <v>2</v>
      </c>
      <c r="AR13" s="129">
        <f>IF(AP13=4,IF(AQ13=0,0.137+0.0697,0.137+0.02),IF(AP13=3,IF(AQ13=0,0.0958+0.0697,0.0958+0.02),IF(AP13=2,IF(AQ13=0,0.0415+0.0697,0.0415+0.02),IF(AP13=1,IF(AQ13=0,0.0294+0.0697,0.0294+0.02),IF(AP13=0,IF(AQ13=0,0.0063+0.0697,0.0063+0.02))))))</f>
        <v>6.1499999999999999E-2</v>
      </c>
      <c r="AS13">
        <v>1130</v>
      </c>
    </row>
    <row r="14" spans="1:45" x14ac:dyDescent="0.25">
      <c r="A14" s="15" t="s">
        <v>371</v>
      </c>
      <c r="B14" s="15" t="s">
        <v>95</v>
      </c>
      <c r="C14" s="121">
        <f t="shared" ref="C14:C15" ca="1" si="38">((33*112)-(E14*112)-(F14))/112</f>
        <v>15.339285714285714</v>
      </c>
      <c r="D14" s="215" t="s">
        <v>302</v>
      </c>
      <c r="E14" s="16">
        <v>17</v>
      </c>
      <c r="F14" s="2">
        <f ca="1">8-159+16-570-5+D2-D1-2-12-49</f>
        <v>74</v>
      </c>
      <c r="G14" s="18" t="s">
        <v>177</v>
      </c>
      <c r="H14" s="4">
        <v>3</v>
      </c>
      <c r="I14" s="27">
        <v>0.5</v>
      </c>
      <c r="J14" s="22">
        <f t="shared" ref="J14:J15" si="39">LOG(I14)*4/3</f>
        <v>-0.40137332755197491</v>
      </c>
      <c r="K14" s="6">
        <f t="shared" ref="K14:K15" si="40">(H14)*(H14)*(I14)</f>
        <v>4.5</v>
      </c>
      <c r="L14" s="6">
        <f t="shared" ref="L14:L15" si="41">(H14+1)*(H14+1)*I14</f>
        <v>8</v>
      </c>
      <c r="M14" s="130">
        <v>43046</v>
      </c>
      <c r="N14" s="131">
        <f t="shared" ref="N14:N15" ca="1" si="42">IF((TODAY()-M14)&gt;335,1,((TODAY()-M14)^0.64)/(336^0.64))</f>
        <v>0.36308330545524814</v>
      </c>
      <c r="O14" s="19">
        <v>4.3</v>
      </c>
      <c r="P14" s="20">
        <f t="shared" ref="P14:P15" si="43">O14*10+19</f>
        <v>62</v>
      </c>
      <c r="Q14" s="26">
        <v>6</v>
      </c>
      <c r="R14" s="115">
        <f t="shared" ref="R14:R15" si="44">(Q14/7)^0.5</f>
        <v>0.92582009977255142</v>
      </c>
      <c r="S14" s="115">
        <f t="shared" ref="S14:S15" si="45">IF(Q14=7,1,((Q14+0.99)/7)^0.5)</f>
        <v>0.99928545900129484</v>
      </c>
      <c r="T14" s="29">
        <v>690</v>
      </c>
      <c r="U14" s="29">
        <f t="shared" ref="U14:U16" si="46">T14-AS14</f>
        <v>0</v>
      </c>
      <c r="V14" s="29">
        <v>270</v>
      </c>
      <c r="W14" s="8">
        <f t="shared" ref="W14:W15" si="47">T14/V14</f>
        <v>2.5555555555555554</v>
      </c>
      <c r="X14" s="21">
        <v>0</v>
      </c>
      <c r="Y14" s="22">
        <v>3</v>
      </c>
      <c r="Z14" s="21">
        <v>4</v>
      </c>
      <c r="AA14" s="22">
        <v>4</v>
      </c>
      <c r="AB14" s="21">
        <f>3+(0.25*0.16*31/90)+(0.25*0.16*3/90)</f>
        <v>3.0151111111111111</v>
      </c>
      <c r="AC14" s="22">
        <f>4+1/17</f>
        <v>4.0588235294117645</v>
      </c>
      <c r="AD14" s="21">
        <v>1.3</v>
      </c>
      <c r="AE14" s="9">
        <v>352</v>
      </c>
      <c r="AF14" s="9">
        <v>1986</v>
      </c>
      <c r="AG14" s="23">
        <f t="shared" ca="1" si="19"/>
        <v>2.0939365573989837</v>
      </c>
      <c r="AH14" s="23">
        <f t="shared" ca="1" si="20"/>
        <v>2.2617099779032732</v>
      </c>
      <c r="AI14" s="120">
        <f t="shared" ca="1" si="21"/>
        <v>3.6678307270123209</v>
      </c>
      <c r="AJ14" s="120">
        <f t="shared" ca="1" si="22"/>
        <v>3.9617099779032734</v>
      </c>
      <c r="AK14" s="8">
        <f t="shared" ca="1" si="23"/>
        <v>1.0317515278140543</v>
      </c>
      <c r="AL14" s="8">
        <f t="shared" ca="1" si="24"/>
        <v>2.0893570367268026</v>
      </c>
      <c r="AM14" s="8">
        <f t="shared" ca="1" si="25"/>
        <v>0.23887797470285008</v>
      </c>
      <c r="AN14" s="8">
        <f t="shared" ca="1" si="26"/>
        <v>0.15631969845322913</v>
      </c>
      <c r="AO14" s="20">
        <v>1</v>
      </c>
      <c r="AP14" s="20">
        <v>3</v>
      </c>
      <c r="AQ14" s="20">
        <v>1</v>
      </c>
      <c r="AR14" s="129">
        <f t="shared" ref="AR14:AR15" si="48">IF(AP14=4,IF(AQ14=0,0.137+0.0697,0.137+0.02),IF(AP14=3,IF(AQ14=0,0.0958+0.0697,0.0958+0.02),IF(AP14=2,IF(AQ14=0,0.0415+0.0697,0.0415+0.02),IF(AP14=1,IF(AQ14=0,0.0294+0.0697,0.0294+0.02),IF(AP14=0,IF(AQ14=0,0.0063+0.0697,0.0063+0.02))))))</f>
        <v>0.1158</v>
      </c>
      <c r="AS14">
        <v>690</v>
      </c>
    </row>
    <row r="15" spans="1:45" x14ac:dyDescent="0.25">
      <c r="A15" s="15" t="s">
        <v>583</v>
      </c>
      <c r="B15" s="15" t="s">
        <v>95</v>
      </c>
      <c r="C15" s="121">
        <f t="shared" ca="1" si="38"/>
        <v>13.919642857142858</v>
      </c>
      <c r="D15" s="215" t="s">
        <v>584</v>
      </c>
      <c r="E15" s="16">
        <v>19</v>
      </c>
      <c r="F15" s="2">
        <f ca="1">8-159+16-570-5+D2-D1-2-12-49-65</f>
        <v>9</v>
      </c>
      <c r="G15" s="18"/>
      <c r="H15" s="4">
        <v>5</v>
      </c>
      <c r="I15" s="27">
        <v>1</v>
      </c>
      <c r="J15" s="22">
        <f t="shared" si="39"/>
        <v>0</v>
      </c>
      <c r="K15" s="6">
        <f t="shared" si="40"/>
        <v>25</v>
      </c>
      <c r="L15" s="6">
        <f t="shared" si="41"/>
        <v>36</v>
      </c>
      <c r="M15" s="130">
        <v>43108</v>
      </c>
      <c r="N15" s="131">
        <f t="shared" ca="1" si="42"/>
        <v>8.394708266038052E-2</v>
      </c>
      <c r="O15" s="19">
        <v>3.5</v>
      </c>
      <c r="P15" s="20">
        <f t="shared" si="43"/>
        <v>54</v>
      </c>
      <c r="Q15" s="26">
        <v>5</v>
      </c>
      <c r="R15" s="115">
        <f t="shared" si="44"/>
        <v>0.84515425472851657</v>
      </c>
      <c r="S15" s="115">
        <f t="shared" si="45"/>
        <v>0.92504826128926143</v>
      </c>
      <c r="T15" s="29">
        <v>940</v>
      </c>
      <c r="U15" s="29">
        <f t="shared" si="46"/>
        <v>0</v>
      </c>
      <c r="V15" s="29">
        <v>330</v>
      </c>
      <c r="W15" s="8">
        <f t="shared" si="47"/>
        <v>2.8484848484848486</v>
      </c>
      <c r="X15" s="21">
        <v>0</v>
      </c>
      <c r="Y15" s="22">
        <v>4</v>
      </c>
      <c r="Z15" s="21">
        <v>5</v>
      </c>
      <c r="AA15" s="22">
        <v>2</v>
      </c>
      <c r="AB15" s="21">
        <v>3</v>
      </c>
      <c r="AC15" s="22">
        <v>5</v>
      </c>
      <c r="AD15" s="21">
        <v>2</v>
      </c>
      <c r="AE15" s="9">
        <v>414</v>
      </c>
      <c r="AF15" s="9">
        <v>1728</v>
      </c>
      <c r="AG15" s="23">
        <f t="shared" ca="1" si="19"/>
        <v>2.6064109982680166</v>
      </c>
      <c r="AH15" s="23">
        <f t="shared" ca="1" si="20"/>
        <v>2.8551801957619025</v>
      </c>
      <c r="AI15" s="120">
        <f t="shared" ca="1" si="21"/>
        <v>4.29671950772505</v>
      </c>
      <c r="AJ15" s="120">
        <f t="shared" ca="1" si="22"/>
        <v>4.7068203953070045</v>
      </c>
      <c r="AK15" s="8">
        <f t="shared" ref="AK15" ca="1" si="49">(((Y15+LOG(I15)*4/3+N15)+(AB15+LOG(I15)*4/3+N15)*2)/8)*(Q15/7)^0.5</f>
        <v>1.0830484061915708</v>
      </c>
      <c r="AL15" s="8">
        <f t="shared" ref="AL15" ca="1" si="50">(AD15+LOG(I15)*4/3+N15)*0.7+(AC15+LOG(I15)*4/3+N15)*0.3</f>
        <v>2.9839470826603804</v>
      </c>
      <c r="AM15" s="8">
        <f t="shared" ref="AM15" ca="1" si="51">(0.5*(AC15+LOG(I15)*4/3+N15)+ 0.3*(AD15+LOG(I15)*4/3+N15))/10</f>
        <v>0.31671576661283041</v>
      </c>
      <c r="AN15" s="8">
        <f t="shared" ca="1" si="26"/>
        <v>0.22587629578622664</v>
      </c>
      <c r="AO15" s="20">
        <v>2</v>
      </c>
      <c r="AP15" s="20">
        <v>2</v>
      </c>
      <c r="AQ15" s="20">
        <v>2</v>
      </c>
      <c r="AR15" s="129">
        <f t="shared" si="48"/>
        <v>6.1499999999999999E-2</v>
      </c>
      <c r="AS15" s="193">
        <v>940</v>
      </c>
    </row>
    <row r="16" spans="1:45" x14ac:dyDescent="0.25">
      <c r="A16" s="15" t="s">
        <v>31</v>
      </c>
      <c r="B16" s="15" t="s">
        <v>71</v>
      </c>
      <c r="C16" s="121">
        <f ca="1">((33*112)-(E16*112)-(F16))/112</f>
        <v>15.330357142857142</v>
      </c>
      <c r="D16" s="222" t="s">
        <v>294</v>
      </c>
      <c r="E16" s="16">
        <v>17</v>
      </c>
      <c r="F16" s="17">
        <f ca="1">8-159+16-570-5+D2-D1-62</f>
        <v>75</v>
      </c>
      <c r="G16" s="18" t="s">
        <v>45</v>
      </c>
      <c r="H16" s="4">
        <v>1</v>
      </c>
      <c r="I16" s="27">
        <v>1.4</v>
      </c>
      <c r="J16" s="22">
        <f>LOG(I16)*4/3</f>
        <v>0.19483738090431735</v>
      </c>
      <c r="K16" s="6">
        <f>(H16)*(H16)*(I16)</f>
        <v>1.4</v>
      </c>
      <c r="L16" s="6">
        <f>(H16+1)*(H16+1)*I16</f>
        <v>5.6</v>
      </c>
      <c r="M16" s="130">
        <v>43046</v>
      </c>
      <c r="N16" s="131">
        <v>1.5</v>
      </c>
      <c r="O16" s="19">
        <v>5.6</v>
      </c>
      <c r="P16" s="20">
        <f>O16*10+19</f>
        <v>75</v>
      </c>
      <c r="Q16" s="20">
        <v>6</v>
      </c>
      <c r="R16" s="115">
        <f>(Q16/7)^0.5</f>
        <v>0.92582009977255142</v>
      </c>
      <c r="S16" s="115">
        <f>IF(Q16=7,1,((Q16+0.99)/7)^0.5)</f>
        <v>0.99928545900129484</v>
      </c>
      <c r="T16" s="29">
        <v>2810</v>
      </c>
      <c r="U16" s="29">
        <f t="shared" si="46"/>
        <v>270</v>
      </c>
      <c r="V16" s="29">
        <v>350</v>
      </c>
      <c r="W16" s="8">
        <f>T16/V16</f>
        <v>8.0285714285714285</v>
      </c>
      <c r="X16" s="21">
        <v>0</v>
      </c>
      <c r="Y16" s="22">
        <v>2</v>
      </c>
      <c r="Z16" s="21">
        <v>5.7</v>
      </c>
      <c r="AA16" s="22">
        <v>5.5</v>
      </c>
      <c r="AB16" s="21">
        <f>4.75+0.25+0.25+0.25</f>
        <v>5.5</v>
      </c>
      <c r="AC16" s="22">
        <f>4+0.33+0.33</f>
        <v>4.66</v>
      </c>
      <c r="AD16" s="21">
        <v>5</v>
      </c>
      <c r="AE16" s="9">
        <v>449</v>
      </c>
      <c r="AF16" s="9">
        <v>2008</v>
      </c>
      <c r="AG16" s="23">
        <f t="shared" si="19"/>
        <v>7.1240351117223932</v>
      </c>
      <c r="AH16" s="23">
        <f t="shared" si="20"/>
        <v>7.6948373809043176</v>
      </c>
      <c r="AI16" s="120">
        <f t="shared" si="21"/>
        <v>6.8462890817906281</v>
      </c>
      <c r="AJ16" s="120">
        <f t="shared" si="22"/>
        <v>7.3948373809043177</v>
      </c>
      <c r="AK16" s="8">
        <f t="shared" si="23"/>
        <v>2.0928756045380528</v>
      </c>
      <c r="AL16" s="8">
        <f t="shared" si="24"/>
        <v>6.5928373809043173</v>
      </c>
      <c r="AM16" s="8">
        <f t="shared" si="25"/>
        <v>0.51858699047234535</v>
      </c>
      <c r="AN16" s="8">
        <f t="shared" si="26"/>
        <v>0.34863861666330226</v>
      </c>
      <c r="AO16" s="20">
        <v>4</v>
      </c>
      <c r="AP16" s="20">
        <v>3</v>
      </c>
      <c r="AQ16" s="20">
        <v>2</v>
      </c>
      <c r="AR16" s="129">
        <f>IF(AP16=4,IF(AQ16=0,0.137+0.0697,0.137+0.02),IF(AP16=3,IF(AQ16=0,0.0958+0.0697,0.0958+0.02),IF(AP16=2,IF(AQ16=0,0.0415+0.0697,0.0415+0.02),IF(AP16=1,IF(AQ16=0,0.0294+0.0697,0.0294+0.02),IF(AP16=0,IF(AQ16=0,0.0063+0.0697,0.0063+0.02))))))</f>
        <v>0.1158</v>
      </c>
      <c r="AS16">
        <v>2540</v>
      </c>
    </row>
    <row r="17" spans="1:45" x14ac:dyDescent="0.25">
      <c r="A17" s="15" t="s">
        <v>36</v>
      </c>
      <c r="B17" s="15" t="s">
        <v>71</v>
      </c>
      <c r="C17" s="121">
        <f ca="1">((33*112)-(E17*112)-(F17))/112</f>
        <v>15.330357142857142</v>
      </c>
      <c r="D17" s="222" t="s">
        <v>384</v>
      </c>
      <c r="E17" s="16">
        <v>17</v>
      </c>
      <c r="F17" s="2">
        <f ca="1">8-159+16-570-5+D2-D1-2-31-25-4</f>
        <v>75</v>
      </c>
      <c r="G17" s="18" t="s">
        <v>296</v>
      </c>
      <c r="H17" s="40">
        <v>6</v>
      </c>
      <c r="I17" s="27">
        <v>1.2</v>
      </c>
      <c r="J17" s="22">
        <f>LOG(I17)*4/3</f>
        <v>0.10557499473016642</v>
      </c>
      <c r="K17" s="6">
        <f>(H17)*(H17)*(I17)</f>
        <v>43.199999999999996</v>
      </c>
      <c r="L17" s="6">
        <f>(H17+1)*(H17+1)*I17</f>
        <v>58.8</v>
      </c>
      <c r="M17" s="130">
        <v>43054</v>
      </c>
      <c r="N17" s="131">
        <f ca="1">IF((TODAY()-M17)&gt;335,1,((TODAY()-M17)^0.64)/(336^0.64))</f>
        <v>0.33554746092703608</v>
      </c>
      <c r="O17" s="19">
        <v>5.0999999999999996</v>
      </c>
      <c r="P17" s="20">
        <f>O17*10+19</f>
        <v>70</v>
      </c>
      <c r="Q17" s="26">
        <v>6</v>
      </c>
      <c r="R17" s="115">
        <f>(Q17/7)^0.5</f>
        <v>0.92582009977255142</v>
      </c>
      <c r="S17" s="115">
        <f>IF(Q17=7,1,((Q17+0.99)/7)^0.5)</f>
        <v>0.99928545900129484</v>
      </c>
      <c r="T17" s="29">
        <v>1640</v>
      </c>
      <c r="U17" s="29">
        <f>T17-AS17</f>
        <v>150</v>
      </c>
      <c r="V17" s="29">
        <v>290</v>
      </c>
      <c r="W17" s="8">
        <f>T17/V17</f>
        <v>5.6551724137931032</v>
      </c>
      <c r="X17" s="21">
        <v>0</v>
      </c>
      <c r="Y17" s="22">
        <v>3</v>
      </c>
      <c r="Z17" s="21">
        <v>5</v>
      </c>
      <c r="AA17" s="22">
        <v>4</v>
      </c>
      <c r="AB17" s="21">
        <f>4+0.25</f>
        <v>4.25</v>
      </c>
      <c r="AC17" s="22">
        <f>4+0.34+0.33+0.33</f>
        <v>5</v>
      </c>
      <c r="AD17" s="21">
        <v>3</v>
      </c>
      <c r="AE17" s="9">
        <v>444</v>
      </c>
      <c r="AF17" s="9">
        <v>1983</v>
      </c>
      <c r="AG17" s="23">
        <f t="shared" ca="1" si="19"/>
        <v>4.1116804349986698</v>
      </c>
      <c r="AH17" s="23">
        <f t="shared" ca="1" si="20"/>
        <v>4.4411224556572027</v>
      </c>
      <c r="AI17" s="120">
        <f t="shared" ca="1" si="21"/>
        <v>5.0375005347712216</v>
      </c>
      <c r="AJ17" s="120">
        <f t="shared" ca="1" si="22"/>
        <v>5.4411224556572027</v>
      </c>
      <c r="AK17" s="8">
        <f t="shared" ca="1" si="23"/>
        <v>1.4840164068887167</v>
      </c>
      <c r="AL17" s="8">
        <f t="shared" ca="1" si="24"/>
        <v>4.0411224556572023</v>
      </c>
      <c r="AM17" s="8">
        <f t="shared" ca="1" si="25"/>
        <v>0.37528979645257621</v>
      </c>
      <c r="AN17" s="8">
        <f t="shared" ca="1" si="26"/>
        <v>0.24087857189600417</v>
      </c>
      <c r="AO17" s="20">
        <v>2</v>
      </c>
      <c r="AP17" s="20">
        <v>2</v>
      </c>
      <c r="AQ17" s="20">
        <v>1</v>
      </c>
      <c r="AR17" s="129">
        <f>IF(AP17=4,IF(AQ17=0,0.137+0.0697,0.137+0.02),IF(AP17=3,IF(AQ17=0,0.0958+0.0697,0.0958+0.02),IF(AP17=2,IF(AQ17=0,0.0415+0.0697,0.0415+0.02),IF(AP17=1,IF(AQ17=0,0.0294+0.0697,0.0294+0.02),IF(AP17=0,IF(AQ17=0,0.0063+0.0697,0.0063+0.02))))))</f>
        <v>6.1499999999999999E-2</v>
      </c>
      <c r="AS17" s="193">
        <v>1490</v>
      </c>
    </row>
    <row r="18" spans="1:45" x14ac:dyDescent="0.25">
      <c r="A18" s="15" t="s">
        <v>365</v>
      </c>
      <c r="B18" s="15" t="s">
        <v>71</v>
      </c>
      <c r="C18" s="121">
        <f t="shared" ref="C18:C22" ca="1" si="52">((33*112)-(E18*112)-(F18))/112</f>
        <v>15.258928571428571</v>
      </c>
      <c r="D18" s="215" t="s">
        <v>303</v>
      </c>
      <c r="E18" s="16">
        <v>17</v>
      </c>
      <c r="F18" s="2">
        <f ca="1">8-159+16-570-5+D2-D1-2-12-49+9</f>
        <v>83</v>
      </c>
      <c r="G18" s="18" t="s">
        <v>45</v>
      </c>
      <c r="H18" s="4">
        <v>3</v>
      </c>
      <c r="I18" s="27">
        <v>1.1000000000000001</v>
      </c>
      <c r="J18" s="22">
        <f t="shared" ref="J18:J22" si="53">LOG(I18)*4/3</f>
        <v>5.5190246877633437E-2</v>
      </c>
      <c r="K18" s="6">
        <f t="shared" ref="K18:K22" si="54">(H18)*(H18)*(I18)</f>
        <v>9.9</v>
      </c>
      <c r="L18" s="6">
        <f t="shared" ref="L18:L22" si="55">(H18+1)*(H18+1)*I18</f>
        <v>17.600000000000001</v>
      </c>
      <c r="M18" s="130">
        <v>43046</v>
      </c>
      <c r="N18" s="131">
        <f t="shared" ref="N18" ca="1" si="56">IF((TODAY()-M18)&gt;335,1,((TODAY()-M18)^0.64)/(336^0.64))</f>
        <v>0.36308330545524814</v>
      </c>
      <c r="O18" s="19">
        <v>5.3</v>
      </c>
      <c r="P18" s="20">
        <f t="shared" ref="P18:P22" si="57">O18*10+19</f>
        <v>72</v>
      </c>
      <c r="Q18" s="26">
        <v>6</v>
      </c>
      <c r="R18" s="115">
        <f t="shared" ref="R18:R22" si="58">(Q18/7)^0.5</f>
        <v>0.92582009977255142</v>
      </c>
      <c r="S18" s="115">
        <f t="shared" ref="S18:S22" si="59">IF(Q18=7,1,((Q18+0.99)/7)^0.5)</f>
        <v>0.99928545900129484</v>
      </c>
      <c r="T18" s="29">
        <v>730</v>
      </c>
      <c r="U18" s="29">
        <f t="shared" ref="U18" si="60">T18-AS18</f>
        <v>30</v>
      </c>
      <c r="V18" s="29">
        <v>270</v>
      </c>
      <c r="W18" s="8">
        <f t="shared" ref="W18:W22" si="61">T18/V18</f>
        <v>2.7037037037037037</v>
      </c>
      <c r="X18" s="21">
        <v>0</v>
      </c>
      <c r="Y18" s="22">
        <v>4</v>
      </c>
      <c r="Z18" s="21">
        <v>2</v>
      </c>
      <c r="AA18" s="22">
        <v>5</v>
      </c>
      <c r="AB18" s="21">
        <f>3.67+(0.25*0.16)+0.25+0.25*0.16</f>
        <v>4</v>
      </c>
      <c r="AC18" s="22">
        <f>4+1/17+1/17+1/17+1/17*12/90</f>
        <v>4.1843137254901954</v>
      </c>
      <c r="AD18" s="21">
        <v>4</v>
      </c>
      <c r="AE18" s="9">
        <v>393</v>
      </c>
      <c r="AF18" s="9">
        <v>1960</v>
      </c>
      <c r="AG18" s="23">
        <f t="shared" ca="1" si="19"/>
        <v>5.0163465608158049</v>
      </c>
      <c r="AH18" s="23">
        <f t="shared" ca="1" si="20"/>
        <v>5.4182735523328818</v>
      </c>
      <c r="AI18" s="120">
        <f t="shared" ca="1" si="21"/>
        <v>2.2388862614981511</v>
      </c>
      <c r="AJ18" s="120">
        <f t="shared" ca="1" si="22"/>
        <v>2.4182735523328818</v>
      </c>
      <c r="AK18" s="8">
        <f t="shared" ca="1" si="23"/>
        <v>1.5339474228912202</v>
      </c>
      <c r="AL18" s="8">
        <f t="shared" ca="1" si="24"/>
        <v>4.47356766997994</v>
      </c>
      <c r="AM18" s="8">
        <f t="shared" ca="1" si="25"/>
        <v>0.36267757046114035</v>
      </c>
      <c r="AN18" s="8">
        <f t="shared" ca="1" si="26"/>
        <v>0.30927914866330175</v>
      </c>
      <c r="AO18" s="20">
        <v>3</v>
      </c>
      <c r="AP18" s="20">
        <v>4</v>
      </c>
      <c r="AQ18" s="20">
        <v>3</v>
      </c>
      <c r="AR18" s="129">
        <f t="shared" ref="AR18" si="62">IF(AP18=4,IF(AQ18=0,0.137+0.0697,0.137+0.02),IF(AP18=3,IF(AQ18=0,0.0958+0.0697,0.0958+0.02),IF(AP18=2,IF(AQ18=0,0.0415+0.0697,0.0415+0.02),IF(AP18=1,IF(AQ18=0,0.0294+0.0697,0.0294+0.02),IF(AP18=0,IF(AQ18=0,0.0063+0.0697,0.0063+0.02))))))</f>
        <v>0.157</v>
      </c>
      <c r="AS18">
        <v>700</v>
      </c>
    </row>
    <row r="19" spans="1:45" x14ac:dyDescent="0.25">
      <c r="A19" s="15" t="s">
        <v>307</v>
      </c>
      <c r="B19" s="24" t="s">
        <v>44</v>
      </c>
      <c r="C19" s="121">
        <f t="shared" ca="1" si="52"/>
        <v>15.348214285714286</v>
      </c>
      <c r="D19" s="216" t="s">
        <v>298</v>
      </c>
      <c r="E19" s="1">
        <v>17</v>
      </c>
      <c r="F19" s="2">
        <f ca="1">8-159+16-570-5+D2-D1-2-62</f>
        <v>73</v>
      </c>
      <c r="G19" s="3" t="s">
        <v>0</v>
      </c>
      <c r="H19" s="4">
        <v>4</v>
      </c>
      <c r="I19" s="5">
        <v>1.1000000000000001</v>
      </c>
      <c r="J19" s="22">
        <f t="shared" si="53"/>
        <v>5.5190246877633437E-2</v>
      </c>
      <c r="K19" s="6">
        <f t="shared" si="54"/>
        <v>17.600000000000001</v>
      </c>
      <c r="L19" s="6">
        <f t="shared" si="55"/>
        <v>27.500000000000004</v>
      </c>
      <c r="M19" s="130">
        <v>43045</v>
      </c>
      <c r="N19" s="131">
        <f ca="1">IF((TODAY()-M19)&gt;335,1,((TODAY()-M19)^0.64)/(336^0.64))</f>
        <v>0.36644230651630028</v>
      </c>
      <c r="O19" s="25">
        <v>5.4</v>
      </c>
      <c r="P19" s="20">
        <f t="shared" si="57"/>
        <v>73</v>
      </c>
      <c r="Q19" s="26">
        <v>5</v>
      </c>
      <c r="R19" s="115">
        <f t="shared" si="58"/>
        <v>0.84515425472851657</v>
      </c>
      <c r="S19" s="115">
        <f t="shared" si="59"/>
        <v>0.92504826128926143</v>
      </c>
      <c r="T19" s="29">
        <v>1000</v>
      </c>
      <c r="U19" s="29">
        <f>T19-AS19</f>
        <v>40</v>
      </c>
      <c r="V19" s="7">
        <v>310</v>
      </c>
      <c r="W19" s="8">
        <f t="shared" si="61"/>
        <v>3.225806451612903</v>
      </c>
      <c r="X19" s="21">
        <v>1</v>
      </c>
      <c r="Y19" s="22">
        <v>4</v>
      </c>
      <c r="Z19" s="21">
        <v>2</v>
      </c>
      <c r="AA19" s="22">
        <v>3</v>
      </c>
      <c r="AB19" s="21">
        <f>3.75+0.25+0.25+0.25</f>
        <v>4.5</v>
      </c>
      <c r="AC19" s="22">
        <f>5+1/20+1/20+1/20*5/90+1/20</f>
        <v>5.1527777777777777</v>
      </c>
      <c r="AD19" s="21">
        <v>6</v>
      </c>
      <c r="AE19" s="9">
        <v>407</v>
      </c>
      <c r="AF19" s="9">
        <v>1994</v>
      </c>
      <c r="AG19" s="23">
        <f ca="1">(AD19+1+(LOG(I19)*4/3)+N19)*(Q19/7)^0.5</f>
        <v>6.2724243295325479</v>
      </c>
      <c r="AH19" s="23">
        <f ca="1">(AD19+1+N19+(LOG(I19)*4/3))*(IF(Q19=7, (Q19/7)^0.5, ((Q19+1)/7)^0.5))</f>
        <v>6.8710965910583877</v>
      </c>
      <c r="AI19" s="120">
        <f ca="1">(Z19+N19+(LOG(I19)*4/3))*(Q19/7)^0.5</f>
        <v>2.0466530558899647</v>
      </c>
      <c r="AJ19" s="120">
        <f ca="1">(Z19+N19+(LOG(I19)*4/3))*(IF(Q19=7, (Q19/7)^0.5, ((Q19+1)/7)^0.5))</f>
        <v>2.2419960921956306</v>
      </c>
      <c r="AK19" s="8">
        <f ca="1">(((Y19+LOG(I19)*4/3+N19)+(AB19+LOG(I19)*4/3+N19)*2)/8)*(Q19/7)^0.5</f>
        <v>1.5070048688461888</v>
      </c>
      <c r="AL19" s="8">
        <f ca="1">(AD19+LOG(I19)*4/3+N19)*0.7+(AC19+LOG(I19)*4/3+N19)*0.3</f>
        <v>6.1674658867272667</v>
      </c>
      <c r="AM19" s="8">
        <f ca="1">(0.5*(AC19+LOG(I19)*4/3+N19)+ 0.3*(AD19+LOG(I19)*4/3+N19))/10</f>
        <v>0.47136949316040361</v>
      </c>
      <c r="AN19" s="8">
        <f ca="1">(0.4*(Y19+LOG(I19)*4/3+N19)+0.3*(AD19+LOG(I19)*4/3+N19))/10</f>
        <v>0.36951427873757536</v>
      </c>
      <c r="AO19" s="20">
        <v>1</v>
      </c>
      <c r="AP19" s="20">
        <v>1</v>
      </c>
      <c r="AQ19" s="20">
        <v>2</v>
      </c>
      <c r="AR19" s="129">
        <f>IF(AP19=4,IF(AQ19=0,0.137+0.0697,0.137+0.02),IF(AP19=3,IF(AQ19=0,0.0958+0.0697,0.0958+0.02),IF(AP19=2,IF(AQ19=0,0.0415+0.0697,0.0415+0.02),IF(AP19=1,IF(AQ19=0,0.0294+0.0697,0.0294+0.02),IF(AP19=0,IF(AQ19=0,0.0063+0.0697,0.0063+0.02))))))</f>
        <v>4.9399999999999999E-2</v>
      </c>
      <c r="AS19">
        <v>960</v>
      </c>
    </row>
    <row r="20" spans="1:45" x14ac:dyDescent="0.25">
      <c r="A20" s="15" t="s">
        <v>366</v>
      </c>
      <c r="B20" s="15" t="s">
        <v>44</v>
      </c>
      <c r="C20" s="121">
        <f t="shared" ca="1" si="52"/>
        <v>14.964285714285714</v>
      </c>
      <c r="D20" s="215" t="s">
        <v>305</v>
      </c>
      <c r="E20" s="16">
        <v>18</v>
      </c>
      <c r="F20" s="2">
        <f ca="1">8-159+16-570-5+D2-D1-2-12-49+9-11+44-112</f>
        <v>4</v>
      </c>
      <c r="G20" s="18" t="s">
        <v>70</v>
      </c>
      <c r="H20" s="4">
        <v>3</v>
      </c>
      <c r="I20" s="27">
        <v>0.5</v>
      </c>
      <c r="J20" s="22">
        <f t="shared" si="53"/>
        <v>-0.40137332755197491</v>
      </c>
      <c r="K20" s="6">
        <f t="shared" si="54"/>
        <v>4.5</v>
      </c>
      <c r="L20" s="6">
        <f t="shared" si="55"/>
        <v>8</v>
      </c>
      <c r="M20" s="130">
        <v>43046</v>
      </c>
      <c r="N20" s="131">
        <f t="shared" ref="N20:N21" ca="1" si="63">IF((TODAY()-M20)&gt;335,1,((TODAY()-M20)^0.64)/(336^0.64))</f>
        <v>0.36308330545524814</v>
      </c>
      <c r="O20" s="19">
        <v>5.6</v>
      </c>
      <c r="P20" s="20">
        <f t="shared" si="57"/>
        <v>75</v>
      </c>
      <c r="Q20" s="26">
        <v>7</v>
      </c>
      <c r="R20" s="115">
        <f t="shared" si="58"/>
        <v>1</v>
      </c>
      <c r="S20" s="115">
        <f t="shared" si="59"/>
        <v>1</v>
      </c>
      <c r="T20" s="29">
        <v>2290</v>
      </c>
      <c r="U20" s="29">
        <f t="shared" ref="U20:U22" si="64">T20-AS20</f>
        <v>20</v>
      </c>
      <c r="V20" s="29">
        <v>370</v>
      </c>
      <c r="W20" s="8">
        <f t="shared" si="61"/>
        <v>6.1891891891891895</v>
      </c>
      <c r="X20" s="21">
        <v>0</v>
      </c>
      <c r="Y20" s="22">
        <v>5</v>
      </c>
      <c r="Z20" s="21">
        <v>2</v>
      </c>
      <c r="AA20" s="22">
        <v>3</v>
      </c>
      <c r="AB20" s="21">
        <f>4+0.25+0.25+0.25</f>
        <v>4.75</v>
      </c>
      <c r="AC20" s="22">
        <f>6+1/23+1/23+1/23+1/23</f>
        <v>6.1739130434782616</v>
      </c>
      <c r="AD20" s="21">
        <v>3</v>
      </c>
      <c r="AE20" s="9">
        <v>451</v>
      </c>
      <c r="AF20" s="9">
        <v>1977</v>
      </c>
      <c r="AG20" s="23">
        <f t="shared" ref="AG20:AG22" ca="1" si="65">(AD20+1+(LOG(I20)*4/3)+N20)*(Q20/7)^0.5</f>
        <v>3.9617099779032734</v>
      </c>
      <c r="AH20" s="23">
        <f t="shared" ref="AH20:AH22" ca="1" si="66">(AD20+1+N20+(LOG(I20)*4/3))*(IF(Q20=7, (Q20/7)^0.5, ((Q20+1)/7)^0.5))</f>
        <v>3.9617099779032734</v>
      </c>
      <c r="AI20" s="120">
        <f t="shared" ref="AI20:AI22" ca="1" si="67">(Z20+N20+(LOG(I20)*4/3))*(Q20/7)^0.5</f>
        <v>1.9617099779032734</v>
      </c>
      <c r="AJ20" s="120">
        <f t="shared" ref="AJ20:AJ22" ca="1" si="68">(Z20+N20+(LOG(I20)*4/3))*(IF(Q20=7, (Q20/7)^0.5, ((Q20+1)/7)^0.5))</f>
        <v>1.9617099779032734</v>
      </c>
      <c r="AK20" s="8">
        <f t="shared" ref="AK20:AK22" ca="1" si="69">(((Y20+LOG(I20)*4/3+N20)+(AB20+LOG(I20)*4/3+N20)*2)/8)*(Q20/7)^0.5</f>
        <v>1.7981412417137275</v>
      </c>
      <c r="AL20" s="8">
        <f t="shared" ref="AL20:AL22" ca="1" si="70">(AD20+LOG(I20)*4/3+N20)*0.7+(AC20+LOG(I20)*4/3+N20)*0.3</f>
        <v>3.9138838909467513</v>
      </c>
      <c r="AM20" s="8">
        <f t="shared" ref="AM20:AM22" ca="1" si="71">(0.5*(AC20+LOG(I20)*4/3+N20)+ 0.3*(AD20+LOG(I20)*4/3+N20))/10</f>
        <v>0.3956324504061749</v>
      </c>
      <c r="AN20" s="8">
        <f t="shared" ref="AN20:AN22" ca="1" si="72">(0.4*(Y20+LOG(I20)*4/3+N20)+0.3*(AD20+LOG(I20)*4/3+N20))/10</f>
        <v>0.28731969845322913</v>
      </c>
      <c r="AO20" s="20">
        <v>2</v>
      </c>
      <c r="AP20" s="20">
        <v>3</v>
      </c>
      <c r="AQ20" s="20">
        <v>1</v>
      </c>
      <c r="AR20" s="129">
        <f t="shared" ref="AR20:AR22" si="73">IF(AP20=4,IF(AQ20=0,0.137+0.0697,0.137+0.02),IF(AP20=3,IF(AQ20=0,0.0958+0.0697,0.0958+0.02),IF(AP20=2,IF(AQ20=0,0.0415+0.0697,0.0415+0.02),IF(AP20=1,IF(AQ20=0,0.0294+0.0697,0.0294+0.02),IF(AP20=0,IF(AQ20=0,0.0063+0.0697,0.0063+0.02))))))</f>
        <v>0.1158</v>
      </c>
      <c r="AS20">
        <v>2270</v>
      </c>
    </row>
    <row r="21" spans="1:45" x14ac:dyDescent="0.25">
      <c r="A21" s="15" t="s">
        <v>368</v>
      </c>
      <c r="B21" s="15" t="s">
        <v>44</v>
      </c>
      <c r="C21" s="121">
        <f t="shared" ca="1" si="52"/>
        <v>15.357142857142858</v>
      </c>
      <c r="D21" s="215" t="s">
        <v>304</v>
      </c>
      <c r="E21" s="16">
        <v>17</v>
      </c>
      <c r="F21" s="2">
        <f ca="1">8-159+16-570-5+D2-D1-2-12-49+9-11</f>
        <v>72</v>
      </c>
      <c r="G21" s="18" t="s">
        <v>296</v>
      </c>
      <c r="H21" s="4">
        <v>4</v>
      </c>
      <c r="I21" s="27">
        <v>0.5</v>
      </c>
      <c r="J21" s="22">
        <f t="shared" si="53"/>
        <v>-0.40137332755197491</v>
      </c>
      <c r="K21" s="6">
        <f t="shared" si="54"/>
        <v>8</v>
      </c>
      <c r="L21" s="6">
        <f t="shared" si="55"/>
        <v>12.5</v>
      </c>
      <c r="M21" s="130">
        <v>43046</v>
      </c>
      <c r="N21" s="131">
        <f t="shared" ca="1" si="63"/>
        <v>0.36308330545524814</v>
      </c>
      <c r="O21" s="19">
        <v>5</v>
      </c>
      <c r="P21" s="20">
        <f t="shared" si="57"/>
        <v>69</v>
      </c>
      <c r="Q21" s="26">
        <v>6</v>
      </c>
      <c r="R21" s="115">
        <f t="shared" si="58"/>
        <v>0.92582009977255142</v>
      </c>
      <c r="S21" s="115">
        <f t="shared" si="59"/>
        <v>0.99928545900129484</v>
      </c>
      <c r="T21" s="29">
        <v>670</v>
      </c>
      <c r="U21" s="29">
        <f t="shared" si="64"/>
        <v>10</v>
      </c>
      <c r="V21" s="29">
        <v>290</v>
      </c>
      <c r="W21" s="8">
        <f t="shared" si="61"/>
        <v>2.3103448275862069</v>
      </c>
      <c r="X21" s="21">
        <v>0</v>
      </c>
      <c r="Y21" s="22">
        <v>4</v>
      </c>
      <c r="Z21" s="21">
        <v>2</v>
      </c>
      <c r="AA21" s="22">
        <v>2</v>
      </c>
      <c r="AB21" s="21">
        <f>3+(0.25*0.16)+(0.25*0.16*3/90)+0.25*3/90</f>
        <v>3.0496666666666665</v>
      </c>
      <c r="AC21" s="22">
        <f>5+1/20+1/20*5/90+1/20</f>
        <v>5.1027777777777779</v>
      </c>
      <c r="AD21" s="21">
        <v>2.5</v>
      </c>
      <c r="AE21" s="9">
        <v>334</v>
      </c>
      <c r="AF21" s="9">
        <v>1923</v>
      </c>
      <c r="AG21" s="23">
        <f t="shared" ca="1" si="65"/>
        <v>3.2049206771260454</v>
      </c>
      <c r="AH21" s="23">
        <f t="shared" ca="1" si="66"/>
        <v>3.4617099779032734</v>
      </c>
      <c r="AI21" s="120">
        <f t="shared" ca="1" si="67"/>
        <v>1.8161905274672183</v>
      </c>
      <c r="AJ21" s="120">
        <f t="shared" ca="1" si="68"/>
        <v>1.9617099779032734</v>
      </c>
      <c r="AK21" s="8">
        <f t="shared" ca="1" si="69"/>
        <v>1.1554770972586583</v>
      </c>
      <c r="AL21" s="8">
        <f t="shared" ca="1" si="70"/>
        <v>3.2425433112366067</v>
      </c>
      <c r="AM21" s="8">
        <f t="shared" ca="1" si="71"/>
        <v>0.32707568712115076</v>
      </c>
      <c r="AN21" s="8">
        <f t="shared" ca="1" si="72"/>
        <v>0.23231969845322914</v>
      </c>
      <c r="AO21" s="20">
        <v>1</v>
      </c>
      <c r="AP21" s="20">
        <v>2</v>
      </c>
      <c r="AQ21" s="20">
        <v>1</v>
      </c>
      <c r="AR21" s="129">
        <f t="shared" si="73"/>
        <v>6.1499999999999999E-2</v>
      </c>
      <c r="AS21">
        <v>660</v>
      </c>
    </row>
    <row r="22" spans="1:45" x14ac:dyDescent="0.25">
      <c r="A22" s="15" t="s">
        <v>43</v>
      </c>
      <c r="B22" s="15" t="s">
        <v>44</v>
      </c>
      <c r="C22" s="121">
        <f t="shared" ca="1" si="52"/>
        <v>15.678571428571429</v>
      </c>
      <c r="D22" s="216" t="s">
        <v>450</v>
      </c>
      <c r="E22" s="1">
        <v>17</v>
      </c>
      <c r="F22" s="2">
        <f ca="1">58++D2-D1-112-112-112-112-112-112-112-85</f>
        <v>36</v>
      </c>
      <c r="G22" s="3"/>
      <c r="H22" s="4">
        <v>0</v>
      </c>
      <c r="I22" s="5">
        <v>1.3</v>
      </c>
      <c r="J22" s="22">
        <f t="shared" si="53"/>
        <v>0.15192446974244905</v>
      </c>
      <c r="K22" s="6">
        <f t="shared" si="54"/>
        <v>0</v>
      </c>
      <c r="L22" s="6">
        <f t="shared" si="55"/>
        <v>1.3</v>
      </c>
      <c r="M22" s="130">
        <v>43090</v>
      </c>
      <c r="N22" s="131">
        <v>1.5</v>
      </c>
      <c r="O22" s="25">
        <v>3.5</v>
      </c>
      <c r="P22" s="20">
        <f t="shared" si="57"/>
        <v>54</v>
      </c>
      <c r="Q22" s="26">
        <v>5</v>
      </c>
      <c r="R22" s="115">
        <f t="shared" si="58"/>
        <v>0.84515425472851657</v>
      </c>
      <c r="S22" s="115">
        <f t="shared" si="59"/>
        <v>0.92504826128926143</v>
      </c>
      <c r="T22" s="29">
        <v>2070</v>
      </c>
      <c r="U22" s="29">
        <f t="shared" si="64"/>
        <v>210</v>
      </c>
      <c r="V22" s="7">
        <v>370</v>
      </c>
      <c r="W22" s="8">
        <f t="shared" si="61"/>
        <v>5.5945945945945947</v>
      </c>
      <c r="X22" s="21">
        <v>0</v>
      </c>
      <c r="Y22" s="22">
        <v>3</v>
      </c>
      <c r="Z22" s="21">
        <v>2</v>
      </c>
      <c r="AA22" s="22">
        <v>5</v>
      </c>
      <c r="AB22" s="21">
        <v>5</v>
      </c>
      <c r="AC22" s="22">
        <f>6+0.25+0.25+0.25</f>
        <v>6.75</v>
      </c>
      <c r="AD22" s="21">
        <v>4</v>
      </c>
      <c r="AE22" s="9">
        <v>457</v>
      </c>
      <c r="AF22" s="9">
        <v>2071</v>
      </c>
      <c r="AG22" s="23">
        <f t="shared" si="65"/>
        <v>5.6219022677355621</v>
      </c>
      <c r="AH22" s="23">
        <f t="shared" si="66"/>
        <v>6.1584853762564302</v>
      </c>
      <c r="AI22" s="120">
        <f t="shared" si="67"/>
        <v>3.0864395035500127</v>
      </c>
      <c r="AJ22" s="120">
        <f t="shared" si="68"/>
        <v>3.381025076938776</v>
      </c>
      <c r="AK22" s="8">
        <f t="shared" si="69"/>
        <v>1.8969247867187069</v>
      </c>
      <c r="AL22" s="8">
        <f t="shared" si="70"/>
        <v>6.476924469742448</v>
      </c>
      <c r="AM22" s="8">
        <f t="shared" si="71"/>
        <v>0.58965395757939587</v>
      </c>
      <c r="AN22" s="8">
        <f t="shared" si="72"/>
        <v>0.3556347128819714</v>
      </c>
      <c r="AO22" s="20">
        <v>2</v>
      </c>
      <c r="AP22" s="20">
        <v>2</v>
      </c>
      <c r="AQ22" s="20">
        <v>2</v>
      </c>
      <c r="AR22" s="129">
        <f t="shared" si="73"/>
        <v>6.1499999999999999E-2</v>
      </c>
      <c r="AS22">
        <v>1860</v>
      </c>
    </row>
    <row r="23" spans="1:45" x14ac:dyDescent="0.25">
      <c r="A23" s="15"/>
      <c r="B23" s="15"/>
      <c r="C23" s="121"/>
      <c r="D23" s="28" t="s">
        <v>183</v>
      </c>
      <c r="E23" s="16"/>
      <c r="F23" s="17"/>
      <c r="G23" s="18"/>
      <c r="H23" s="4"/>
      <c r="I23" s="27"/>
      <c r="J23" s="22"/>
      <c r="K23" s="6"/>
      <c r="L23" s="6"/>
      <c r="M23" s="130"/>
      <c r="N23" s="131"/>
      <c r="O23" s="19"/>
      <c r="P23" s="20"/>
      <c r="Q23" s="20"/>
      <c r="R23" s="115"/>
      <c r="S23" s="115"/>
      <c r="T23" s="29"/>
      <c r="U23" s="29"/>
      <c r="V23" s="29"/>
      <c r="W23" s="8"/>
      <c r="X23" s="21"/>
      <c r="Y23" s="22"/>
      <c r="Z23" s="21"/>
      <c r="AA23" s="22"/>
      <c r="AB23" s="21"/>
      <c r="AC23" s="22"/>
      <c r="AD23" s="21"/>
      <c r="AE23" s="9"/>
      <c r="AF23" s="9"/>
      <c r="AG23" s="23"/>
      <c r="AH23" s="23"/>
      <c r="AI23" s="120"/>
      <c r="AJ23" s="120"/>
      <c r="AK23" s="8"/>
      <c r="AL23" s="8"/>
      <c r="AM23" s="8"/>
      <c r="AN23" s="8"/>
      <c r="AO23" s="20">
        <v>0</v>
      </c>
      <c r="AP23" s="20">
        <v>4</v>
      </c>
      <c r="AQ23" s="20">
        <v>0</v>
      </c>
      <c r="AR23" s="129">
        <f t="shared" ref="AR23" si="74">IF(AP23=4,IF(AQ23=0,0.137+0.0697,0.137+0.02),IF(AP23=3,IF(AQ23=0,0.0958+0.0697,0.0958+0.02),IF(AP23=2,IF(AQ23=0,0.0415+0.0697,0.0415+0.02),IF(AP23=1,IF(AQ23=0,0.0294+0.0697,0.0294+0.02),IF(AP23=0,IF(AQ23=0,0.0063+0.0697,0.0063+0.02))))))</f>
        <v>0.20669999999999999</v>
      </c>
    </row>
    <row r="24" spans="1:45" x14ac:dyDescent="0.25">
      <c r="V24" s="69"/>
    </row>
    <row r="26" spans="1:45" x14ac:dyDescent="0.25">
      <c r="V26"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23">
    <cfRule type="cellIs" dxfId="24" priority="99" operator="lessThan">
      <formula>6</formula>
    </cfRule>
  </conditionalFormatting>
  <conditionalFormatting sqref="N23">
    <cfRule type="cellIs" dxfId="23" priority="98" operator="lessThan">
      <formula>0.75</formula>
    </cfRule>
  </conditionalFormatting>
  <conditionalFormatting sqref="P23">
    <cfRule type="cellIs" dxfId="22" priority="96" operator="greaterThan">
      <formula>90</formula>
    </cfRule>
    <cfRule type="cellIs" dxfId="21" priority="97" operator="lessThan">
      <formula>85</formula>
    </cfRule>
  </conditionalFormatting>
  <conditionalFormatting sqref="I4:I14 I16:I22">
    <cfRule type="cellIs" dxfId="20" priority="40" operator="lessThan">
      <formula>6</formula>
    </cfRule>
  </conditionalFormatting>
  <conditionalFormatting sqref="N4:N14 N16:N22">
    <cfRule type="cellIs" dxfId="19" priority="39" operator="lessThan">
      <formula>0.75</formula>
    </cfRule>
  </conditionalFormatting>
  <conditionalFormatting sqref="P4:P14 P16:P22">
    <cfRule type="cellIs" dxfId="18" priority="37" operator="greaterThan">
      <formula>90</formula>
    </cfRule>
    <cfRule type="cellIs" dxfId="17" priority="38" operator="lessThan">
      <formula>85</formula>
    </cfRule>
  </conditionalFormatting>
  <conditionalFormatting sqref="C4:C22">
    <cfRule type="colorScale" priority="41">
      <colorScale>
        <cfvo type="min"/>
        <cfvo type="max"/>
        <color rgb="FFFFEF9C"/>
        <color rgb="FF63BE7B"/>
      </colorScale>
    </cfRule>
  </conditionalFormatting>
  <conditionalFormatting sqref="C23">
    <cfRule type="colorScale" priority="5007">
      <colorScale>
        <cfvo type="min"/>
        <cfvo type="max"/>
        <color rgb="FFFFEF9C"/>
        <color rgb="FF63BE7B"/>
      </colorScale>
    </cfRule>
  </conditionalFormatting>
  <conditionalFormatting sqref="I15">
    <cfRule type="cellIs" dxfId="16" priority="20" operator="lessThan">
      <formula>6</formula>
    </cfRule>
  </conditionalFormatting>
  <conditionalFormatting sqref="N15">
    <cfRule type="cellIs" dxfId="15" priority="19" operator="lessThan">
      <formula>0.75</formula>
    </cfRule>
  </conditionalFormatting>
  <conditionalFormatting sqref="P15">
    <cfRule type="cellIs" dxfId="14" priority="17" operator="greaterThan">
      <formula>90</formula>
    </cfRule>
    <cfRule type="cellIs" dxfId="13" priority="18" operator="lessThan">
      <formula>85</formula>
    </cfRule>
  </conditionalFormatting>
  <conditionalFormatting sqref="R4:S22">
    <cfRule type="colorScale" priority="14">
      <colorScale>
        <cfvo type="min"/>
        <cfvo type="percentile" val="50"/>
        <cfvo type="max"/>
        <color rgb="FFF8696B"/>
        <color rgb="FFFFEB84"/>
        <color rgb="FF63BE7B"/>
      </colorScale>
    </cfRule>
  </conditionalFormatting>
  <conditionalFormatting sqref="T4:T22">
    <cfRule type="dataBar" priority="13">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2">
    <cfRule type="dataBar" priority="12">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2">
    <cfRule type="dataBar" priority="11">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2">
    <cfRule type="dataBar" priority="10">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2">
    <cfRule type="colorScale" priority="9">
      <colorScale>
        <cfvo type="min"/>
        <cfvo type="max"/>
        <color rgb="FFFCFCFF"/>
        <color rgb="FFF8696B"/>
      </colorScale>
    </cfRule>
  </conditionalFormatting>
  <conditionalFormatting sqref="AE4:AE22">
    <cfRule type="dataBar" priority="8">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2">
    <cfRule type="dataBar" priority="7">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2">
    <cfRule type="colorScale" priority="6">
      <colorScale>
        <cfvo type="min"/>
        <cfvo type="percentile" val="50"/>
        <cfvo type="max"/>
        <color rgb="FFF8696B"/>
        <color rgb="FFFCFCFF"/>
        <color rgb="FF63BE7B"/>
      </colorScale>
    </cfRule>
  </conditionalFormatting>
  <conditionalFormatting sqref="AI4:AJ22">
    <cfRule type="colorScale" priority="5">
      <colorScale>
        <cfvo type="min"/>
        <cfvo type="percentile" val="50"/>
        <cfvo type="max"/>
        <color rgb="FFF8696B"/>
        <color rgb="FFFFEB84"/>
        <color rgb="FF63BE7B"/>
      </colorScale>
    </cfRule>
  </conditionalFormatting>
  <conditionalFormatting sqref="AK4:AK22">
    <cfRule type="colorScale" priority="4">
      <colorScale>
        <cfvo type="min"/>
        <cfvo type="percentile" val="50"/>
        <cfvo type="max"/>
        <color rgb="FFF8696B"/>
        <color rgb="FFFCFCFF"/>
        <color rgb="FF63BE7B"/>
      </colorScale>
    </cfRule>
  </conditionalFormatting>
  <conditionalFormatting sqref="AL4:AL22">
    <cfRule type="colorScale" priority="3">
      <colorScale>
        <cfvo type="min"/>
        <cfvo type="percentile" val="50"/>
        <cfvo type="max"/>
        <color rgb="FFF8696B"/>
        <color rgb="FFFFEB84"/>
        <color rgb="FF63BE7B"/>
      </colorScale>
    </cfRule>
  </conditionalFormatting>
  <conditionalFormatting sqref="AM4:AN22">
    <cfRule type="colorScale" priority="2">
      <colorScale>
        <cfvo type="min"/>
        <cfvo type="percentile" val="50"/>
        <cfvo type="max"/>
        <color rgb="FFF8696B"/>
        <color rgb="FFFCFCFF"/>
        <color rgb="FF63BE7B"/>
      </colorScale>
    </cfRule>
  </conditionalFormatting>
  <conditionalFormatting sqref="AR4:AR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T4:T22</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U4:U22</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V4:V22</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W4:W22</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AE4:AE22</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2.2999999999999998</v>
      </c>
      <c r="E3" s="209">
        <f>D3</f>
        <v>2.2999999999999998</v>
      </c>
      <c r="F3" s="209">
        <f>E3+0.1</f>
        <v>2.4</v>
      </c>
      <c r="G3" s="209">
        <f>C3</f>
        <v>4</v>
      </c>
      <c r="H3" s="209">
        <f>G3+0.99</f>
        <v>4.99</v>
      </c>
      <c r="I3" s="210">
        <f>G3*G3*E3</f>
        <v>36.799999999999997</v>
      </c>
      <c r="J3" s="210">
        <f>H3*H3*F3</f>
        <v>59.760240000000003</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1.1000000000000001</v>
      </c>
      <c r="Q4" s="212">
        <f>F5</f>
        <v>1.2000000000000002</v>
      </c>
      <c r="R4" s="212">
        <f>G5</f>
        <v>1</v>
      </c>
      <c r="S4" s="212">
        <f>H5</f>
        <v>1.99</v>
      </c>
    </row>
    <row r="5" spans="1:19" x14ac:dyDescent="0.25">
      <c r="A5" s="206" t="str">
        <f>PLANTILLA!D6</f>
        <v>Manuel Parejo</v>
      </c>
      <c r="B5" s="207">
        <f>PLANTILLA!E6</f>
        <v>17</v>
      </c>
      <c r="C5" s="207">
        <f>PLANTILLA!H6</f>
        <v>1</v>
      </c>
      <c r="D5" s="208">
        <f>PLANTILLA!I6</f>
        <v>1.1000000000000001</v>
      </c>
      <c r="E5" s="209">
        <f t="shared" si="1"/>
        <v>1.1000000000000001</v>
      </c>
      <c r="F5" s="209">
        <f t="shared" si="2"/>
        <v>1.2000000000000002</v>
      </c>
      <c r="G5" s="209">
        <f t="shared" si="3"/>
        <v>1</v>
      </c>
      <c r="H5" s="209">
        <f t="shared" si="4"/>
        <v>1.99</v>
      </c>
      <c r="I5" s="210">
        <f t="shared" si="5"/>
        <v>1.1000000000000001</v>
      </c>
      <c r="J5" s="210">
        <f t="shared" si="6"/>
        <v>4.7521200000000006</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1.4</v>
      </c>
      <c r="E6" s="209">
        <f t="shared" si="1"/>
        <v>1.4</v>
      </c>
      <c r="F6" s="209">
        <f t="shared" si="2"/>
        <v>1.5</v>
      </c>
      <c r="G6" s="209">
        <f t="shared" si="3"/>
        <v>6</v>
      </c>
      <c r="H6" s="209">
        <f t="shared" si="4"/>
        <v>6.99</v>
      </c>
      <c r="I6" s="210">
        <f t="shared" si="5"/>
        <v>50.4</v>
      </c>
      <c r="J6" s="210">
        <f t="shared" si="6"/>
        <v>73.290150000000011</v>
      </c>
      <c r="K6" s="211"/>
      <c r="O6" t="str">
        <f>A11</f>
        <v>Fernando Gazón</v>
      </c>
      <c r="P6" s="212">
        <f>E11</f>
        <v>0.5</v>
      </c>
      <c r="Q6" s="212">
        <f t="shared" ref="Q6:S6" si="7">F11</f>
        <v>0.6</v>
      </c>
      <c r="R6" s="212">
        <f t="shared" si="7"/>
        <v>3</v>
      </c>
      <c r="S6" s="212">
        <f t="shared" si="7"/>
        <v>3.99</v>
      </c>
    </row>
    <row r="7" spans="1:19" x14ac:dyDescent="0.25">
      <c r="A7" s="206" t="str">
        <f>PLANTILLA!D8</f>
        <v>J. G. de Minaya</v>
      </c>
      <c r="B7" s="207">
        <f>PLANTILLA!E8</f>
        <v>17</v>
      </c>
      <c r="C7" s="207">
        <f>PLANTILLA!H8</f>
        <v>0</v>
      </c>
      <c r="D7" s="208">
        <f>PLANTILLA!I8</f>
        <v>1.5</v>
      </c>
      <c r="E7" s="209">
        <f t="shared" si="1"/>
        <v>1.5</v>
      </c>
      <c r="F7" s="209">
        <f t="shared" si="2"/>
        <v>1.6</v>
      </c>
      <c r="G7" s="209">
        <f t="shared" si="3"/>
        <v>0</v>
      </c>
      <c r="H7" s="209">
        <f t="shared" si="4"/>
        <v>0.99</v>
      </c>
      <c r="I7" s="210">
        <f t="shared" si="5"/>
        <v>0</v>
      </c>
      <c r="J7" s="210">
        <f t="shared" si="6"/>
        <v>1.56816</v>
      </c>
      <c r="K7" s="211"/>
      <c r="O7" t="str">
        <f>A3</f>
        <v>Alberto Ercilla</v>
      </c>
      <c r="P7" s="212">
        <f>E3</f>
        <v>2.2999999999999998</v>
      </c>
      <c r="Q7" s="212">
        <f>F3</f>
        <v>2.4</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PLANTILLA!D11</f>
        <v>Raul Riquelme</v>
      </c>
      <c r="B10" s="207">
        <f>PLANTILLA!E11</f>
        <v>17</v>
      </c>
      <c r="C10" s="207">
        <f>PLANTILLA!H11</f>
        <v>6</v>
      </c>
      <c r="D10" s="208">
        <f>PLANTILLA!I11</f>
        <v>1.1000000000000001</v>
      </c>
      <c r="E10" s="209">
        <f t="shared" si="1"/>
        <v>1.1000000000000001</v>
      </c>
      <c r="F10" s="209">
        <f t="shared" si="2"/>
        <v>1.2000000000000002</v>
      </c>
      <c r="G10" s="209">
        <f t="shared" si="3"/>
        <v>6</v>
      </c>
      <c r="H10" s="209">
        <f t="shared" si="4"/>
        <v>6.99</v>
      </c>
      <c r="I10" s="210">
        <f t="shared" si="5"/>
        <v>39.6</v>
      </c>
      <c r="J10" s="210">
        <f t="shared" si="6"/>
        <v>58.632120000000015</v>
      </c>
      <c r="K10" s="211"/>
      <c r="O10" t="str">
        <f>A14</f>
        <v>Enrique Cubas</v>
      </c>
      <c r="P10" s="212">
        <f>E14</f>
        <v>1.4</v>
      </c>
      <c r="Q10" s="212">
        <f>F14</f>
        <v>1.5</v>
      </c>
      <c r="R10" s="212">
        <f>G14</f>
        <v>1</v>
      </c>
      <c r="S10" s="212">
        <f>H14</f>
        <v>1.99</v>
      </c>
    </row>
    <row r="11" spans="1:19" x14ac:dyDescent="0.25">
      <c r="A11" s="206" t="str">
        <f>PLANTILLA!D12</f>
        <v>Fernando Gazón</v>
      </c>
      <c r="B11" s="207">
        <f>PLANTILLA!E12</f>
        <v>18</v>
      </c>
      <c r="C11" s="207">
        <f>PLANTILLA!H12</f>
        <v>3</v>
      </c>
      <c r="D11" s="208">
        <f>PLANTILLA!I12</f>
        <v>0.5</v>
      </c>
      <c r="E11" s="209">
        <f t="shared" si="1"/>
        <v>0.5</v>
      </c>
      <c r="F11" s="209">
        <f t="shared" si="2"/>
        <v>0.6</v>
      </c>
      <c r="G11" s="209">
        <f t="shared" si="3"/>
        <v>3</v>
      </c>
      <c r="H11" s="209">
        <f t="shared" si="4"/>
        <v>3.99</v>
      </c>
      <c r="I11" s="210">
        <f t="shared" si="5"/>
        <v>4.5</v>
      </c>
      <c r="J11" s="210">
        <f t="shared" si="6"/>
        <v>9.5520600000000009</v>
      </c>
      <c r="K11" s="211"/>
      <c r="O11" t="str">
        <f>A10</f>
        <v>Raul Riquelme</v>
      </c>
      <c r="P11" s="212">
        <f>E10</f>
        <v>1.1000000000000001</v>
      </c>
      <c r="Q11" s="212">
        <f>F10</f>
        <v>1.2000000000000002</v>
      </c>
      <c r="R11" s="212">
        <f>G10</f>
        <v>6</v>
      </c>
      <c r="S11" s="212">
        <f>H10</f>
        <v>6.99</v>
      </c>
    </row>
    <row r="12" spans="1:19" x14ac:dyDescent="0.25">
      <c r="A12" s="206" t="str">
        <f>PLANTILLA!D13</f>
        <v>Roberto Abenoza</v>
      </c>
      <c r="B12" s="207">
        <f>PLANTILLA!E13</f>
        <v>17</v>
      </c>
      <c r="C12" s="207">
        <f>PLANTILLA!H13</f>
        <v>4</v>
      </c>
      <c r="D12" s="208">
        <f>PLANTILLA!I13</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1.5</v>
      </c>
      <c r="Q12" s="212">
        <f t="shared" ref="Q12:S12" si="8">F7</f>
        <v>1.6</v>
      </c>
      <c r="R12" s="212">
        <f t="shared" si="8"/>
        <v>0</v>
      </c>
      <c r="S12" s="212">
        <f t="shared" si="8"/>
        <v>0.99</v>
      </c>
    </row>
    <row r="13" spans="1:19" x14ac:dyDescent="0.25">
      <c r="A13" s="206" t="str">
        <f>PLANTILLA!D14</f>
        <v>Julio Calle</v>
      </c>
      <c r="B13" s="207">
        <f>PLANTILLA!E14</f>
        <v>17</v>
      </c>
      <c r="C13" s="207">
        <f>PLANTILLA!H14</f>
        <v>3</v>
      </c>
      <c r="D13" s="208">
        <f>PLANTILLA!I14</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PLANTILLA!D16</f>
        <v>Enrique Cubas</v>
      </c>
      <c r="B14" s="207">
        <f>PLANTILLA!E16</f>
        <v>17</v>
      </c>
      <c r="C14" s="207">
        <f>PLANTILLA!H16</f>
        <v>1</v>
      </c>
      <c r="D14" s="208">
        <f>PLANTILLA!I16</f>
        <v>1.4</v>
      </c>
      <c r="E14" s="209">
        <f t="shared" si="1"/>
        <v>1.4</v>
      </c>
      <c r="F14" s="209">
        <f t="shared" si="2"/>
        <v>1.5</v>
      </c>
      <c r="G14" s="209">
        <f t="shared" si="3"/>
        <v>1</v>
      </c>
      <c r="H14" s="209">
        <f t="shared" si="4"/>
        <v>1.99</v>
      </c>
      <c r="I14" s="210">
        <f t="shared" si="5"/>
        <v>1.4</v>
      </c>
      <c r="J14" s="210">
        <f t="shared" si="6"/>
        <v>5.94015</v>
      </c>
      <c r="K14" s="211"/>
      <c r="P14" s="37">
        <f>SUM(P4:P13)/10</f>
        <v>1.05</v>
      </c>
      <c r="Q14" s="37">
        <f>SUM(Q4:Q13)/10</f>
        <v>1.1499999999999999</v>
      </c>
      <c r="R14" s="37"/>
      <c r="S14" s="37"/>
    </row>
    <row r="15" spans="1:19" x14ac:dyDescent="0.25">
      <c r="A15" s="206" t="str">
        <f>PLANTILLA!D17</f>
        <v>J. G. Peñuela</v>
      </c>
      <c r="B15" s="207">
        <f>PLANTILLA!E17</f>
        <v>17</v>
      </c>
      <c r="C15" s="207">
        <f>PLANTILLA!H17</f>
        <v>6</v>
      </c>
      <c r="D15" s="208">
        <f>PLANTILLA!I17</f>
        <v>1.2</v>
      </c>
      <c r="E15" s="209">
        <f t="shared" si="1"/>
        <v>1.2</v>
      </c>
      <c r="F15" s="209">
        <f t="shared" si="2"/>
        <v>1.3</v>
      </c>
      <c r="G15" s="209">
        <f t="shared" si="3"/>
        <v>6</v>
      </c>
      <c r="H15" s="209">
        <f t="shared" si="4"/>
        <v>6.99</v>
      </c>
      <c r="I15" s="210">
        <f t="shared" si="5"/>
        <v>43.199999999999996</v>
      </c>
      <c r="J15" s="210">
        <f t="shared" si="6"/>
        <v>63.518130000000006</v>
      </c>
      <c r="K15" s="211"/>
    </row>
    <row r="16" spans="1:19" x14ac:dyDescent="0.25">
      <c r="A16" s="206" t="str">
        <f>PLANTILLA!D18</f>
        <v>Paulo Beltrán</v>
      </c>
      <c r="B16" s="207">
        <f>PLANTILLA!E18</f>
        <v>17</v>
      </c>
      <c r="C16" s="207">
        <f>PLANTILLA!H18</f>
        <v>3</v>
      </c>
      <c r="D16" s="208">
        <f>PLANTILLA!I18</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11.5</v>
      </c>
      <c r="Q16" s="32">
        <f>SUM(Q3:Q13)</f>
        <v>12.599999999999998</v>
      </c>
      <c r="R16" s="32"/>
    </row>
    <row r="17" spans="1:18" x14ac:dyDescent="0.25">
      <c r="A17" s="206" t="str">
        <f>PLANTILLA!D20</f>
        <v>Nicolás Eans</v>
      </c>
      <c r="B17" s="207">
        <f>PLANTILLA!E20</f>
        <v>18</v>
      </c>
      <c r="C17" s="207">
        <f>PLANTILLA!H20</f>
        <v>3</v>
      </c>
      <c r="D17" s="208">
        <f>PLANTILLA!I20</f>
        <v>0.5</v>
      </c>
      <c r="E17" s="209">
        <f t="shared" si="1"/>
        <v>0.5</v>
      </c>
      <c r="F17" s="209">
        <f t="shared" si="2"/>
        <v>0.6</v>
      </c>
      <c r="G17" s="209">
        <f t="shared" si="3"/>
        <v>3</v>
      </c>
      <c r="H17" s="209">
        <f t="shared" si="4"/>
        <v>3.99</v>
      </c>
      <c r="I17" s="210">
        <f t="shared" si="5"/>
        <v>4.5</v>
      </c>
      <c r="J17" s="210">
        <f t="shared" si="6"/>
        <v>9.5520600000000009</v>
      </c>
      <c r="K17" s="211"/>
      <c r="O17" t="s">
        <v>345</v>
      </c>
      <c r="P17" s="37">
        <f>P16/17</f>
        <v>0.67647058823529416</v>
      </c>
      <c r="Q17" s="37">
        <f>Q16/17</f>
        <v>0.74117647058823521</v>
      </c>
      <c r="R17" s="37"/>
    </row>
    <row r="18" spans="1:18" x14ac:dyDescent="0.25">
      <c r="A18" s="206" t="str">
        <f>PLANTILLA!D21</f>
        <v>Noel Fuster</v>
      </c>
      <c r="B18" s="207">
        <f>PLANTILLA!E21</f>
        <v>17</v>
      </c>
      <c r="C18" s="207">
        <f>PLANTILLA!H21</f>
        <v>4</v>
      </c>
      <c r="D18" s="208">
        <f>PLANTILLA!I21</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str">
        <f>PLANTILLA!D22</f>
        <v>Casildo Abraldes</v>
      </c>
      <c r="B19" s="207">
        <f>PLANTILLA!E22</f>
        <v>17</v>
      </c>
      <c r="C19" s="207">
        <f>PLANTILLA!H22</f>
        <v>0</v>
      </c>
      <c r="D19" s="208">
        <f>PLANTILLA!I22</f>
        <v>1.3</v>
      </c>
      <c r="E19" s="209">
        <f t="shared" si="1"/>
        <v>1.3</v>
      </c>
      <c r="F19" s="209">
        <f t="shared" si="2"/>
        <v>1.4000000000000001</v>
      </c>
      <c r="G19" s="209">
        <f t="shared" si="3"/>
        <v>0</v>
      </c>
      <c r="H19" s="209">
        <f t="shared" si="4"/>
        <v>0.99</v>
      </c>
      <c r="I19" s="210">
        <f t="shared" si="5"/>
        <v>0</v>
      </c>
      <c r="J19" s="210">
        <f t="shared" si="6"/>
        <v>1.3721400000000001</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PLANTILLA!D23</f>
        <v>A. Ilisie</v>
      </c>
      <c r="B21" s="207">
        <f>PLANTILLA!E23</f>
        <v>0</v>
      </c>
      <c r="C21" s="207">
        <f>PLANTILLA!H23</f>
        <v>0</v>
      </c>
      <c r="D21" s="208">
        <f>PLANTILLA!I23</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0.82069554526603494</v>
      </c>
      <c r="Q21" s="157">
        <f>Q17+Q20</f>
        <v>0.96596340417702942</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22</v>
      </c>
      <c r="D3" s="65" t="str">
        <f>PLANTILLA!G4</f>
        <v>IMP</v>
      </c>
      <c r="E3" s="30">
        <f>PLANTILLA!M4</f>
        <v>43097</v>
      </c>
      <c r="F3" s="47">
        <f>PLANTILLA!Q4</f>
        <v>5</v>
      </c>
      <c r="G3" s="48">
        <f>(F3/7)^0.5</f>
        <v>0.84515425472851657</v>
      </c>
      <c r="H3" s="48">
        <f>IF(F3=7,1,((F3+0.99)/7)^0.5)</f>
        <v>0.92504826128926143</v>
      </c>
      <c r="I3" s="51">
        <f t="shared" ref="I3" ca="1" si="0">IF(TODAY()-E3&gt;335,1,((TODAY()-E3)^0.5)/336^0.5)</f>
        <v>0.23145502494313785</v>
      </c>
      <c r="J3" s="39">
        <f>PLANTILLA!I4</f>
        <v>2.2999999999999998</v>
      </c>
      <c r="K3" s="46">
        <f>PLANTILLA!X4</f>
        <v>0</v>
      </c>
      <c r="L3" s="46">
        <f>PLANTILLA!Y4</f>
        <v>7</v>
      </c>
      <c r="M3" s="46">
        <f>PLANTILLA!Z4</f>
        <v>2</v>
      </c>
      <c r="N3" s="46">
        <f>PLANTILLA!AA4</f>
        <v>5</v>
      </c>
      <c r="O3" s="46">
        <f>PLANTILLA!AB4</f>
        <v>7</v>
      </c>
      <c r="P3" s="46">
        <f>PLANTILLA!AC4</f>
        <v>5.0952380952380949</v>
      </c>
      <c r="Q3" s="46">
        <f>PLANTILLA!AD4</f>
        <v>4</v>
      </c>
      <c r="R3" s="46">
        <f>((2*(O3+1))+(L3+1))/8</f>
        <v>3</v>
      </c>
      <c r="S3" s="46">
        <f>(0.5*P3+ 0.3*Q3)/10</f>
        <v>0.37476190476190474</v>
      </c>
      <c r="T3" s="46">
        <f>(0.4*L3+0.3*Q3)/10</f>
        <v>0.4</v>
      </c>
      <c r="U3" s="46">
        <f ca="1">IF(TODAY()-E3&gt;335,(Q3+1+(LOG(J3)*4/3))*(F3/7)^0.5,(Q3+((TODAY()-E3)^0.5)/(336^0.5)+(LOG(J3)*4/3))*(F3/7)^0.5)</f>
        <v>3.983853310908398</v>
      </c>
      <c r="V3" s="46">
        <f ca="1">IF(F3=7,U3,IF(TODAY()-E3&gt;335,(Q3+1+(LOG(J3)*4/3))*((F3+0.99)/7)^0.5,(Q3+((TODAY()-E3)^0.5)/(336^0.5)+(LOG(J3)*4/3))*((F3+0.99)/7)^0.5))</f>
        <v>4.3604543879046931</v>
      </c>
      <c r="W3" s="37">
        <f ca="1">IF(TODAY()-E3&gt;335,((K3+1+(LOG(J3)*4/3))*0.597)+((L3+1+(LOG(J3)*4/3))*0.276),((K3+(((TODAY()-E3)^0.5)/(336^0.5))+(LOG(J3)*4/3))*0.597)+((L3+(((TODAY()-E3)^0.5)/(336^0.5))+(LOG(J3)*4/3))*0.276))</f>
        <v>2.5551114378998379</v>
      </c>
      <c r="X3" s="37">
        <f ca="1">IF(TODAY()-E3&gt;335,((K3+1+(LOG(J3)*4/3))*0.866)+((L3+1+(LOG(J3)*4/3))*0.425),((K3+(((TODAY()-E3)^0.5)/(336^0.5))+(LOG(J3)*4/3))*0.866)+((L3+(((TODAY()-E3)^0.5)/(336^0.5))+(LOG(J3)*4/3))*0.425))</f>
        <v>3.8964626189332074</v>
      </c>
      <c r="Y3" s="37">
        <f ca="1">W3</f>
        <v>2.5551114378998379</v>
      </c>
      <c r="Z3" s="37">
        <f ca="1">IF(TODAY()-E3&gt;335,((L3+1+(LOG(J3)*4/3))*0.516),((L3+(((TODAY()-E3)^0.5)/(336^0.516))+(LOG(J3)*4/3))*0.516))</f>
        <v>3.9696852847558097</v>
      </c>
      <c r="AA3" s="37">
        <f ca="1">IF(TODAY()-E3&gt;335,((L3+1+(LOG(J3)*4/3))*1),((L3+(((TODAY()-E3)^0.5)/(336^0.5))+(LOG(J3)*4/3))*1))</f>
        <v>7.7137588062999285</v>
      </c>
      <c r="AB3" s="37">
        <f ca="1">Z3/2</f>
        <v>1.9848426423779049</v>
      </c>
      <c r="AC3" s="37">
        <f ca="1">IF(TODAY()-E3&gt;335,((M3+1+(LOG(J3)*4/3))*0.238),((M3+(((TODAY()-E3)^0.5)/(336^0.238))+(LOG(J3)*4/3))*0.238))</f>
        <v>0.8436857565281346</v>
      </c>
      <c r="AD3" s="37">
        <f ca="1">IF(TODAY()-E3&gt;335,((L3+1+(LOG(J3)*4/3))*0.378),((L3+(((TODAY()-E3)^0.5)/(336^0.516))+(LOG(J3)*4/3))*0.378))</f>
        <v>2.9080252667397208</v>
      </c>
      <c r="AE3" s="37">
        <f ca="1">IF(TODAY()-E3&gt;335,((L3+1+(LOG(J3)*4/3))*0.723),((L3+(((TODAY()-E3)^0.5)/(336^0.5))+(LOG(J3)*4/3))*0.723))</f>
        <v>5.5770476169548484</v>
      </c>
      <c r="AF3" s="37">
        <f ca="1">AD3/2</f>
        <v>1.4540126333698604</v>
      </c>
      <c r="AG3" s="37">
        <f ca="1">IF(TODAY()-E3&gt;335,((M3+1+(LOG(J3)*4/3))*0.385),((M3+(((TODAY()-E3)^0.5)/(336^0.238))+(LOG(J3)*4/3))*0.385))</f>
        <v>1.3647857826190415</v>
      </c>
      <c r="AH3" s="37">
        <f ca="1">IF(TODAY()-E3&gt;335,((L3+1+(LOG(J3)*4/3))*0.92),((L3+(((TODAY()-E3)^0.5)/(336^0.5))+(LOG(J3)*4/3))*0.92))</f>
        <v>7.0966581017959349</v>
      </c>
      <c r="AI3" s="37">
        <f ca="1">IF(TODAY()-E3&gt;335,((L3+1+(LOG(J3)*4/3))*0.414),((L3+(((TODAY()-E3)^0.5)/(336^0.414))+(LOG(J3)*4/3))*0.414))</f>
        <v>3.2557010701651841</v>
      </c>
      <c r="AJ3" s="37">
        <f ca="1">IF(TODAY()-E3&gt;335,((M3+1+(LOG(J3)*4/3))*0.167),((M3+(((TODAY()-E3)^0.5)/(336^0.5))+(LOG(J3)*4/3))*0.167))</f>
        <v>0.45319772065208802</v>
      </c>
      <c r="AK3" s="37">
        <f ca="1">IF(TODAY()-E3&gt;335,((N3+1+(LOG(J3)*4/3))*0.588),((N3+(((TODAY()-E3)^0.5)/(336^0.5))+(LOG(J3)*4/3))*0.588))</f>
        <v>3.3596901781043575</v>
      </c>
      <c r="AL3" s="37">
        <f ca="1">IF(TODAY()-E3&gt;335,((L3+1+(LOG(J3)*4/3))*0.754),((L3+(((TODAY()-E3)^0.5)/(336^0.5))+(LOG(J3)*4/3))*0.754))</f>
        <v>5.8161741399501459</v>
      </c>
      <c r="AM3" s="37">
        <f ca="1">IF(TODAY()-E3&gt;335,((L3+1+(LOG(J3)*4/3))*0.708),((L3+(((TODAY()-E3)^0.5)/(336^0.414))+(LOG(J3)*4/3))*0.708))</f>
        <v>5.5677206707172715</v>
      </c>
      <c r="AN3" s="37">
        <f ca="1">IF(TODAY()-E3&gt;335,((Q3+1+(LOG(J3)*4/3))*0.167),((Q3+(((TODAY()-E3)^0.5)/(336^0.5))+(LOG(J3)*4/3))*0.167))</f>
        <v>0.78719772065208815</v>
      </c>
      <c r="AO3" s="37">
        <f ca="1">IF(TODAY()-E3&gt;335,((R3+1+(LOG(J3)*4/3))*0.288),((R3+(((TODAY()-E3)^0.5)/(336^0.5))+(LOG(J3)*4/3))*0.288))</f>
        <v>1.0695625362143792</v>
      </c>
      <c r="AP3" s="37">
        <f ca="1">IF(TODAY()-E3&gt;335,((L3+1+(LOG(J3)*4/3))*0.27),((L3+(((TODAY()-E3)^0.5)/(336^0.5))+(LOG(J3)*4/3))*0.27))</f>
        <v>2.082714877700981</v>
      </c>
      <c r="AQ3" s="37">
        <f ca="1">IF(TODAY()-E3&gt;335,((L3+1+(LOG(J3)*4/3))*0.594),((L3+(((TODAY()-E3)^0.5)/(336^0.5))+(LOG(J3)*4/3))*0.594))</f>
        <v>4.581972730942157</v>
      </c>
      <c r="AR3" s="37">
        <f ca="1">AP3/2</f>
        <v>1.0413574388504905</v>
      </c>
      <c r="AS3" s="37">
        <f ca="1">IF(TODAY()-E3&gt;335,((M3+1+(LOG(J3)*4/3))*0.944),((M3+(((TODAY()-E3)^0.5)/(336^0.5))+(LOG(J3)*4/3))*0.944))</f>
        <v>2.5617883131471317</v>
      </c>
      <c r="AT3" s="37">
        <f ca="1">IF(TODAY()-E3&gt;335,((O3+1+(LOG(J3)*4/3))*0.13),((O3+(((TODAY()-E3)^0.5)/(336^0.5))+(LOG(J3)*4/3))*0.13))</f>
        <v>1.0027886448189907</v>
      </c>
      <c r="AU3" s="37">
        <f ca="1">IF(TODAY()-E3&gt;335,((P3+1+(LOG(J3)*4/3))*0.173)+((O3+1+(LOG(J3)*4/3))*0.12),((P3+(((TODAY()-E3)^0.5)/(336^0.5))+(LOG(J3)*4/3))*0.173)+((O3+(((TODAY()-E3)^0.5)/(336^0.5))+(LOG(J3)*4/3))*0.12))</f>
        <v>1.9306075207220692</v>
      </c>
      <c r="AV3" s="37">
        <f ca="1">AT3/2</f>
        <v>0.50139432240949533</v>
      </c>
      <c r="AW3" s="37">
        <f ca="1">IF(TODAY()-E3&gt;335,((L3+1+(LOG(J3)*4/3))*0.189),((L3+(((TODAY()-E3)^0.5)/(336^0.5))+(LOG(J3)*4/3))*0.189))</f>
        <v>1.4579004143906864</v>
      </c>
      <c r="AX3" s="37">
        <f ca="1">IF(TODAY()-E3&gt;335,((L3+1+(LOG(J3)*4/3))*0.4),((L3+(((TODAY()-E3)^0.5)/(336^0.5))+(LOG(J3)*4/3))*0.4))</f>
        <v>3.0855035225199714</v>
      </c>
      <c r="AY3" s="37">
        <f ca="1">AW3/2</f>
        <v>0.7289502071953432</v>
      </c>
      <c r="AZ3" s="37">
        <f ca="1">IF(TODAY()-E3&gt;335,((M3+1+(LOG(J3)*4/3))*1),((M3+(((TODAY()-E3)^0.5)/(336^0.5))+(LOG(J3)*4/3))*1))</f>
        <v>2.7137588062999281</v>
      </c>
      <c r="BA3" s="37">
        <f ca="1">IF(TODAY()-E3&gt;335,((O3+1+(LOG(J3)*4/3))*0.253),((O3+(((TODAY()-E3)^0.5)/(336^0.5))+(LOG(J3)*4/3))*0.253))</f>
        <v>1.951580977993882</v>
      </c>
      <c r="BB3" s="37">
        <f ca="1">IF(TODAY()-E3&gt;335,((P3+1+(LOG(J3)*4/3))*0.21)+((O3+1+(LOG(J3)*4/3))*0.341),((P3+(((TODAY()-E3)^0.5)/(336^0.5))+(LOG(J3)*4/3))*0.21)+((O3+(((TODAY()-E3)^0.5)/(336^0.5))+(LOG(J3)*4/3))*0.341))</f>
        <v>3.8502811022712606</v>
      </c>
      <c r="BC3" s="37">
        <f ca="1">BA3/2</f>
        <v>0.97579048899694099</v>
      </c>
      <c r="BD3" s="37">
        <f ca="1">IF(TODAY()-E3&gt;335,((L3+1+(LOG(J3)*4/3))*0.291),((L3+(((TODAY()-E3)^0.5)/(336^0.5))+(LOG(J3)*4/3))*0.291))</f>
        <v>2.2447038126332792</v>
      </c>
      <c r="BE3" s="37">
        <f ca="1">IF(TODAY()-E3&gt;335,((L3+1+(LOG(J3)*4/3))*0.348),((L3+(((TODAY()-E3)^0.5)/(336^0.5))+(LOG(J3)*4/3))*0.348))</f>
        <v>2.6843880645923748</v>
      </c>
      <c r="BF3" s="37">
        <f ca="1">IF(TODAY()-E3&gt;335,((M3+1+(LOG(J3)*4/3))*0.881),((M3+(((TODAY()-E3)^0.5)/(336^0.5))+(LOG(J3)*4/3))*0.881))</f>
        <v>2.3908215083502364</v>
      </c>
      <c r="BG3" s="37">
        <f ca="1">IF(TODAY()-E3&gt;335,((N3+1+(LOG(J3)*4/3))*0.574)+((O3+1+(LOG(J3)*4/3))*0.315),((N3+(((TODAY()-E3)^0.5)/(336^0.5))+(LOG(J3)*4/3))*0.574)+((O3+(((TODAY()-E3)^0.5)/(336^0.5))+(LOG(J3)*4/3))*0.315))</f>
        <v>5.709531578800636</v>
      </c>
      <c r="BH3" s="37">
        <f ca="1">IF(TODAY()-E3&gt;335,((O3+1+(LOG(J3)*4/3))*0.241),((O3+(((TODAY()-E3)^0.5)/(336^0.5))+(LOG(J3)*4/3))*0.241))</f>
        <v>1.8590158723182828</v>
      </c>
      <c r="BI3" s="37">
        <f ca="1">IF(TODAY()-E3&gt;335,((L3+1+(LOG(J3)*4/3))*0.485),((L3+(((TODAY()-E3)^0.5)/(336^0.5))+(LOG(J3)*4/3))*0.485))</f>
        <v>3.7411730210554652</v>
      </c>
      <c r="BJ3" s="37">
        <f ca="1">IF(TODAY()-E3&gt;335,((L3+1+(LOG(J3)*4/3))*0.264),((L3+(((TODAY()-E3)^0.5)/(336^0.5))+(LOG(J3)*4/3))*0.264))</f>
        <v>2.0364323248631813</v>
      </c>
      <c r="BK3" s="37">
        <f ca="1">IF(TODAY()-E3&gt;335,((M3+1+(LOG(J3)*4/3))*0.381),((M3+(((TODAY()-E3)^0.5)/(336^0.5))+(LOG(J3)*4/3))*0.381))</f>
        <v>1.0339421052002726</v>
      </c>
      <c r="BL3" s="37">
        <f ca="1">IF(TODAY()-E3&gt;335,((N3+1+(LOG(J3)*4/3))*0.673)+((O3+1+(LOG(J3)*4/3))*0.201),((N3+(((TODAY()-E3)^0.5)/(336^0.5))+(LOG(J3)*4/3))*0.673)+((O3+(((TODAY()-E3)^0.5)/(336^0.5))+(LOG(J3)*4/3))*0.201))</f>
        <v>5.3958251967061379</v>
      </c>
      <c r="BM3" s="37">
        <f ca="1">IF(TODAY()-E3&gt;335,((O3+1+(LOG(J3)*4/3))*0.052),((O3+(((TODAY()-E3)^0.5)/(336^0.5))+(LOG(J3)*4/3))*0.052))</f>
        <v>0.40111545792759629</v>
      </c>
      <c r="BN3" s="37">
        <f ca="1">IF(TODAY()-E3&gt;335,((L3+1+(LOG(J3)*4/3))*0.18),((L3+(((TODAY()-E3)^0.5)/(336^0.5))+(LOG(J3)*4/3))*0.18))</f>
        <v>1.3884765851339871</v>
      </c>
      <c r="BO3" s="37">
        <f ca="1">IF(TODAY()-E3&gt;335,((L3+1+(LOG(J3)*4/3))*0.068),((L3+(((TODAY()-E3)^0.5)/(336^0.5))+(LOG(J3)*4/3))*0.068))</f>
        <v>0.52453559882839518</v>
      </c>
      <c r="BP3" s="37">
        <f ca="1">IF(TODAY()-E3&gt;335,((M3+1+(LOG(J3)*4/3))*0.305),((M3+(((TODAY()-E3)^0.5)/(336^0.5))+(LOG(J3)*4/3))*0.305))</f>
        <v>0.82769643592147801</v>
      </c>
      <c r="BQ3" s="37">
        <f ca="1">IF(TODAY()-E3&gt;335,((N3+1+(LOG(J3)*4/3))*1)+((O3+1+(LOG(J3)*4/3))*0.286),((N3+(((TODAY()-E3)^0.5)/(336^0.5))+(LOG(J3)*4/3))*1)+((O3+(((TODAY()-E3)^0.5)/(336^0.5))+(LOG(J3)*4/3))*0.286))</f>
        <v>7.9198938249017079</v>
      </c>
      <c r="BR3" s="37">
        <f ca="1">IF(TODAY()-E3&gt;335,((O3+1+(LOG(J3)*4/3))*0.135),((O3+(((TODAY()-E3)^0.5)/(336^0.5))+(LOG(J3)*4/3))*0.135))</f>
        <v>1.0413574388504905</v>
      </c>
      <c r="BS3" s="37">
        <f ca="1">IF(TODAY()-E3&gt;335,((L3+1+(LOG(J3)*4/3))*0.284),((L3+(((TODAY()-E3)^0.5)/(336^0.5))+(LOG(J3)*4/3))*0.284))</f>
        <v>2.1907075009891797</v>
      </c>
      <c r="BT3" s="37">
        <f ca="1">IF(TODAY()-E3&gt;335,((L3+1+(LOG(J3)*4/3))*0.244),((L3+(((TODAY()-E3)^0.5)/(336^0.5))+(LOG(J3)*4/3))*0.244))</f>
        <v>1.8821571487371824</v>
      </c>
      <c r="BU3" s="37">
        <f ca="1">IF(TODAY()-E3&gt;335,((M3+1+(LOG(J3)*4/3))*0.631),((M3+(((TODAY()-E3)^0.5)/(336^0.5))+(LOG(J3)*4/3))*0.631))</f>
        <v>1.7123818067752545</v>
      </c>
      <c r="BV3" s="37">
        <f ca="1">IF(TODAY()-E3&gt;335,((N3+1+(LOG(J3)*4/3))*0.702)+((O3+1+(LOG(J3)*4/3))*0.193),((N3+(((TODAY()-E3)^0.5)/(336^0.5))+(LOG(J3)*4/3))*0.702)+((O3+(((TODAY()-E3)^0.5)/(336^0.5))+(LOG(J3)*4/3))*0.193))</f>
        <v>5.4998141316384359</v>
      </c>
      <c r="BW3" s="37">
        <f ca="1">IF(TODAY()-E3&gt;335,((O3+1+(LOG(J3)*4/3))*0.148),((O3+(((TODAY()-E3)^0.5)/(336^0.5))+(LOG(J3)*4/3))*0.148))</f>
        <v>1.1416363033323893</v>
      </c>
      <c r="BX3" s="37">
        <f ca="1">IF(TODAY()-E3&gt;335,((M3+1+(LOG(J3)*4/3))*0.406),((M3+(((TODAY()-E3)^0.5)/(336^0.5))+(LOG(J3)*4/3))*0.406))</f>
        <v>1.1017860753577708</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3.4889635761775009</v>
      </c>
      <c r="BZ3" s="37">
        <f ca="1">IF(D3="TEC",IF(TODAY()-E3&gt;335,((O3+1+(LOG(J3)*4/3))*0.543)+((P3+1+(LOG(J3)*4/3))*0.583),((O3+(((TODAY()-E3)^0.5)/(336^0.5))+(LOG(J3)*4/3))*0.543)+((P3+(((TODAY()-E3)^0.5)/(336^0.5))+(LOG(J3)*4/3))*0.583)),IF(TODAY()-E3&gt;335,((O3+1+(LOG(J3)*4/3))*0.543)+((P3+1+(LOG(J3)*4/3))*0.583),((O3+(((TODAY()-E3)^0.5)/(336^0.5))+(LOG(J3)*4/3))*0.543)+((P3+(((TODAY()-E3)^0.5)/(336^0.5))+(LOG(J3)*4/3))*0.583)))</f>
        <v>7.5752162254175284</v>
      </c>
      <c r="CA3" s="37">
        <f ca="1">BY3</f>
        <v>3.4889635761775009</v>
      </c>
      <c r="CB3" s="37">
        <f ca="1">IF(TODAY()-E3&gt;335,((P3+1+(LOG(J3)*4/3))*0.26)+((N3+1+(LOG(J3)*4/3))*0.221)+((O3+1+(LOG(J3)*4/3))*0.142),((P3+(((TODAY()-E3)^0.5)/(336^0.5))+(LOG(J3)*4/3))*0.26)+((N3+(((TODAY()-E3)^0.5)/(336^0.5))+(LOG(J3)*4/3))*0.221)+((P3+(((TODAY()-E3)^0.5)/(336^0.5))+(LOG(J3)*4/3))*0.142))</f>
        <v>3.5979574506105694</v>
      </c>
      <c r="CC3" s="37">
        <f ca="1">IF(TODAY()-E3&gt;335,((P3+1+(LOG(J3)*4/3))*1)+((O3+1+(LOG(J3)*4/3))*0.369),((P3+(((TODAY()-E3)^0.5)/(336^0.5))+(LOG(J3)*4/3))*1)+((O3+(((TODAY()-E3)^0.5)/(336^0.5))+(LOG(J3)*4/3))*0.369))</f>
        <v>8.6553739010626973</v>
      </c>
      <c r="CD3" s="37">
        <f ca="1">CB3</f>
        <v>3.5979574506105694</v>
      </c>
      <c r="CE3" s="37">
        <f ca="1">IF(TODAY()-E3&gt;335,((M3+1+(LOG(J3)*4/3))*0.25),((M3+(((TODAY()-E3)^0.5)/(336^0.5))+(LOG(J3)*4/3))*0.25))</f>
        <v>0.67843970157498201</v>
      </c>
    </row>
    <row r="4" spans="1:83" x14ac:dyDescent="0.25">
      <c r="A4" t="str">
        <f>PLANTILLA!D5</f>
        <v>Marc Dolz</v>
      </c>
      <c r="B4">
        <f>PLANTILLA!E5</f>
        <v>17</v>
      </c>
      <c r="C4" s="33">
        <f ca="1">PLANTILLA!F5</f>
        <v>76</v>
      </c>
      <c r="D4" s="220" t="str">
        <f>PLANTILLA!G5</f>
        <v>POT</v>
      </c>
      <c r="E4" s="30">
        <f>PLANTILLA!M5</f>
        <v>43046</v>
      </c>
      <c r="F4" s="47">
        <f>PLANTILLA!Q5</f>
        <v>6</v>
      </c>
      <c r="G4" s="48">
        <f t="shared" ref="G4:G19" si="1">(F4/7)^0.5</f>
        <v>0.92582009977255142</v>
      </c>
      <c r="H4" s="48">
        <f t="shared" ref="H4:H19" si="2">IF(F4=7,1,((F4+0.99)/7)^0.5)</f>
        <v>0.99928545900129484</v>
      </c>
      <c r="I4" s="51">
        <f t="shared" ref="I4:I19" ca="1" si="3">IF(TODAY()-E4&gt;335,1,((TODAY()-E4)^0.5)/336^0.5)</f>
        <v>0.45316348358748287</v>
      </c>
      <c r="J4" s="39">
        <f>PLANTILLA!I5</f>
        <v>1</v>
      </c>
      <c r="K4" s="46">
        <f>PLANTILLA!X5</f>
        <v>0</v>
      </c>
      <c r="L4" s="46">
        <f>PLANTILLA!Y5</f>
        <v>4</v>
      </c>
      <c r="M4" s="46">
        <f>PLANTILLA!Z5</f>
        <v>4</v>
      </c>
      <c r="N4" s="46">
        <f>PLANTILLA!AA5</f>
        <v>3</v>
      </c>
      <c r="O4" s="46">
        <f>PLANTILLA!AB5</f>
        <v>4.2526666666666664</v>
      </c>
      <c r="P4" s="46">
        <f>PLANTILLA!AC5</f>
        <v>3.0666666666666669</v>
      </c>
      <c r="Q4" s="46">
        <f>PLANTILLA!AD5</f>
        <v>0.4</v>
      </c>
      <c r="R4" s="46">
        <f t="shared" ref="R4:R5" si="4">((2*(O4+1))+(L4+1))/8</f>
        <v>1.9381666666666666</v>
      </c>
      <c r="S4" s="46">
        <f t="shared" ref="S4:S5" si="5">(0.5*P4+ 0.3*Q4)/10</f>
        <v>0.16533333333333333</v>
      </c>
      <c r="T4" s="46">
        <f t="shared" ref="T4:T5" si="6">(0.4*L4+0.3*Q4)/10</f>
        <v>0.17200000000000001</v>
      </c>
      <c r="U4" s="46">
        <f t="shared" ref="U4:U5" ca="1" si="7">IF(TODAY()-E4&gt;335,(Q4+1+(LOG(J4)*4/3))*(F4/7)^0.5,(Q4+((TODAY()-E4)^0.5)/(336^0.5)+(LOG(J4)*4/3))*(F4/7)^0.5)</f>
        <v>0.78987590149726095</v>
      </c>
      <c r="V4" s="46">
        <f t="shared" ref="V4:V5" ca="1" si="8">IF(F4=7,U4,IF(TODAY()-E4&gt;335,(Q4+1+(LOG(J4)*4/3))*((F4+0.99)/7)^0.5,(Q4+((TODAY()-E4)^0.5)/(336^0.5)+(LOG(J4)*4/3))*((F4+0.99)/7)^0.5))</f>
        <v>0.85255386329986149</v>
      </c>
      <c r="W4" s="37">
        <f t="shared" ref="W4:W5" ca="1" si="9">IF(TODAY()-E4&gt;335,((K4+1+(LOG(J4)*4/3))*0.597)+((L4+1+(LOG(J4)*4/3))*0.276),((K4+(((TODAY()-E4)^0.5)/(336^0.5))+(LOG(J4)*4/3))*0.597)+((L4+(((TODAY()-E4)^0.5)/(336^0.5))+(LOG(J4)*4/3))*0.276))</f>
        <v>1.4996117211718727</v>
      </c>
      <c r="X4" s="37">
        <f t="shared" ref="X4:X5" ca="1" si="10">IF(TODAY()-E4&gt;335,((K4+1+(LOG(J4)*4/3))*0.866)+((L4+1+(LOG(J4)*4/3))*0.425),((K4+(((TODAY()-E4)^0.5)/(336^0.5))+(LOG(J4)*4/3))*0.866)+((L4+(((TODAY()-E4)^0.5)/(336^0.5))+(LOG(J4)*4/3))*0.425))</f>
        <v>2.2850340573114405</v>
      </c>
      <c r="Y4" s="37">
        <f t="shared" ref="Y4:Y5" ca="1" si="11">W4</f>
        <v>1.4996117211718727</v>
      </c>
      <c r="Z4" s="37">
        <f t="shared" ref="Z4:Z5" ca="1" si="12">IF(TODAY()-E4&gt;335,((L4+1+(LOG(J4)*4/3))*0.516),((L4+(((TODAY()-E4)^0.5)/(336^0.516))+(LOG(J4)*4/3))*0.516))</f>
        <v>2.2770508051799503</v>
      </c>
      <c r="AA4" s="37">
        <f t="shared" ref="AA4:AA5" ca="1" si="13">IF(TODAY()-E4&gt;335,((L4+1+(LOG(J4)*4/3))*1),((L4+(((TODAY()-E4)^0.5)/(336^0.5))+(LOG(J4)*4/3))*1))</f>
        <v>4.4531634835874829</v>
      </c>
      <c r="AB4" s="37">
        <f t="shared" ref="AB4:AB5" ca="1" si="14">Z4/2</f>
        <v>1.1385254025899751</v>
      </c>
      <c r="AC4" s="37">
        <f t="shared" ref="AC4:AC5" ca="1" si="15">IF(TODAY()-E4&gt;335,((M4+1+(LOG(J4)*4/3))*0.238),((M4+(((TODAY()-E4)^0.5)/(336^0.238))+(LOG(J4)*4/3))*0.238))</f>
        <v>1.4471454064808642</v>
      </c>
      <c r="AD4" s="37">
        <f t="shared" ref="AD4:AD5" ca="1" si="16">IF(TODAY()-E4&gt;335,((L4+1+(LOG(J4)*4/3))*0.378),((L4+(((TODAY()-E4)^0.5)/(336^0.516))+(LOG(J4)*4/3))*0.378))</f>
        <v>1.6680721014690334</v>
      </c>
      <c r="AE4" s="37">
        <f t="shared" ref="AE4:AE5" ca="1" si="17">IF(TODAY()-E4&gt;335,((L4+1+(LOG(J4)*4/3))*0.723),((L4+(((TODAY()-E4)^0.5)/(336^0.5))+(LOG(J4)*4/3))*0.723))</f>
        <v>3.21963719863375</v>
      </c>
      <c r="AF4" s="37">
        <f t="shared" ref="AF4:AF5" ca="1" si="18">AD4/2</f>
        <v>0.8340360507345167</v>
      </c>
      <c r="AG4" s="37">
        <f t="shared" ref="AG4:AG5" ca="1" si="19">IF(TODAY()-E4&gt;335,((M4+1+(LOG(J4)*4/3))*0.385),((M4+(((TODAY()-E4)^0.5)/(336^0.238))+(LOG(J4)*4/3))*0.385))</f>
        <v>2.3409705104837513</v>
      </c>
      <c r="AH4" s="37">
        <f t="shared" ref="AH4:AH5" ca="1" si="20">IF(TODAY()-E4&gt;335,((L4+1+(LOG(J4)*4/3))*0.92),((L4+(((TODAY()-E4)^0.5)/(336^0.5))+(LOG(J4)*4/3))*0.92))</f>
        <v>4.0969104049004841</v>
      </c>
      <c r="AI4" s="37">
        <f t="shared" ref="AI4:AI5" ca="1" si="21">IF(TODAY()-E4&gt;335,((L4+1+(LOG(J4)*4/3))*0.414),((L4+(((TODAY()-E4)^0.5)/(336^0.414))+(LOG(J4)*4/3))*0.414))</f>
        <v>1.9654000828450204</v>
      </c>
      <c r="AJ4" s="37">
        <f t="shared" ref="AJ4:AJ5" ca="1" si="22">IF(TODAY()-E4&gt;335,((M4+1+(LOG(J4)*4/3))*0.167),((M4+(((TODAY()-E4)^0.5)/(336^0.5))+(LOG(J4)*4/3))*0.167))</f>
        <v>0.74367830175910965</v>
      </c>
      <c r="AK4" s="37">
        <f t="shared" ref="AK4:AK5" ca="1" si="23">IF(TODAY()-E4&gt;335,((N4+1+(LOG(J4)*4/3))*0.588),((N4+(((TODAY()-E4)^0.5)/(336^0.5))+(LOG(J4)*4/3))*0.588))</f>
        <v>2.0304601283494397</v>
      </c>
      <c r="AL4" s="37">
        <f t="shared" ref="AL4:AL5" ca="1" si="24">IF(TODAY()-E4&gt;335,((L4+1+(LOG(J4)*4/3))*0.754),((L4+(((TODAY()-E4)^0.5)/(336^0.5))+(LOG(J4)*4/3))*0.754))</f>
        <v>3.3576852666249621</v>
      </c>
      <c r="AM4" s="37">
        <f t="shared" ref="AM4:AM5" ca="1" si="25">IF(TODAY()-E4&gt;335,((L4+1+(LOG(J4)*4/3))*0.708),((L4+(((TODAY()-E4)^0.5)/(336^0.414))+(LOG(J4)*4/3))*0.708))</f>
        <v>3.3611189822567016</v>
      </c>
      <c r="AN4" s="37">
        <f t="shared" ref="AN4:AN5" ca="1" si="26">IF(TODAY()-E4&gt;335,((Q4+1+(LOG(J4)*4/3))*0.167),((Q4+(((TODAY()-E4)^0.5)/(336^0.5))+(LOG(J4)*4/3))*0.167))</f>
        <v>0.14247830175910964</v>
      </c>
      <c r="AO4" s="37">
        <f t="shared" ref="AO4:AO5" ca="1" si="27">IF(TODAY()-E4&gt;335,((R4+1+(LOG(J4)*4/3))*0.288),((R4+(((TODAY()-E4)^0.5)/(336^0.5))+(LOG(J4)*4/3))*0.288))</f>
        <v>0.68870308327319496</v>
      </c>
      <c r="AP4" s="37">
        <f t="shared" ref="AP4:AP5" ca="1" si="28">IF(TODAY()-E4&gt;335,((L4+1+(LOG(J4)*4/3))*0.27),((L4+(((TODAY()-E4)^0.5)/(336^0.5))+(LOG(J4)*4/3))*0.27))</f>
        <v>1.2023541405686204</v>
      </c>
      <c r="AQ4" s="37">
        <f t="shared" ref="AQ4:AQ5" ca="1" si="29">IF(TODAY()-E4&gt;335,((L4+1+(LOG(J4)*4/3))*0.594),((L4+(((TODAY()-E4)^0.5)/(336^0.5))+(LOG(J4)*4/3))*0.594))</f>
        <v>2.6451791092509649</v>
      </c>
      <c r="AR4" s="37">
        <f t="shared" ref="AR4:AR5" ca="1" si="30">AP4/2</f>
        <v>0.60117707028431022</v>
      </c>
      <c r="AS4" s="37">
        <f t="shared" ref="AS4:AS5" ca="1" si="31">IF(TODAY()-E4&gt;335,((M4+1+(LOG(J4)*4/3))*0.944),((M4+(((TODAY()-E4)^0.5)/(336^0.5))+(LOG(J4)*4/3))*0.944))</f>
        <v>4.2037863285065837</v>
      </c>
      <c r="AT4" s="37">
        <f t="shared" ref="AT4:AT5" ca="1" si="32">IF(TODAY()-E4&gt;335,((O4+1+(LOG(J4)*4/3))*0.13),((O4+(((TODAY()-E4)^0.5)/(336^0.5))+(LOG(J4)*4/3))*0.13))</f>
        <v>0.61175791953303948</v>
      </c>
      <c r="AU4" s="37">
        <f t="shared" ref="AU4:AU5" ca="1" si="33">IF(TODAY()-E4&gt;335,((P4+1+(LOG(J4)*4/3))*0.173)+((O4+1+(LOG(J4)*4/3))*0.12),((P4+(((TODAY()-E4)^0.5)/(336^0.5))+(LOG(J4)*4/3))*0.173)+((O4+(((TODAY()-E4)^0.5)/(336^0.5))+(LOG(J4)*4/3))*0.12))</f>
        <v>1.1736302340244658</v>
      </c>
      <c r="AV4" s="37">
        <f t="shared" ref="AV4:AV5" ca="1" si="34">AT4/2</f>
        <v>0.30587895976651974</v>
      </c>
      <c r="AW4" s="37">
        <f t="shared" ref="AW4:AW5" ca="1" si="35">IF(TODAY()-E4&gt;335,((L4+1+(LOG(J4)*4/3))*0.189),((L4+(((TODAY()-E4)^0.5)/(336^0.5))+(LOG(J4)*4/3))*0.189))</f>
        <v>0.84164789839803433</v>
      </c>
      <c r="AX4" s="37">
        <f t="shared" ref="AX4:AX5" ca="1" si="36">IF(TODAY()-E4&gt;335,((L4+1+(LOG(J4)*4/3))*0.4),((L4+(((TODAY()-E4)^0.5)/(336^0.5))+(LOG(J4)*4/3))*0.4))</f>
        <v>1.7812653934349933</v>
      </c>
      <c r="AY4" s="37">
        <f t="shared" ref="AY4:AY5" ca="1" si="37">AW4/2</f>
        <v>0.42082394919901717</v>
      </c>
      <c r="AZ4" s="37">
        <f t="shared" ref="AZ4:AZ5" ca="1" si="38">IF(TODAY()-E4&gt;335,((M4+1+(LOG(J4)*4/3))*1),((M4+(((TODAY()-E4)^0.5)/(336^0.5))+(LOG(J4)*4/3))*1))</f>
        <v>4.4531634835874829</v>
      </c>
      <c r="BA4" s="37">
        <f t="shared" ref="BA4:BA5" ca="1" si="39">IF(TODAY()-E4&gt;335,((O4+1+(LOG(J4)*4/3))*0.253),((O4+(((TODAY()-E4)^0.5)/(336^0.5))+(LOG(J4)*4/3))*0.253))</f>
        <v>1.1905750280142997</v>
      </c>
      <c r="BB4" s="37">
        <f t="shared" ref="BB4:BB5" ca="1" si="40">IF(TODAY()-E4&gt;335,((P4+1+(LOG(J4)*4/3))*0.21)+((O4+1+(LOG(J4)*4/3))*0.341),((P4+(((TODAY()-E4)^0.5)/(336^0.5))+(LOG(J4)*4/3))*0.21)+((O4+(((TODAY()-E4)^0.5)/(336^0.5))+(LOG(J4)*4/3))*0.341))</f>
        <v>2.3438524127900364</v>
      </c>
      <c r="BC4" s="37">
        <f t="shared" ref="BC4:BC5" ca="1" si="41">BA4/2</f>
        <v>0.59528751400714985</v>
      </c>
      <c r="BD4" s="37">
        <f t="shared" ref="BD4:BD5" ca="1" si="42">IF(TODAY()-E4&gt;335,((L4+1+(LOG(J4)*4/3))*0.291),((L4+(((TODAY()-E4)^0.5)/(336^0.5))+(LOG(J4)*4/3))*0.291))</f>
        <v>1.2958705737239575</v>
      </c>
      <c r="BE4" s="37">
        <f t="shared" ref="BE4:BE5" ca="1" si="43">IF(TODAY()-E4&gt;335,((L4+1+(LOG(J4)*4/3))*0.348),((L4+(((TODAY()-E4)^0.5)/(336^0.5))+(LOG(J4)*4/3))*0.348))</f>
        <v>1.5497008922884439</v>
      </c>
      <c r="BF4" s="37">
        <f t="shared" ref="BF4:BF5" ca="1" si="44">IF(TODAY()-E4&gt;335,((M4+1+(LOG(J4)*4/3))*0.881),((M4+(((TODAY()-E4)^0.5)/(336^0.5))+(LOG(J4)*4/3))*0.881))</f>
        <v>3.9232370290405725</v>
      </c>
      <c r="BG4" s="37">
        <f t="shared" ref="BG4:BG5" ca="1" si="45">IF(TODAY()-E4&gt;335,((N4+1+(LOG(J4)*4/3))*0.574)+((O4+1+(LOG(J4)*4/3))*0.315),((N4+(((TODAY()-E4)^0.5)/(336^0.5))+(LOG(J4)*4/3))*0.574)+((O4+(((TODAY()-E4)^0.5)/(336^0.5))+(LOG(J4)*4/3))*0.315))</f>
        <v>3.4644523369092721</v>
      </c>
      <c r="BH4" s="37">
        <f t="shared" ref="BH4:BH5" ca="1" si="46">IF(TODAY()-E4&gt;335,((O4+1+(LOG(J4)*4/3))*0.241),((O4+(((TODAY()-E4)^0.5)/(336^0.5))+(LOG(J4)*4/3))*0.241))</f>
        <v>1.13410506621125</v>
      </c>
      <c r="BI4" s="37">
        <f t="shared" ref="BI4:BI5" ca="1" si="47">IF(TODAY()-E4&gt;335,((L4+1+(LOG(J4)*4/3))*0.485),((L4+(((TODAY()-E4)^0.5)/(336^0.5))+(LOG(J4)*4/3))*0.485))</f>
        <v>2.1597842895399291</v>
      </c>
      <c r="BJ4" s="37">
        <f t="shared" ref="BJ4:BJ5" ca="1" si="48">IF(TODAY()-E4&gt;335,((L4+1+(LOG(J4)*4/3))*0.264),((L4+(((TODAY()-E4)^0.5)/(336^0.5))+(LOG(J4)*4/3))*0.264))</f>
        <v>1.1756351596670955</v>
      </c>
      <c r="BK4" s="37">
        <f t="shared" ref="BK4:BK5" ca="1" si="49">IF(TODAY()-E4&gt;335,((M4+1+(LOG(J4)*4/3))*0.381),((M4+(((TODAY()-E4)^0.5)/(336^0.5))+(LOG(J4)*4/3))*0.381))</f>
        <v>1.696655287246831</v>
      </c>
      <c r="BL4" s="37">
        <f t="shared" ref="BL4:BL5" ca="1" si="50">IF(TODAY()-E4&gt;335,((N4+1+(LOG(J4)*4/3))*0.673)+((O4+1+(LOG(J4)*4/3))*0.201),((N4+(((TODAY()-E4)^0.5)/(336^0.5))+(LOG(J4)*4/3))*0.673)+((O4+(((TODAY()-E4)^0.5)/(336^0.5))+(LOG(J4)*4/3))*0.201))</f>
        <v>3.2698508846554604</v>
      </c>
      <c r="BM4" s="37">
        <f t="shared" ref="BM4:BM5" ca="1" si="51">IF(TODAY()-E4&gt;335,((O4+1+(LOG(J4)*4/3))*0.052),((O4+(((TODAY()-E4)^0.5)/(336^0.5))+(LOG(J4)*4/3))*0.052))</f>
        <v>0.24470316781321574</v>
      </c>
      <c r="BN4" s="37">
        <f t="shared" ref="BN4:BN5" ca="1" si="52">IF(TODAY()-E4&gt;335,((L4+1+(LOG(J4)*4/3))*0.18),((L4+(((TODAY()-E4)^0.5)/(336^0.5))+(LOG(J4)*4/3))*0.18))</f>
        <v>0.80156942704574685</v>
      </c>
      <c r="BO4" s="37">
        <f t="shared" ref="BO4:BO5" ca="1" si="53">IF(TODAY()-E4&gt;335,((L4+1+(LOG(J4)*4/3))*0.068),((L4+(((TODAY()-E4)^0.5)/(336^0.5))+(LOG(J4)*4/3))*0.068))</f>
        <v>0.30281511688394885</v>
      </c>
      <c r="BP4" s="37">
        <f t="shared" ref="BP4:BP5" ca="1" si="54">IF(TODAY()-E4&gt;335,((M4+1+(LOG(J4)*4/3))*0.305),((M4+(((TODAY()-E4)^0.5)/(336^0.5))+(LOG(J4)*4/3))*0.305))</f>
        <v>1.3582148624941823</v>
      </c>
      <c r="BQ4" s="37">
        <f t="shared" ref="BQ4:BQ5" ca="1" si="55">IF(TODAY()-E4&gt;335,((N4+1+(LOG(J4)*4/3))*1)+((O4+1+(LOG(J4)*4/3))*0.286),((N4+(((TODAY()-E4)^0.5)/(336^0.5))+(LOG(J4)*4/3))*1)+((O4+(((TODAY()-E4)^0.5)/(336^0.5))+(LOG(J4)*4/3))*0.286))</f>
        <v>4.7990309065601693</v>
      </c>
      <c r="BR4" s="37">
        <f t="shared" ref="BR4:BR5" ca="1" si="56">IF(TODAY()-E4&gt;335,((O4+1+(LOG(J4)*4/3))*0.135),((O4+(((TODAY()-E4)^0.5)/(336^0.5))+(LOG(J4)*4/3))*0.135))</f>
        <v>0.6352870702843102</v>
      </c>
      <c r="BS4" s="37">
        <f t="shared" ref="BS4:BS5" ca="1" si="57">IF(TODAY()-E4&gt;335,((L4+1+(LOG(J4)*4/3))*0.284),((L4+(((TODAY()-E4)^0.5)/(336^0.5))+(LOG(J4)*4/3))*0.284))</f>
        <v>1.264698429338845</v>
      </c>
      <c r="BT4" s="37">
        <f t="shared" ref="BT4:BT5" ca="1" si="58">IF(TODAY()-E4&gt;335,((L4+1+(LOG(J4)*4/3))*0.244),((L4+(((TODAY()-E4)^0.5)/(336^0.5))+(LOG(J4)*4/3))*0.244))</f>
        <v>1.0865718899953458</v>
      </c>
      <c r="BU4" s="37">
        <f t="shared" ref="BU4:BU5" ca="1" si="59">IF(TODAY()-E4&gt;335,((M4+1+(LOG(J4)*4/3))*0.631),((M4+(((TODAY()-E4)^0.5)/(336^0.5))+(LOG(J4)*4/3))*0.631))</f>
        <v>2.8099461581437017</v>
      </c>
      <c r="BV4" s="37">
        <f t="shared" ref="BV4:BV5" ca="1" si="60">IF(TODAY()-E4&gt;335,((N4+1+(LOG(J4)*4/3))*0.702)+((O4+1+(LOG(J4)*4/3))*0.193),((N4+(((TODAY()-E4)^0.5)/(336^0.5))+(LOG(J4)*4/3))*0.702)+((O4+(((TODAY()-E4)^0.5)/(336^0.5))+(LOG(J4)*4/3))*0.193))</f>
        <v>3.3323459844774637</v>
      </c>
      <c r="BW4" s="37">
        <f t="shared" ref="BW4:BW5" ca="1" si="61">IF(TODAY()-E4&gt;335,((O4+1+(LOG(J4)*4/3))*0.148),((O4+(((TODAY()-E4)^0.5)/(336^0.5))+(LOG(J4)*4/3))*0.148))</f>
        <v>0.69646286223761411</v>
      </c>
      <c r="BX4" s="37">
        <f t="shared" ref="BX4:BX5" ca="1" si="62">IF(TODAY()-E4&gt;335,((M4+1+(LOG(J4)*4/3))*0.406),((M4+(((TODAY()-E4)^0.5)/(336^0.5))+(LOG(J4)*4/3))*0.406))</f>
        <v>1.8079843743365183</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2.1207315082824119</v>
      </c>
      <c r="BZ4" s="37">
        <f t="shared" ref="BZ4:BZ5" ca="1" si="64">IF(D4="TEC",IF(TODAY()-E4&gt;335,((O4+1+(LOG(J4)*4/3))*0.543)+((P4+1+(LOG(J4)*4/3))*0.583),((O4+(((TODAY()-E4)^0.5)/(336^0.5))+(LOG(J4)*4/3))*0.543)+((P4+(((TODAY()-E4)^0.5)/(336^0.5))+(LOG(J4)*4/3))*0.583)),IF(TODAY()-E4&gt;335,((O4+1+(LOG(J4)*4/3))*0.543)+((P4+1+(LOG(J4)*4/3))*0.583),((O4+(((TODAY()-E4)^0.5)/(336^0.5))+(LOG(J4)*4/3))*0.543)+((P4+(((TODAY()-E4)^0.5)/(336^0.5))+(LOG(J4)*4/3))*0.583)))</f>
        <v>4.6073267491861722</v>
      </c>
      <c r="CA4" s="37">
        <f t="shared" ref="CA4:CA5" ca="1" si="65">BY4</f>
        <v>2.1207315082824119</v>
      </c>
      <c r="CB4" s="37">
        <f t="shared" ref="CB4:CB5" ca="1" si="66">IF(TODAY()-E4&gt;335,((P4+1+(LOG(J4)*4/3))*0.26)+((N4+1+(LOG(J4)*4/3))*0.221)+((O4+1+(LOG(J4)*4/3))*0.142),((P4+(((TODAY()-E4)^0.5)/(336^0.5))+(LOG(J4)*4/3))*0.26)+((N4+(((TODAY()-E4)^0.5)/(336^0.5))+(LOG(J4)*4/3))*0.221)+((P4+(((TODAY()-E4)^0.5)/(336^0.5))+(LOG(J4)*4/3))*0.142))</f>
        <v>2.1781208502750022</v>
      </c>
      <c r="CC4" s="37">
        <f t="shared" ref="CC4:CC5" ca="1" si="67">IF(TODAY()-E4&gt;335,((P4+1+(LOG(J4)*4/3))*1)+((O4+1+(LOG(J4)*4/3))*0.369),((P4+(((TODAY()-E4)^0.5)/(336^0.5))+(LOG(J4)*4/3))*1)+((O4+(((TODAY()-E4)^0.5)/(336^0.5))+(LOG(J4)*4/3))*0.369))</f>
        <v>5.2562814756979304</v>
      </c>
      <c r="CD4" s="37">
        <f t="shared" ref="CD4:CD5" ca="1" si="68">CB4</f>
        <v>2.1781208502750022</v>
      </c>
      <c r="CE4" s="37">
        <f t="shared" ref="CE4:CE5" ca="1" si="69">IF(TODAY()-E4&gt;335,((M4+1+(LOG(J4)*4/3))*0.25),((M4+(((TODAY()-E4)^0.5)/(336^0.5))+(LOG(J4)*4/3))*0.25))</f>
        <v>1.1132908708968707</v>
      </c>
    </row>
    <row r="5" spans="1:83" x14ac:dyDescent="0.25">
      <c r="A5" t="str">
        <f>PLANTILLA!D6</f>
        <v>Manuel Parejo</v>
      </c>
      <c r="B5">
        <f>PLANTILLA!E6</f>
        <v>17</v>
      </c>
      <c r="C5" s="33">
        <f ca="1">PLANTILLA!F6</f>
        <v>23</v>
      </c>
      <c r="D5" s="220">
        <f>PLANTILLA!G6</f>
        <v>0</v>
      </c>
      <c r="E5" s="30">
        <f>PLANTILLA!M6</f>
        <v>43097</v>
      </c>
      <c r="F5" s="47">
        <f>PLANTILLA!Q6</f>
        <v>5</v>
      </c>
      <c r="G5" s="48">
        <f t="shared" si="1"/>
        <v>0.84515425472851657</v>
      </c>
      <c r="H5" s="48">
        <f t="shared" si="2"/>
        <v>0.92504826128926143</v>
      </c>
      <c r="I5" s="51">
        <f t="shared" ca="1" si="3"/>
        <v>0.23145502494313785</v>
      </c>
      <c r="J5" s="39">
        <f>PLANTILLA!I6</f>
        <v>1.1000000000000001</v>
      </c>
      <c r="K5" s="46">
        <f>PLANTILLA!X6</f>
        <v>0</v>
      </c>
      <c r="L5" s="46">
        <f>PLANTILLA!Y6</f>
        <v>5</v>
      </c>
      <c r="M5" s="46">
        <f>PLANTILLA!Z6</f>
        <v>6.7</v>
      </c>
      <c r="N5" s="46">
        <f>PLANTILLA!AA6</f>
        <v>3</v>
      </c>
      <c r="O5" s="46">
        <f>PLANTILLA!AB6</f>
        <v>2</v>
      </c>
      <c r="P5" s="46">
        <f>PLANTILLA!AC6</f>
        <v>3.1333333333333337</v>
      </c>
      <c r="Q5" s="46">
        <f>PLANTILLA!AD6</f>
        <v>2</v>
      </c>
      <c r="R5" s="46">
        <f t="shared" si="4"/>
        <v>1.5</v>
      </c>
      <c r="S5" s="46">
        <f t="shared" si="5"/>
        <v>0.2166666666666667</v>
      </c>
      <c r="T5" s="46">
        <f t="shared" si="6"/>
        <v>0.26</v>
      </c>
      <c r="U5" s="46">
        <f t="shared" ca="1" si="7"/>
        <v>1.9325679805341702</v>
      </c>
      <c r="V5" s="46">
        <f t="shared" ca="1" si="8"/>
        <v>2.1152572328831152</v>
      </c>
      <c r="W5" s="37">
        <f t="shared" ca="1" si="9"/>
        <v>1.6302413222995333</v>
      </c>
      <c r="X5" s="37">
        <f t="shared" ca="1" si="10"/>
        <v>2.4950590459206157</v>
      </c>
      <c r="Y5" s="37">
        <f t="shared" ca="1" si="11"/>
        <v>1.6302413222995333</v>
      </c>
      <c r="Z5" s="37">
        <f t="shared" ca="1" si="12"/>
        <v>2.7172947009645645</v>
      </c>
      <c r="AA5" s="37">
        <f t="shared" ca="1" si="13"/>
        <v>5.2866452718207713</v>
      </c>
      <c r="AB5" s="37">
        <f t="shared" ca="1" si="14"/>
        <v>1.3586473504822822</v>
      </c>
      <c r="AC5" s="37">
        <f t="shared" ca="1" si="15"/>
        <v>1.8606327353220955</v>
      </c>
      <c r="AD5" s="37">
        <f t="shared" ca="1" si="16"/>
        <v>1.9905763507065994</v>
      </c>
      <c r="AE5" s="37">
        <f t="shared" ca="1" si="17"/>
        <v>3.8222445315264175</v>
      </c>
      <c r="AF5" s="37">
        <f t="shared" ca="1" si="18"/>
        <v>0.99528817535329972</v>
      </c>
      <c r="AG5" s="37">
        <f t="shared" ca="1" si="19"/>
        <v>3.0098470718445665</v>
      </c>
      <c r="AH5" s="37">
        <f t="shared" ca="1" si="20"/>
        <v>4.8637136500751099</v>
      </c>
      <c r="AI5" s="37">
        <f t="shared" ca="1" si="21"/>
        <v>2.2508760668908132</v>
      </c>
      <c r="AJ5" s="37">
        <f t="shared" ca="1" si="22"/>
        <v>1.166769760394069</v>
      </c>
      <c r="AK5" s="37">
        <f t="shared" ca="1" si="23"/>
        <v>1.9325474198306134</v>
      </c>
      <c r="AL5" s="37">
        <f t="shared" ca="1" si="24"/>
        <v>3.9861305349528617</v>
      </c>
      <c r="AM5" s="37">
        <f t="shared" ca="1" si="25"/>
        <v>3.8493242883060281</v>
      </c>
      <c r="AN5" s="37">
        <f t="shared" ca="1" si="26"/>
        <v>0.38186976039406884</v>
      </c>
      <c r="AO5" s="37">
        <f t="shared" ca="1" si="27"/>
        <v>0.51455383828438206</v>
      </c>
      <c r="AP5" s="37">
        <f t="shared" ca="1" si="28"/>
        <v>1.4273942233916084</v>
      </c>
      <c r="AQ5" s="37">
        <f t="shared" ca="1" si="29"/>
        <v>3.1402672914615382</v>
      </c>
      <c r="AR5" s="37">
        <f t="shared" ca="1" si="30"/>
        <v>0.71369711169580419</v>
      </c>
      <c r="AS5" s="37">
        <f t="shared" ca="1" si="31"/>
        <v>6.5953931365988083</v>
      </c>
      <c r="AT5" s="37">
        <f t="shared" ca="1" si="32"/>
        <v>0.29726388533670028</v>
      </c>
      <c r="AU5" s="37">
        <f t="shared" ca="1" si="33"/>
        <v>0.86605373131015262</v>
      </c>
      <c r="AV5" s="37">
        <f t="shared" ca="1" si="34"/>
        <v>0.14863194266835014</v>
      </c>
      <c r="AW5" s="37">
        <f t="shared" ca="1" si="35"/>
        <v>0.99917595637412582</v>
      </c>
      <c r="AX5" s="37">
        <f t="shared" ca="1" si="36"/>
        <v>2.1146581087283085</v>
      </c>
      <c r="AY5" s="37">
        <f t="shared" ca="1" si="37"/>
        <v>0.49958797818706291</v>
      </c>
      <c r="AZ5" s="37">
        <f t="shared" ca="1" si="38"/>
        <v>6.9866452718207714</v>
      </c>
      <c r="BA5" s="37">
        <f t="shared" ca="1" si="39"/>
        <v>0.57852125377065511</v>
      </c>
      <c r="BB5" s="37">
        <f t="shared" ca="1" si="40"/>
        <v>1.4979415447732451</v>
      </c>
      <c r="BC5" s="37">
        <f t="shared" ca="1" si="41"/>
        <v>0.28926062688532755</v>
      </c>
      <c r="BD5" s="37">
        <f t="shared" ca="1" si="42"/>
        <v>1.5384137740998443</v>
      </c>
      <c r="BE5" s="37">
        <f t="shared" ca="1" si="43"/>
        <v>1.8397525545936282</v>
      </c>
      <c r="BF5" s="37">
        <f t="shared" ca="1" si="44"/>
        <v>6.1552344844741</v>
      </c>
      <c r="BG5" s="37">
        <f t="shared" ca="1" si="45"/>
        <v>2.6068276466486653</v>
      </c>
      <c r="BH5" s="37">
        <f t="shared" ca="1" si="46"/>
        <v>0.55108151050880583</v>
      </c>
      <c r="BI5" s="37">
        <f t="shared" ca="1" si="47"/>
        <v>2.5640229568330741</v>
      </c>
      <c r="BJ5" s="37">
        <f t="shared" ca="1" si="48"/>
        <v>1.3956743517606838</v>
      </c>
      <c r="BK5" s="37">
        <f t="shared" ca="1" si="49"/>
        <v>2.6619118485637139</v>
      </c>
      <c r="BL5" s="37">
        <f t="shared" ca="1" si="50"/>
        <v>2.6715279675713539</v>
      </c>
      <c r="BM5" s="37">
        <f t="shared" ca="1" si="51"/>
        <v>0.1189055541346801</v>
      </c>
      <c r="BN5" s="37">
        <f t="shared" ca="1" si="52"/>
        <v>0.95159614892773881</v>
      </c>
      <c r="BO5" s="37">
        <f t="shared" ca="1" si="53"/>
        <v>0.35949187848381248</v>
      </c>
      <c r="BP5" s="37">
        <f t="shared" ca="1" si="54"/>
        <v>2.1309268079053352</v>
      </c>
      <c r="BQ5" s="37">
        <f t="shared" ca="1" si="55"/>
        <v>3.9406258195615118</v>
      </c>
      <c r="BR5" s="37">
        <f t="shared" ca="1" si="56"/>
        <v>0.30869711169580416</v>
      </c>
      <c r="BS5" s="37">
        <f t="shared" ca="1" si="57"/>
        <v>1.5014072571970989</v>
      </c>
      <c r="BT5" s="37">
        <f t="shared" ca="1" si="58"/>
        <v>1.2899414463242682</v>
      </c>
      <c r="BU5" s="37">
        <f t="shared" ca="1" si="59"/>
        <v>4.4085731665189067</v>
      </c>
      <c r="BV5" s="37">
        <f t="shared" ca="1" si="60"/>
        <v>2.7485475182795902</v>
      </c>
      <c r="BW5" s="37">
        <f t="shared" ca="1" si="61"/>
        <v>0.33842350022947415</v>
      </c>
      <c r="BX5" s="37">
        <f t="shared" ca="1" si="62"/>
        <v>2.8365779803592335</v>
      </c>
      <c r="BY5" s="37">
        <f t="shared" ca="1" si="63"/>
        <v>1.4792755199519552</v>
      </c>
      <c r="BZ5" s="37">
        <f t="shared" ca="1" si="64"/>
        <v>3.2354959094035216</v>
      </c>
      <c r="CA5" s="37">
        <f t="shared" ca="1" si="65"/>
        <v>1.4792755199519552</v>
      </c>
      <c r="CB5" s="37">
        <f t="shared" ca="1" si="66"/>
        <v>2.1011800043443407</v>
      </c>
      <c r="CC5" s="37">
        <f t="shared" ca="1" si="67"/>
        <v>4.2637507104559695</v>
      </c>
      <c r="CD5" s="37">
        <f t="shared" ca="1" si="68"/>
        <v>2.1011800043443407</v>
      </c>
      <c r="CE5" s="37">
        <f t="shared" ca="1" si="69"/>
        <v>1.7466613179551929</v>
      </c>
    </row>
    <row r="6" spans="1:83" x14ac:dyDescent="0.25">
      <c r="A6" t="str">
        <f>PLANTILLA!D7</f>
        <v>Valeri Gomis</v>
      </c>
      <c r="B6">
        <f>PLANTILLA!E7</f>
        <v>17</v>
      </c>
      <c r="C6" s="33">
        <f ca="1">PLANTILLA!F7</f>
        <v>79</v>
      </c>
      <c r="D6" s="220" t="str">
        <f>PLANTILLA!G7</f>
        <v>IMP</v>
      </c>
      <c r="E6" s="30">
        <f>PLANTILLA!M7</f>
        <v>43051</v>
      </c>
      <c r="F6" s="47">
        <f>PLANTILLA!Q7</f>
        <v>6</v>
      </c>
      <c r="G6" s="48">
        <f t="shared" si="1"/>
        <v>0.92582009977255142</v>
      </c>
      <c r="H6" s="48">
        <f t="shared" si="2"/>
        <v>0.99928545900129484</v>
      </c>
      <c r="I6" s="51">
        <f t="shared" ca="1" si="3"/>
        <v>0.43643578047198478</v>
      </c>
      <c r="J6" s="39">
        <f>PLANTILLA!I7</f>
        <v>1.4</v>
      </c>
      <c r="K6" s="46">
        <f>PLANTILLA!X7</f>
        <v>0</v>
      </c>
      <c r="L6" s="46">
        <f>PLANTILLA!Y7</f>
        <v>6</v>
      </c>
      <c r="M6" s="46">
        <f>PLANTILLA!Z7</f>
        <v>3</v>
      </c>
      <c r="N6" s="46">
        <f>PLANTILLA!AA7</f>
        <v>3</v>
      </c>
      <c r="O6" s="46">
        <f>PLANTILLA!AB7</f>
        <v>5.4</v>
      </c>
      <c r="P6" s="46">
        <f>PLANTILLA!AC7</f>
        <v>4</v>
      </c>
      <c r="Q6" s="46">
        <f>PLANTILLA!AD7</f>
        <v>3</v>
      </c>
      <c r="R6" s="46">
        <f t="shared" ref="R6:R17" si="70">((2*(O6+1))+(L6+1))/8</f>
        <v>2.4750000000000001</v>
      </c>
      <c r="S6" s="46">
        <f t="shared" ref="S6:S17" si="71">(0.5*P6+ 0.3*Q6)/10</f>
        <v>0.28999999999999998</v>
      </c>
      <c r="T6" s="46">
        <f t="shared" ref="T6:T17" si="72">(0.4*L6+0.3*Q6)/10</f>
        <v>0.33</v>
      </c>
      <c r="U6" s="46">
        <f t="shared" ref="U6:U17" ca="1" si="73">IF(TODAY()-E6&gt;335,(Q6+1+(LOG(J6)*4/3))*(F6/7)^0.5,(Q6+((TODAY()-E6)^0.5)/(336^0.5)+(LOG(J6)*4/3))*(F6/7)^0.5)</f>
        <v>3.361905680566796</v>
      </c>
      <c r="V6" s="46">
        <f t="shared" ref="V6:V17" ca="1" si="74">IF(F6=7,U6,IF(TODAY()-E6&gt;335,(Q6+1+(LOG(J6)*4/3))*((F6+0.99)/7)^0.5,(Q6+((TODAY()-E6)^0.5)/(336^0.5)+(LOG(J6)*4/3))*((F6+0.99)/7)^0.5))</f>
        <v>3.6286784678250008</v>
      </c>
      <c r="W6" s="37">
        <f t="shared" ref="W6:W17" ca="1" si="75">IF(TODAY()-E6&gt;335,((K6+1+(LOG(J6)*4/3))*0.597)+((L6+1+(LOG(J6)*4/3))*0.276),((K6+(((TODAY()-E6)^0.5)/(336^0.5))+(LOG(J6)*4/3))*0.597)+((L6+(((TODAY()-E6)^0.5)/(336^0.5))+(LOG(J6)*4/3))*0.276))</f>
        <v>2.2071014698815121</v>
      </c>
      <c r="X6" s="37">
        <f t="shared" ref="X6:X17" ca="1" si="76">IF(TODAY()-E6&gt;335,((K6+1+(LOG(J6)*4/3))*0.866)+((L6+1+(LOG(J6)*4/3))*0.425),((K6+(((TODAY()-E6)^0.5)/(336^0.5))+(LOG(J6)*4/3))*0.866)+((L6+(((TODAY()-E6)^0.5)/(336^0.5))+(LOG(J6)*4/3))*0.425))</f>
        <v>3.3649736513368063</v>
      </c>
      <c r="Y6" s="37">
        <f t="shared" ref="Y6:Y17" ca="1" si="77">W6</f>
        <v>2.2071014698815121</v>
      </c>
      <c r="Z6" s="37">
        <f t="shared" ref="Z6:Z17" ca="1" si="78">IF(TODAY()-E6&gt;335,((L6+1+(LOG(J6)*4/3))*0.516),((L6+(((TODAY()-E6)^0.5)/(336^0.516))+(LOG(J6)*4/3))*0.516))</f>
        <v>3.4017225120042145</v>
      </c>
      <c r="AA6" s="37">
        <f t="shared" ref="AA6:AA17" ca="1" si="79">IF(TODAY()-E6&gt;335,((L6+1+(LOG(J6)*4/3))*1),((L6+(((TODAY()-E6)^0.5)/(336^0.5))+(LOG(J6)*4/3))*1))</f>
        <v>6.6312731613763027</v>
      </c>
      <c r="AB6" s="37">
        <f t="shared" ref="AB6:AB17" ca="1" si="80">Z6/2</f>
        <v>1.7008612560021072</v>
      </c>
      <c r="AC6" s="37">
        <f t="shared" ref="AC6:AC17" ca="1" si="81">IF(TODAY()-E6&gt;335,((M6+1+(LOG(J6)*4/3))*0.238),((M6+(((TODAY()-E6)^0.5)/(336^0.238))+(LOG(J6)*4/3))*0.238))</f>
        <v>1.237239313940818</v>
      </c>
      <c r="AD6" s="37">
        <f t="shared" ref="AD6:AD17" ca="1" si="82">IF(TODAY()-E6&gt;335,((L6+1+(LOG(J6)*4/3))*0.378),((L6+(((TODAY()-E6)^0.5)/(336^0.516))+(LOG(J6)*4/3))*0.378))</f>
        <v>2.4919595146077387</v>
      </c>
      <c r="AE6" s="37">
        <f t="shared" ref="AE6:AE17" ca="1" si="83">IF(TODAY()-E6&gt;335,((L6+1+(LOG(J6)*4/3))*0.723),((L6+(((TODAY()-E6)^0.5)/(336^0.5))+(LOG(J6)*4/3))*0.723))</f>
        <v>4.7944104956750664</v>
      </c>
      <c r="AF6" s="37">
        <f t="shared" ref="AF6:AF17" ca="1" si="84">AD6/2</f>
        <v>1.2459797573038693</v>
      </c>
      <c r="AG6" s="37">
        <f t="shared" ref="AG6:AG17" ca="1" si="85">IF(TODAY()-E6&gt;335,((M6+1+(LOG(J6)*4/3))*0.385),((M6+(((TODAY()-E6)^0.5)/(336^0.238))+(LOG(J6)*4/3))*0.385))</f>
        <v>2.0014165372572057</v>
      </c>
      <c r="AH6" s="37">
        <f t="shared" ref="AH6:AH17" ca="1" si="86">IF(TODAY()-E6&gt;335,((L6+1+(LOG(J6)*4/3))*0.92),((L6+(((TODAY()-E6)^0.5)/(336^0.5))+(LOG(J6)*4/3))*0.92))</f>
        <v>6.1007713084661992</v>
      </c>
      <c r="AI6" s="37">
        <f t="shared" ref="AI6:AI17" ca="1" si="87">IF(TODAY()-E6&gt;335,((L6+1+(LOG(J6)*4/3))*0.414),((L6+(((TODAY()-E6)^0.5)/(336^0.414))+(LOG(J6)*4/3))*0.414))</f>
        <v>2.8626418190392311</v>
      </c>
      <c r="AJ6" s="37">
        <f t="shared" ref="AJ6:AJ17" ca="1" si="88">IF(TODAY()-E6&gt;335,((M6+1+(LOG(J6)*4/3))*0.167),((M6+(((TODAY()-E6)^0.5)/(336^0.5))+(LOG(J6)*4/3))*0.167))</f>
        <v>0.60642261794984242</v>
      </c>
      <c r="AK6" s="37">
        <f t="shared" ref="AK6:AK17" ca="1" si="89">IF(TODAY()-E6&gt;335,((N6+1+(LOG(J6)*4/3))*0.588),((N6+(((TODAY()-E6)^0.5)/(336^0.5))+(LOG(J6)*4/3))*0.588))</f>
        <v>2.1351886188892655</v>
      </c>
      <c r="AL6" s="37">
        <f t="shared" ref="AL6:AL17" ca="1" si="90">IF(TODAY()-E6&gt;335,((L6+1+(LOG(J6)*4/3))*0.754),((L6+(((TODAY()-E6)^0.5)/(336^0.5))+(LOG(J6)*4/3))*0.754))</f>
        <v>4.999979963677732</v>
      </c>
      <c r="AM6" s="37">
        <f t="shared" ref="AM6:AM17" ca="1" si="91">IF(TODAY()-E6&gt;335,((L6+1+(LOG(J6)*4/3))*0.708),((L6+(((TODAY()-E6)^0.5)/(336^0.414))+(LOG(J6)*4/3))*0.708))</f>
        <v>4.8955323861830333</v>
      </c>
      <c r="AN6" s="37">
        <f t="shared" ref="AN6:AN17" ca="1" si="92">IF(TODAY()-E6&gt;335,((Q6+1+(LOG(J6)*4/3))*0.167),((Q6+(((TODAY()-E6)^0.5)/(336^0.5))+(LOG(J6)*4/3))*0.167))</f>
        <v>0.60642261794984242</v>
      </c>
      <c r="AO6" s="37">
        <f t="shared" ref="AO6:AO17" ca="1" si="93">IF(TODAY()-E6&gt;335,((R6+1+(LOG(J6)*4/3))*0.288),((R6+(((TODAY()-E6)^0.5)/(336^0.5))+(LOG(J6)*4/3))*0.288))</f>
        <v>0.89460667047637499</v>
      </c>
      <c r="AP6" s="37">
        <f t="shared" ref="AP6:AP17" ca="1" si="94">IF(TODAY()-E6&gt;335,((L6+1+(LOG(J6)*4/3))*0.27),((L6+(((TODAY()-E6)^0.5)/(336^0.5))+(LOG(J6)*4/3))*0.27))</f>
        <v>1.7904437535716018</v>
      </c>
      <c r="AQ6" s="37">
        <f t="shared" ref="AQ6:AQ17" ca="1" si="95">IF(TODAY()-E6&gt;335,((L6+1+(LOG(J6)*4/3))*0.594),((L6+(((TODAY()-E6)^0.5)/(336^0.5))+(LOG(J6)*4/3))*0.594))</f>
        <v>3.9389762578575236</v>
      </c>
      <c r="AR6" s="37">
        <f t="shared" ref="AR6:AR17" ca="1" si="96">AP6/2</f>
        <v>0.8952218767858009</v>
      </c>
      <c r="AS6" s="37">
        <f t="shared" ref="AS6:AS17" ca="1" si="97">IF(TODAY()-E6&gt;335,((M6+1+(LOG(J6)*4/3))*0.944),((M6+(((TODAY()-E6)^0.5)/(336^0.5))+(LOG(J6)*4/3))*0.944))</f>
        <v>3.4279218643392286</v>
      </c>
      <c r="AT6" s="37">
        <f t="shared" ref="AT6:AT17" ca="1" si="98">IF(TODAY()-E6&gt;335,((O6+1+(LOG(J6)*4/3))*0.13),((O6+(((TODAY()-E6)^0.5)/(336^0.5))+(LOG(J6)*4/3))*0.13))</f>
        <v>0.78406551097891941</v>
      </c>
      <c r="AU6" s="37">
        <f t="shared" ref="AU6:AU17" ca="1" si="99">IF(TODAY()-E6&gt;335,((P6+1+(LOG(J6)*4/3))*0.173)+((O6+1+(LOG(J6)*4/3))*0.12),((P6+(((TODAY()-E6)^0.5)/(336^0.5))+(LOG(J6)*4/3))*0.173)+((O6+(((TODAY()-E6)^0.5)/(336^0.5))+(LOG(J6)*4/3))*0.12))</f>
        <v>1.5249630362832567</v>
      </c>
      <c r="AV6" s="37">
        <f t="shared" ref="AV6:AV17" ca="1" si="100">AT6/2</f>
        <v>0.39203275548945971</v>
      </c>
      <c r="AW6" s="37">
        <f t="shared" ref="AW6:AW17" ca="1" si="101">IF(TODAY()-E6&gt;335,((L6+1+(LOG(J6)*4/3))*0.189),((L6+(((TODAY()-E6)^0.5)/(336^0.5))+(LOG(J6)*4/3))*0.189))</f>
        <v>1.2533106275001211</v>
      </c>
      <c r="AX6" s="37">
        <f t="shared" ref="AX6:AX17" ca="1" si="102">IF(TODAY()-E6&gt;335,((L6+1+(LOG(J6)*4/3))*0.4),((L6+(((TODAY()-E6)^0.5)/(336^0.5))+(LOG(J6)*4/3))*0.4))</f>
        <v>2.6525092645505213</v>
      </c>
      <c r="AY6" s="37">
        <f t="shared" ref="AY6:AY17" ca="1" si="103">AW6/2</f>
        <v>0.62665531375006056</v>
      </c>
      <c r="AZ6" s="37">
        <f t="shared" ref="AZ6:AZ17" ca="1" si="104">IF(TODAY()-E6&gt;335,((M6+1+(LOG(J6)*4/3))*1),((M6+(((TODAY()-E6)^0.5)/(336^0.5))+(LOG(J6)*4/3))*1))</f>
        <v>3.6312731613763019</v>
      </c>
      <c r="BA6" s="37">
        <f t="shared" ref="BA6:BA17" ca="1" si="105">IF(TODAY()-E6&gt;335,((O6+1+(LOG(J6)*4/3))*0.253),((O6+(((TODAY()-E6)^0.5)/(336^0.5))+(LOG(J6)*4/3))*0.253))</f>
        <v>1.5259121098282047</v>
      </c>
      <c r="BB6" s="37">
        <f t="shared" ref="BB6:BB17" ca="1" si="106">IF(TODAY()-E6&gt;335,((P6+1+(LOG(J6)*4/3))*0.21)+((O6+1+(LOG(J6)*4/3))*0.341),((P6+(((TODAY()-E6)^0.5)/(336^0.5))+(LOG(J6)*4/3))*0.21)+((O6+(((TODAY()-E6)^0.5)/(336^0.5))+(LOG(J6)*4/3))*0.341))</f>
        <v>3.0292315119183431</v>
      </c>
      <c r="BC6" s="37">
        <f t="shared" ref="BC6:BC17" ca="1" si="107">BA6/2</f>
        <v>0.76295605491410234</v>
      </c>
      <c r="BD6" s="37">
        <f t="shared" ref="BD6:BD17" ca="1" si="108">IF(TODAY()-E6&gt;335,((L6+1+(LOG(J6)*4/3))*0.291),((L6+(((TODAY()-E6)^0.5)/(336^0.5))+(LOG(J6)*4/3))*0.291))</f>
        <v>1.9297004899605039</v>
      </c>
      <c r="BE6" s="37">
        <f t="shared" ref="BE6:BE17" ca="1" si="109">IF(TODAY()-E6&gt;335,((L6+1+(LOG(J6)*4/3))*0.348),((L6+(((TODAY()-E6)^0.5)/(336^0.5))+(LOG(J6)*4/3))*0.348))</f>
        <v>2.3076830601589533</v>
      </c>
      <c r="BF6" s="37">
        <f t="shared" ref="BF6:BF17" ca="1" si="110">IF(TODAY()-E6&gt;335,((M6+1+(LOG(J6)*4/3))*0.881),((M6+(((TODAY()-E6)^0.5)/(336^0.5))+(LOG(J6)*4/3))*0.881))</f>
        <v>3.1991516551725221</v>
      </c>
      <c r="BG6" s="37">
        <f t="shared" ref="BG6:BG17" ca="1" si="111">IF(TODAY()-E6&gt;335,((N6+1+(LOG(J6)*4/3))*0.574)+((O6+1+(LOG(J6)*4/3))*0.315),((N6+(((TODAY()-E6)^0.5)/(336^0.5))+(LOG(J6)*4/3))*0.574)+((O6+(((TODAY()-E6)^0.5)/(336^0.5))+(LOG(J6)*4/3))*0.315))</f>
        <v>3.9842018404635327</v>
      </c>
      <c r="BH6" s="37">
        <f t="shared" ref="BH6:BH17" ca="1" si="112">IF(TODAY()-E6&gt;335,((O6+1+(LOG(J6)*4/3))*0.241),((O6+(((TODAY()-E6)^0.5)/(336^0.5))+(LOG(J6)*4/3))*0.241))</f>
        <v>1.453536831891689</v>
      </c>
      <c r="BI6" s="37">
        <f t="shared" ref="BI6:BI17" ca="1" si="113">IF(TODAY()-E6&gt;335,((L6+1+(LOG(J6)*4/3))*0.485),((L6+(((TODAY()-E6)^0.5)/(336^0.5))+(LOG(J6)*4/3))*0.485))</f>
        <v>3.2161674832675069</v>
      </c>
      <c r="BJ6" s="37">
        <f t="shared" ref="BJ6:BJ17" ca="1" si="114">IF(TODAY()-E6&gt;335,((L6+1+(LOG(J6)*4/3))*0.264),((L6+(((TODAY()-E6)^0.5)/(336^0.5))+(LOG(J6)*4/3))*0.264))</f>
        <v>1.7506561146033439</v>
      </c>
      <c r="BK6" s="37">
        <f t="shared" ref="BK6:BK17" ca="1" si="115">IF(TODAY()-E6&gt;335,((M6+1+(LOG(J6)*4/3))*0.381),((M6+(((TODAY()-E6)^0.5)/(336^0.5))+(LOG(J6)*4/3))*0.381))</f>
        <v>1.3835150744843709</v>
      </c>
      <c r="BL6" s="37">
        <f t="shared" ref="BL6:BL17" ca="1" si="116">IF(TODAY()-E6&gt;335,((N6+1+(LOG(J6)*4/3))*0.673)+((O6+1+(LOG(J6)*4/3))*0.201),((N6+(((TODAY()-E6)^0.5)/(336^0.5))+(LOG(J6)*4/3))*0.673)+((O6+(((TODAY()-E6)^0.5)/(336^0.5))+(LOG(J6)*4/3))*0.201))</f>
        <v>3.656132743042888</v>
      </c>
      <c r="BM6" s="37">
        <f t="shared" ref="BM6:BM17" ca="1" si="117">IF(TODAY()-E6&gt;335,((O6+1+(LOG(J6)*4/3))*0.052),((O6+(((TODAY()-E6)^0.5)/(336^0.5))+(LOG(J6)*4/3))*0.052))</f>
        <v>0.31362620439156774</v>
      </c>
      <c r="BN6" s="37">
        <f t="shared" ref="BN6:BN17" ca="1" si="118">IF(TODAY()-E6&gt;335,((L6+1+(LOG(J6)*4/3))*0.18),((L6+(((TODAY()-E6)^0.5)/(336^0.5))+(LOG(J6)*4/3))*0.18))</f>
        <v>1.1936291690477345</v>
      </c>
      <c r="BO6" s="37">
        <f t="shared" ref="BO6:BO17" ca="1" si="119">IF(TODAY()-E6&gt;335,((L6+1+(LOG(J6)*4/3))*0.068),((L6+(((TODAY()-E6)^0.5)/(336^0.5))+(LOG(J6)*4/3))*0.068))</f>
        <v>0.45092657497358862</v>
      </c>
      <c r="BP6" s="37">
        <f t="shared" ref="BP6:BP17" ca="1" si="120">IF(TODAY()-E6&gt;335,((M6+1+(LOG(J6)*4/3))*0.305),((M6+(((TODAY()-E6)^0.5)/(336^0.5))+(LOG(J6)*4/3))*0.305))</f>
        <v>1.1075383142197721</v>
      </c>
      <c r="BQ6" s="37">
        <f t="shared" ref="BQ6:BQ17" ca="1" si="121">IF(TODAY()-E6&gt;335,((N6+1+(LOG(J6)*4/3))*1)+((O6+1+(LOG(J6)*4/3))*0.286),((N6+(((TODAY()-E6)^0.5)/(336^0.5))+(LOG(J6)*4/3))*1)+((O6+(((TODAY()-E6)^0.5)/(336^0.5))+(LOG(J6)*4/3))*0.286))</f>
        <v>5.3562172855299242</v>
      </c>
      <c r="BR6" s="37">
        <f t="shared" ref="BR6:BR17" ca="1" si="122">IF(TODAY()-E6&gt;335,((O6+1+(LOG(J6)*4/3))*0.135),((O6+(((TODAY()-E6)^0.5)/(336^0.5))+(LOG(J6)*4/3))*0.135))</f>
        <v>0.81422187678580094</v>
      </c>
      <c r="BS6" s="37">
        <f t="shared" ref="BS6:BS17" ca="1" si="123">IF(TODAY()-E6&gt;335,((L6+1+(LOG(J6)*4/3))*0.284),((L6+(((TODAY()-E6)^0.5)/(336^0.5))+(LOG(J6)*4/3))*0.284))</f>
        <v>1.8832815778308698</v>
      </c>
      <c r="BT6" s="37">
        <f t="shared" ref="BT6:BT17" ca="1" si="124">IF(TODAY()-E6&gt;335,((L6+1+(LOG(J6)*4/3))*0.244),((L6+(((TODAY()-E6)^0.5)/(336^0.5))+(LOG(J6)*4/3))*0.244))</f>
        <v>1.6180306513758178</v>
      </c>
      <c r="BU6" s="37">
        <f t="shared" ref="BU6:BU17" ca="1" si="125">IF(TODAY()-E6&gt;335,((M6+1+(LOG(J6)*4/3))*0.631),((M6+(((TODAY()-E6)^0.5)/(336^0.5))+(LOG(J6)*4/3))*0.631))</f>
        <v>2.2913333648284464</v>
      </c>
      <c r="BV6" s="37">
        <f t="shared" ref="BV6:BV17" ca="1" si="126">IF(TODAY()-E6&gt;335,((N6+1+(LOG(J6)*4/3))*0.702)+((O6+1+(LOG(J6)*4/3))*0.193),((N6+(((TODAY()-E6)^0.5)/(336^0.5))+(LOG(J6)*4/3))*0.702)+((O6+(((TODAY()-E6)^0.5)/(336^0.5))+(LOG(J6)*4/3))*0.193))</f>
        <v>3.7131894794317901</v>
      </c>
      <c r="BW6" s="37">
        <f t="shared" ref="BW6:BW17" ca="1" si="127">IF(TODAY()-E6&gt;335,((O6+1+(LOG(J6)*4/3))*0.148),((O6+(((TODAY()-E6)^0.5)/(336^0.5))+(LOG(J6)*4/3))*0.148))</f>
        <v>0.89262842788369279</v>
      </c>
      <c r="BX6" s="37">
        <f t="shared" ref="BX6:BX17" ca="1" si="128">IF(TODAY()-E6&gt;335,((M6+1+(LOG(J6)*4/3))*0.406),((M6+(((TODAY()-E6)^0.5)/(336^0.5))+(LOG(J6)*4/3))*0.406))</f>
        <v>1.4742969035187787</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2.6188933170770534</v>
      </c>
      <c r="BZ6" s="37">
        <f t="shared" ref="BZ6:BZ17" ca="1" si="130">IF(D6="TEC",IF(TODAY()-E6&gt;335,((O6+1+(LOG(J6)*4/3))*0.543)+((P6+1+(LOG(J6)*4/3))*0.583),((O6+(((TODAY()-E6)^0.5)/(336^0.5))+(LOG(J6)*4/3))*0.543)+((P6+(((TODAY()-E6)^0.5)/(336^0.5))+(LOG(J6)*4/3))*0.583)),IF(TODAY()-E6&gt;335,((O6+1+(LOG(J6)*4/3))*0.543)+((P6+1+(LOG(J6)*4/3))*0.583),((O6+(((TODAY()-E6)^0.5)/(336^0.5))+(LOG(J6)*4/3))*0.543)+((P6+(((TODAY()-E6)^0.5)/(336^0.5))+(LOG(J6)*4/3))*0.583)))</f>
        <v>5.9750135797097172</v>
      </c>
      <c r="CA6" s="37">
        <f t="shared" ref="CA6:CA17" ca="1" si="131">BY6</f>
        <v>2.6188933170770534</v>
      </c>
      <c r="CB6" s="37">
        <f t="shared" ref="CB6:CB17" ca="1" si="132">IF(TODAY()-E6&gt;335,((P6+1+(LOG(J6)*4/3))*0.26)+((N6+1+(LOG(J6)*4/3))*0.221)+((O6+1+(LOG(J6)*4/3))*0.142),((P6+(((TODAY()-E6)^0.5)/(336^0.5))+(LOG(J6)*4/3))*0.26)+((N6+(((TODAY()-E6)^0.5)/(336^0.5))+(LOG(J6)*4/3))*0.221)+((P6+(((TODAY()-E6)^0.5)/(336^0.5))+(LOG(J6)*4/3))*0.142))</f>
        <v>2.6642831795374367</v>
      </c>
      <c r="CC6" s="37">
        <f t="shared" ref="CC6:CC17" ca="1" si="133">IF(TODAY()-E6&gt;335,((P6+1+(LOG(J6)*4/3))*1)+((O6+1+(LOG(J6)*4/3))*0.369),((P6+(((TODAY()-E6)^0.5)/(336^0.5))+(LOG(J6)*4/3))*1)+((O6+(((TODAY()-E6)^0.5)/(336^0.5))+(LOG(J6)*4/3))*0.369))</f>
        <v>6.8568129579241583</v>
      </c>
      <c r="CD6" s="37">
        <f t="shared" ref="CD6:CD17" ca="1" si="134">CB6</f>
        <v>2.6642831795374367</v>
      </c>
      <c r="CE6" s="37">
        <f t="shared" ref="CE6:CE17" ca="1" si="135">IF(TODAY()-E6&gt;335,((M6+1+(LOG(J6)*4/3))*0.25),((M6+(((TODAY()-E6)^0.5)/(336^0.5))+(LOG(J6)*4/3))*0.25))</f>
        <v>0.90781829034407546</v>
      </c>
    </row>
    <row r="7" spans="1:83" x14ac:dyDescent="0.25">
      <c r="A7" t="str">
        <f>PLANTILLA!D8</f>
        <v>J. G. de Minaya</v>
      </c>
      <c r="B7">
        <f>PLANTILLA!E8</f>
        <v>17</v>
      </c>
      <c r="C7" s="33">
        <f ca="1">PLANTILLA!F8</f>
        <v>89</v>
      </c>
      <c r="D7" s="220" t="str">
        <f>PLANTILLA!G8</f>
        <v>TEC</v>
      </c>
      <c r="E7" s="30">
        <f>PLANTILLA!M8</f>
        <v>43081</v>
      </c>
      <c r="F7" s="47">
        <f>PLANTILLA!Q8</f>
        <v>7</v>
      </c>
      <c r="G7" s="48">
        <f t="shared" si="1"/>
        <v>1</v>
      </c>
      <c r="H7" s="48">
        <f t="shared" si="2"/>
        <v>1</v>
      </c>
      <c r="I7" s="51">
        <f t="shared" ca="1" si="3"/>
        <v>0.31810450514017591</v>
      </c>
      <c r="J7" s="39">
        <f>PLANTILLA!I8</f>
        <v>1.5</v>
      </c>
      <c r="K7" s="46">
        <f>PLANTILLA!X8</f>
        <v>0</v>
      </c>
      <c r="L7" s="46">
        <f>PLANTILLA!Y8</f>
        <v>6</v>
      </c>
      <c r="M7" s="46">
        <f>PLANTILLA!Z8</f>
        <v>5</v>
      </c>
      <c r="N7" s="46">
        <f>PLANTILLA!AA8</f>
        <v>6</v>
      </c>
      <c r="O7" s="46">
        <f>PLANTILLA!AB8</f>
        <v>6</v>
      </c>
      <c r="P7" s="46">
        <f>PLANTILLA!AC8</f>
        <v>5.66</v>
      </c>
      <c r="Q7" s="46">
        <f>PLANTILLA!AD8</f>
        <v>0</v>
      </c>
      <c r="R7" s="46">
        <f t="shared" si="70"/>
        <v>2.625</v>
      </c>
      <c r="S7" s="46">
        <f t="shared" si="71"/>
        <v>0.28300000000000003</v>
      </c>
      <c r="T7" s="46">
        <f t="shared" si="72"/>
        <v>0.24000000000000005</v>
      </c>
      <c r="U7" s="46">
        <f t="shared" ca="1" si="73"/>
        <v>0.55289285054775084</v>
      </c>
      <c r="V7" s="46">
        <f t="shared" ca="1" si="74"/>
        <v>0.55289285054775084</v>
      </c>
      <c r="W7" s="37">
        <f t="shared" ca="1" si="75"/>
        <v>2.1386754585281866</v>
      </c>
      <c r="X7" s="37">
        <f t="shared" ca="1" si="76"/>
        <v>3.2637846700571465</v>
      </c>
      <c r="Y7" s="37">
        <f t="shared" ca="1" si="77"/>
        <v>2.1386754585281866</v>
      </c>
      <c r="Z7" s="37">
        <f t="shared" ca="1" si="78"/>
        <v>3.3667048068123768</v>
      </c>
      <c r="AA7" s="37">
        <f t="shared" ca="1" si="79"/>
        <v>6.5528928505477513</v>
      </c>
      <c r="AB7" s="37">
        <f t="shared" ca="1" si="80"/>
        <v>1.6833524034061884</v>
      </c>
      <c r="AC7" s="37">
        <f t="shared" ca="1" si="81"/>
        <v>1.5934539348298196</v>
      </c>
      <c r="AD7" s="37">
        <f t="shared" ca="1" si="82"/>
        <v>2.4663070096416249</v>
      </c>
      <c r="AE7" s="37">
        <f t="shared" ca="1" si="83"/>
        <v>4.7377415309460238</v>
      </c>
      <c r="AF7" s="37">
        <f t="shared" ca="1" si="84"/>
        <v>1.2331535048208124</v>
      </c>
      <c r="AG7" s="37">
        <f t="shared" ca="1" si="85"/>
        <v>2.5776460710482376</v>
      </c>
      <c r="AH7" s="37">
        <f t="shared" ca="1" si="86"/>
        <v>6.028661422503931</v>
      </c>
      <c r="AI7" s="37">
        <f t="shared" ca="1" si="87"/>
        <v>2.7983901313126105</v>
      </c>
      <c r="AJ7" s="37">
        <f t="shared" ca="1" si="88"/>
        <v>0.92733310604147456</v>
      </c>
      <c r="AK7" s="37">
        <f t="shared" ca="1" si="89"/>
        <v>3.8531009961220777</v>
      </c>
      <c r="AL7" s="37">
        <f t="shared" ca="1" si="90"/>
        <v>4.9408812093130043</v>
      </c>
      <c r="AM7" s="37">
        <f t="shared" ca="1" si="91"/>
        <v>4.7856526883317105</v>
      </c>
      <c r="AN7" s="37">
        <f t="shared" ca="1" si="92"/>
        <v>9.2333106041474391E-2</v>
      </c>
      <c r="AO7" s="37">
        <f t="shared" ca="1" si="93"/>
        <v>0.91523314095775221</v>
      </c>
      <c r="AP7" s="37">
        <f t="shared" ca="1" si="94"/>
        <v>1.7692810696478929</v>
      </c>
      <c r="AQ7" s="37">
        <f t="shared" ca="1" si="95"/>
        <v>3.8924183532253642</v>
      </c>
      <c r="AR7" s="37">
        <f t="shared" ca="1" si="96"/>
        <v>0.88464053482394645</v>
      </c>
      <c r="AS7" s="37">
        <f t="shared" ca="1" si="97"/>
        <v>5.2419308509170772</v>
      </c>
      <c r="AT7" s="37">
        <f t="shared" ca="1" si="98"/>
        <v>0.85187607057120773</v>
      </c>
      <c r="AU7" s="37">
        <f t="shared" ca="1" si="99"/>
        <v>1.8611776052104911</v>
      </c>
      <c r="AV7" s="37">
        <f t="shared" ca="1" si="100"/>
        <v>0.42593803528560387</v>
      </c>
      <c r="AW7" s="37">
        <f t="shared" ca="1" si="101"/>
        <v>1.238496748753525</v>
      </c>
      <c r="AX7" s="37">
        <f t="shared" ca="1" si="102"/>
        <v>2.6211571402191005</v>
      </c>
      <c r="AY7" s="37">
        <f t="shared" ca="1" si="103"/>
        <v>0.6192483743767625</v>
      </c>
      <c r="AZ7" s="37">
        <f t="shared" ca="1" si="104"/>
        <v>5.5528928505477513</v>
      </c>
      <c r="BA7" s="37">
        <f t="shared" ca="1" si="105"/>
        <v>1.6578818911885811</v>
      </c>
      <c r="BB7" s="37">
        <f t="shared" ca="1" si="106"/>
        <v>3.5392439606518113</v>
      </c>
      <c r="BC7" s="37">
        <f t="shared" ca="1" si="107"/>
        <v>0.82894094559429055</v>
      </c>
      <c r="BD7" s="37">
        <f t="shared" ca="1" si="108"/>
        <v>1.9068918195093956</v>
      </c>
      <c r="BE7" s="37">
        <f t="shared" ca="1" si="109"/>
        <v>2.2804067119906173</v>
      </c>
      <c r="BF7" s="37">
        <f t="shared" ca="1" si="110"/>
        <v>4.8920986013325685</v>
      </c>
      <c r="BG7" s="37">
        <f t="shared" ca="1" si="111"/>
        <v>5.8255217441369505</v>
      </c>
      <c r="BH7" s="37">
        <f t="shared" ca="1" si="112"/>
        <v>1.579247176982008</v>
      </c>
      <c r="BI7" s="37">
        <f t="shared" ca="1" si="113"/>
        <v>3.1781530325156595</v>
      </c>
      <c r="BJ7" s="37">
        <f t="shared" ca="1" si="114"/>
        <v>1.7299637125446063</v>
      </c>
      <c r="BK7" s="37">
        <f t="shared" ca="1" si="115"/>
        <v>2.1156521760586933</v>
      </c>
      <c r="BL7" s="37">
        <f t="shared" ca="1" si="116"/>
        <v>5.7272283513787343</v>
      </c>
      <c r="BM7" s="37">
        <f t="shared" ca="1" si="117"/>
        <v>0.34075042822848306</v>
      </c>
      <c r="BN7" s="37">
        <f t="shared" ca="1" si="118"/>
        <v>1.1795207130985952</v>
      </c>
      <c r="BO7" s="37">
        <f t="shared" ca="1" si="119"/>
        <v>0.44559671383724714</v>
      </c>
      <c r="BP7" s="37">
        <f t="shared" ca="1" si="120"/>
        <v>1.6936323194170642</v>
      </c>
      <c r="BQ7" s="37">
        <f t="shared" ca="1" si="121"/>
        <v>8.427020205804407</v>
      </c>
      <c r="BR7" s="37">
        <f t="shared" ca="1" si="122"/>
        <v>0.88464053482394645</v>
      </c>
      <c r="BS7" s="37">
        <f t="shared" ca="1" si="123"/>
        <v>1.8610215695555612</v>
      </c>
      <c r="BT7" s="37">
        <f t="shared" ca="1" si="124"/>
        <v>1.5989058555336513</v>
      </c>
      <c r="BU7" s="37">
        <f t="shared" ca="1" si="125"/>
        <v>3.5038753886956311</v>
      </c>
      <c r="BV7" s="37">
        <f t="shared" ca="1" si="126"/>
        <v>5.8648391012402374</v>
      </c>
      <c r="BW7" s="37">
        <f t="shared" ca="1" si="127"/>
        <v>0.96982814188106714</v>
      </c>
      <c r="BX7" s="37">
        <f t="shared" ca="1" si="128"/>
        <v>2.2544744973223874</v>
      </c>
      <c r="BY7" s="37">
        <f t="shared" ca="1" si="129"/>
        <v>3.8951086031791986</v>
      </c>
      <c r="BZ7" s="37">
        <f t="shared" ca="1" si="130"/>
        <v>7.1803373497167682</v>
      </c>
      <c r="CA7" s="37">
        <f t="shared" ca="1" si="131"/>
        <v>3.8951086031791986</v>
      </c>
      <c r="CB7" s="37">
        <f t="shared" ca="1" si="132"/>
        <v>3.9457722458912485</v>
      </c>
      <c r="CC7" s="37">
        <f t="shared" ca="1" si="133"/>
        <v>8.6309103123998714</v>
      </c>
      <c r="CD7" s="37">
        <f t="shared" ca="1" si="134"/>
        <v>3.9457722458912485</v>
      </c>
      <c r="CE7" s="37">
        <f t="shared" ca="1" si="135"/>
        <v>1.3882232126369378</v>
      </c>
    </row>
    <row r="8" spans="1:83" x14ac:dyDescent="0.25">
      <c r="A8" t="str">
        <f>PLANTILLA!D9</f>
        <v>Roberto Montero</v>
      </c>
      <c r="B8">
        <f>PLANTILLA!E9</f>
        <v>18</v>
      </c>
      <c r="C8" s="33">
        <f ca="1">PLANTILLA!F9</f>
        <v>11</v>
      </c>
      <c r="D8" s="220" t="str">
        <f>PLANTILLA!G9</f>
        <v>TEC</v>
      </c>
      <c r="E8" s="30">
        <f>PLANTILLA!M9</f>
        <v>43046</v>
      </c>
      <c r="F8" s="47">
        <f>PLANTILLA!Q9</f>
        <v>7</v>
      </c>
      <c r="G8" s="48">
        <f t="shared" si="1"/>
        <v>1</v>
      </c>
      <c r="H8" s="48">
        <f t="shared" si="2"/>
        <v>1</v>
      </c>
      <c r="I8" s="51">
        <f t="shared" ca="1" si="3"/>
        <v>0.45316348358748287</v>
      </c>
      <c r="J8" s="39">
        <f>PLANTILLA!I9</f>
        <v>0.5</v>
      </c>
      <c r="K8" s="46">
        <f>PLANTILLA!X9</f>
        <v>0</v>
      </c>
      <c r="L8" s="46">
        <f>PLANTILLA!Y9</f>
        <v>6</v>
      </c>
      <c r="M8" s="46">
        <f>PLANTILLA!Z9</f>
        <v>4</v>
      </c>
      <c r="N8" s="46">
        <f>PLANTILLA!AA9</f>
        <v>4</v>
      </c>
      <c r="O8" s="46">
        <f>PLANTILLA!AB9</f>
        <v>3.3028</v>
      </c>
      <c r="P8" s="46">
        <f>PLANTILLA!AC9</f>
        <v>3.5300000000000007</v>
      </c>
      <c r="Q8" s="46">
        <f>PLANTILLA!AD9</f>
        <v>6</v>
      </c>
      <c r="R8" s="46">
        <f t="shared" si="70"/>
        <v>1.9506999999999999</v>
      </c>
      <c r="S8" s="46">
        <f t="shared" si="71"/>
        <v>0.35650000000000004</v>
      </c>
      <c r="T8" s="46">
        <f t="shared" si="72"/>
        <v>0.42000000000000004</v>
      </c>
      <c r="U8" s="46">
        <f t="shared" ca="1" si="73"/>
        <v>6.0517901560355076</v>
      </c>
      <c r="V8" s="46">
        <f t="shared" ca="1" si="74"/>
        <v>6.0517901560355076</v>
      </c>
      <c r="W8" s="37">
        <f t="shared" ca="1" si="75"/>
        <v>1.7012128062189984</v>
      </c>
      <c r="X8" s="37">
        <f t="shared" ca="1" si="76"/>
        <v>2.6168610914418409</v>
      </c>
      <c r="Y8" s="37">
        <f t="shared" ca="1" si="77"/>
        <v>1.7012128062189984</v>
      </c>
      <c r="Z8" s="37">
        <f t="shared" ca="1" si="78"/>
        <v>3.1019421681631312</v>
      </c>
      <c r="AA8" s="37">
        <f t="shared" ca="1" si="79"/>
        <v>6.0517901560355076</v>
      </c>
      <c r="AB8" s="37">
        <f t="shared" ca="1" si="80"/>
        <v>1.5509710840815656</v>
      </c>
      <c r="AC8" s="37">
        <f t="shared" ca="1" si="81"/>
        <v>1.3516185545234942</v>
      </c>
      <c r="AD8" s="37">
        <f t="shared" ca="1" si="82"/>
        <v>2.2723529836543865</v>
      </c>
      <c r="AE8" s="37">
        <f t="shared" ca="1" si="83"/>
        <v>4.3754442828136719</v>
      </c>
      <c r="AF8" s="37">
        <f t="shared" ca="1" si="84"/>
        <v>1.1361764918271933</v>
      </c>
      <c r="AG8" s="37">
        <f t="shared" ca="1" si="85"/>
        <v>2.1864417793762407</v>
      </c>
      <c r="AH8" s="37">
        <f t="shared" ca="1" si="86"/>
        <v>5.567646943552667</v>
      </c>
      <c r="AI8" s="37">
        <f t="shared" ca="1" si="87"/>
        <v>2.6272315252385026</v>
      </c>
      <c r="AJ8" s="37">
        <f t="shared" ca="1" si="88"/>
        <v>0.67664895605792985</v>
      </c>
      <c r="AK8" s="37">
        <f t="shared" ca="1" si="89"/>
        <v>2.3824526117488785</v>
      </c>
      <c r="AL8" s="37">
        <f t="shared" ca="1" si="90"/>
        <v>4.5630497776507726</v>
      </c>
      <c r="AM8" s="37">
        <f t="shared" ca="1" si="91"/>
        <v>4.4929466663499031</v>
      </c>
      <c r="AN8" s="37">
        <f t="shared" ca="1" si="92"/>
        <v>1.0106489560579299</v>
      </c>
      <c r="AO8" s="37">
        <f t="shared" ca="1" si="93"/>
        <v>0.57671716493822622</v>
      </c>
      <c r="AP8" s="37">
        <f t="shared" ca="1" si="94"/>
        <v>1.6339833421295871</v>
      </c>
      <c r="AQ8" s="37">
        <f t="shared" ca="1" si="95"/>
        <v>3.5947633526850913</v>
      </c>
      <c r="AR8" s="37">
        <f t="shared" ca="1" si="96"/>
        <v>0.81699167106479353</v>
      </c>
      <c r="AS8" s="37">
        <f t="shared" ca="1" si="97"/>
        <v>3.8248899072975191</v>
      </c>
      <c r="AT8" s="37">
        <f t="shared" ca="1" si="98"/>
        <v>0.43609672028461605</v>
      </c>
      <c r="AU8" s="37">
        <f t="shared" ca="1" si="99"/>
        <v>1.022200515718404</v>
      </c>
      <c r="AV8" s="37">
        <f t="shared" ca="1" si="100"/>
        <v>0.21804836014230802</v>
      </c>
      <c r="AW8" s="37">
        <f t="shared" ca="1" si="101"/>
        <v>1.1437883394907109</v>
      </c>
      <c r="AX8" s="37">
        <f t="shared" ca="1" si="102"/>
        <v>2.4207160624142032</v>
      </c>
      <c r="AY8" s="37">
        <f t="shared" ca="1" si="103"/>
        <v>0.57189416974535545</v>
      </c>
      <c r="AZ8" s="37">
        <f t="shared" ca="1" si="104"/>
        <v>4.0517901560355076</v>
      </c>
      <c r="BA8" s="37">
        <f t="shared" ca="1" si="105"/>
        <v>0.84871130947698359</v>
      </c>
      <c r="BB8" s="37">
        <f t="shared" ca="1" si="106"/>
        <v>1.8960911759755652</v>
      </c>
      <c r="BC8" s="37">
        <f t="shared" ca="1" si="107"/>
        <v>0.42435565473849179</v>
      </c>
      <c r="BD8" s="37">
        <f t="shared" ca="1" si="108"/>
        <v>1.7610709354063325</v>
      </c>
      <c r="BE8" s="37">
        <f t="shared" ca="1" si="109"/>
        <v>2.1060229743003567</v>
      </c>
      <c r="BF8" s="37">
        <f t="shared" ca="1" si="110"/>
        <v>3.5696271274672822</v>
      </c>
      <c r="BG8" s="37">
        <f t="shared" ca="1" si="111"/>
        <v>3.3824234487155662</v>
      </c>
      <c r="BH8" s="37">
        <f t="shared" ca="1" si="112"/>
        <v>0.80845622760455738</v>
      </c>
      <c r="BI8" s="37">
        <f t="shared" ca="1" si="113"/>
        <v>2.935118225677221</v>
      </c>
      <c r="BJ8" s="37">
        <f t="shared" ca="1" si="114"/>
        <v>1.5976726011933742</v>
      </c>
      <c r="BK8" s="37">
        <f t="shared" ca="1" si="115"/>
        <v>1.5437320494495284</v>
      </c>
      <c r="BL8" s="37">
        <f t="shared" ca="1" si="116"/>
        <v>3.4011273963750339</v>
      </c>
      <c r="BM8" s="37">
        <f t="shared" ca="1" si="117"/>
        <v>0.17443868811384641</v>
      </c>
      <c r="BN8" s="37">
        <f t="shared" ca="1" si="118"/>
        <v>1.0893222280863912</v>
      </c>
      <c r="BO8" s="37">
        <f t="shared" ca="1" si="119"/>
        <v>0.41152173061041453</v>
      </c>
      <c r="BP8" s="37">
        <f t="shared" ca="1" si="120"/>
        <v>1.2357959975908297</v>
      </c>
      <c r="BQ8" s="37">
        <f t="shared" ca="1" si="121"/>
        <v>5.0112029406616632</v>
      </c>
      <c r="BR8" s="37">
        <f t="shared" ca="1" si="122"/>
        <v>0.45286967106479359</v>
      </c>
      <c r="BS8" s="37">
        <f t="shared" ca="1" si="123"/>
        <v>1.7187084043140841</v>
      </c>
      <c r="BT8" s="37">
        <f t="shared" ca="1" si="124"/>
        <v>1.4766367980726638</v>
      </c>
      <c r="BU8" s="37">
        <f t="shared" ca="1" si="125"/>
        <v>2.5566795884584055</v>
      </c>
      <c r="BV8" s="37">
        <f t="shared" ca="1" si="126"/>
        <v>3.4917925896517792</v>
      </c>
      <c r="BW8" s="37">
        <f t="shared" ca="1" si="127"/>
        <v>0.49647934309325514</v>
      </c>
      <c r="BX8" s="37">
        <f t="shared" ca="1" si="128"/>
        <v>1.6450268033504163</v>
      </c>
      <c r="BY8" s="37">
        <f t="shared" ca="1" si="129"/>
        <v>2.1495430837773406</v>
      </c>
      <c r="BZ8" s="37">
        <f t="shared" ca="1" si="130"/>
        <v>3.9097261156959826</v>
      </c>
      <c r="CA8" s="37">
        <f t="shared" ca="1" si="131"/>
        <v>2.1495430837773406</v>
      </c>
      <c r="CB8" s="37">
        <f t="shared" ca="1" si="132"/>
        <v>2.3353252672101217</v>
      </c>
      <c r="CC8" s="37">
        <f t="shared" ca="1" si="133"/>
        <v>4.8196339236126109</v>
      </c>
      <c r="CD8" s="37">
        <f t="shared" ca="1" si="134"/>
        <v>2.3353252672101217</v>
      </c>
      <c r="CE8" s="37">
        <f t="shared" ca="1" si="135"/>
        <v>1.0129475390088769</v>
      </c>
    </row>
    <row r="9" spans="1:83" x14ac:dyDescent="0.25">
      <c r="A9" t="str">
        <f>PLANTILLA!D10</f>
        <v>Eckardt Hägerling</v>
      </c>
      <c r="B9">
        <f>PLANTILLA!E10</f>
        <v>17</v>
      </c>
      <c r="C9" s="33">
        <f ca="1">PLANTILLA!F10</f>
        <v>75</v>
      </c>
      <c r="D9" s="220" t="str">
        <f>PLANTILLA!G10</f>
        <v>IMP</v>
      </c>
      <c r="E9" s="30">
        <f>PLANTILLA!M10</f>
        <v>43045</v>
      </c>
      <c r="F9" s="47">
        <f>PLANTILLA!Q10</f>
        <v>7</v>
      </c>
      <c r="G9" s="48">
        <f t="shared" si="1"/>
        <v>1</v>
      </c>
      <c r="H9" s="48">
        <f t="shared" si="2"/>
        <v>1</v>
      </c>
      <c r="I9" s="51">
        <f t="shared" ca="1" si="3"/>
        <v>0.45643546458763845</v>
      </c>
      <c r="J9" s="39">
        <f>PLANTILLA!I10</f>
        <v>1.3</v>
      </c>
      <c r="K9" s="46">
        <f>PLANTILLA!X10</f>
        <v>0</v>
      </c>
      <c r="L9" s="46">
        <f>PLANTILLA!Y10</f>
        <v>5</v>
      </c>
      <c r="M9" s="46">
        <f>PLANTILLA!Z10</f>
        <v>3</v>
      </c>
      <c r="N9" s="46">
        <f>PLANTILLA!AA10</f>
        <v>4</v>
      </c>
      <c r="O9" s="46">
        <f>PLANTILLA!AB10</f>
        <v>2.4356</v>
      </c>
      <c r="P9" s="46">
        <f>PLANTILLA!AC10</f>
        <v>3.9966666666666675</v>
      </c>
      <c r="Q9" s="46">
        <f>PLANTILLA!AD10</f>
        <v>3</v>
      </c>
      <c r="R9" s="46">
        <f t="shared" si="70"/>
        <v>1.6089</v>
      </c>
      <c r="S9" s="46">
        <f t="shared" si="71"/>
        <v>0.28983333333333333</v>
      </c>
      <c r="T9" s="46">
        <f t="shared" si="72"/>
        <v>0.28999999999999998</v>
      </c>
      <c r="U9" s="46">
        <f t="shared" ca="1" si="73"/>
        <v>3.6083599343300876</v>
      </c>
      <c r="V9" s="46">
        <f t="shared" ca="1" si="74"/>
        <v>3.6083599343300876</v>
      </c>
      <c r="W9" s="37">
        <f t="shared" ca="1" si="75"/>
        <v>1.9110982226701663</v>
      </c>
      <c r="X9" s="37">
        <f t="shared" ca="1" si="76"/>
        <v>2.9103926752201428</v>
      </c>
      <c r="Y9" s="37">
        <f t="shared" ca="1" si="77"/>
        <v>1.9110982226701663</v>
      </c>
      <c r="Z9" s="37">
        <f t="shared" ca="1" si="78"/>
        <v>2.8729821245051741</v>
      </c>
      <c r="AA9" s="37">
        <f t="shared" ca="1" si="79"/>
        <v>5.6083599343300872</v>
      </c>
      <c r="AB9" s="37">
        <f t="shared" ca="1" si="80"/>
        <v>1.436491062252587</v>
      </c>
      <c r="AC9" s="37">
        <f t="shared" ca="1" si="81"/>
        <v>1.2488785337929702</v>
      </c>
      <c r="AD9" s="37">
        <f t="shared" ca="1" si="82"/>
        <v>2.1046264400444876</v>
      </c>
      <c r="AE9" s="37">
        <f t="shared" ca="1" si="83"/>
        <v>4.0548442325206526</v>
      </c>
      <c r="AF9" s="37">
        <f t="shared" ca="1" si="84"/>
        <v>1.0523132200222438</v>
      </c>
      <c r="AG9" s="37">
        <f t="shared" ca="1" si="85"/>
        <v>2.0202446870180402</v>
      </c>
      <c r="AH9" s="37">
        <f t="shared" ca="1" si="86"/>
        <v>5.1596911395836802</v>
      </c>
      <c r="AI9" s="37">
        <f t="shared" ca="1" si="87"/>
        <v>2.4445307779452459</v>
      </c>
      <c r="AJ9" s="37">
        <f t="shared" ca="1" si="88"/>
        <v>0.60259610903312466</v>
      </c>
      <c r="AK9" s="37">
        <f t="shared" ca="1" si="89"/>
        <v>2.709715641386091</v>
      </c>
      <c r="AL9" s="37">
        <f t="shared" ca="1" si="90"/>
        <v>4.2287033904848856</v>
      </c>
      <c r="AM9" s="37">
        <f t="shared" ca="1" si="91"/>
        <v>4.1805019101092613</v>
      </c>
      <c r="AN9" s="37">
        <f t="shared" ca="1" si="92"/>
        <v>0.60259610903312466</v>
      </c>
      <c r="AO9" s="37">
        <f t="shared" ca="1" si="93"/>
        <v>0.63857086108706507</v>
      </c>
      <c r="AP9" s="37">
        <f t="shared" ca="1" si="94"/>
        <v>1.5142571822691235</v>
      </c>
      <c r="AQ9" s="37">
        <f t="shared" ca="1" si="95"/>
        <v>3.3313658009920717</v>
      </c>
      <c r="AR9" s="37">
        <f t="shared" ca="1" si="96"/>
        <v>0.75712859113456177</v>
      </c>
      <c r="AS9" s="37">
        <f t="shared" ca="1" si="97"/>
        <v>3.4062917780076027</v>
      </c>
      <c r="AT9" s="37">
        <f t="shared" ca="1" si="98"/>
        <v>0.39571479146291139</v>
      </c>
      <c r="AU9" s="37">
        <f t="shared" ca="1" si="99"/>
        <v>1.1619447940920489</v>
      </c>
      <c r="AV9" s="37">
        <f t="shared" ca="1" si="100"/>
        <v>0.19785739573145569</v>
      </c>
      <c r="AW9" s="37">
        <f t="shared" ca="1" si="101"/>
        <v>1.0599800275883864</v>
      </c>
      <c r="AX9" s="37">
        <f t="shared" ca="1" si="102"/>
        <v>2.2433439737320349</v>
      </c>
      <c r="AY9" s="37">
        <f t="shared" ca="1" si="103"/>
        <v>0.52999001379419319</v>
      </c>
      <c r="AZ9" s="37">
        <f t="shared" ca="1" si="104"/>
        <v>3.6083599343300876</v>
      </c>
      <c r="BA9" s="37">
        <f t="shared" ca="1" si="105"/>
        <v>0.77012186338551214</v>
      </c>
      <c r="BB9" s="37">
        <f t="shared" ca="1" si="106"/>
        <v>2.0050459238158784</v>
      </c>
      <c r="BC9" s="37">
        <f t="shared" ca="1" si="107"/>
        <v>0.38506093169275607</v>
      </c>
      <c r="BD9" s="37">
        <f t="shared" ca="1" si="108"/>
        <v>1.6320327408900552</v>
      </c>
      <c r="BE9" s="37">
        <f t="shared" ca="1" si="109"/>
        <v>1.9517092571468702</v>
      </c>
      <c r="BF9" s="37">
        <f t="shared" ca="1" si="110"/>
        <v>3.1789651021448071</v>
      </c>
      <c r="BG9" s="37">
        <f t="shared" ca="1" si="111"/>
        <v>3.6040459816194472</v>
      </c>
      <c r="BH9" s="37">
        <f t="shared" ca="1" si="112"/>
        <v>0.73359434417355107</v>
      </c>
      <c r="BI9" s="37">
        <f t="shared" ca="1" si="113"/>
        <v>2.7200545681500921</v>
      </c>
      <c r="BJ9" s="37">
        <f t="shared" ca="1" si="114"/>
        <v>1.4806070226631431</v>
      </c>
      <c r="BK9" s="37">
        <f t="shared" ca="1" si="115"/>
        <v>1.3747851349797633</v>
      </c>
      <c r="BL9" s="37">
        <f t="shared" ca="1" si="116"/>
        <v>3.7132621826044963</v>
      </c>
      <c r="BM9" s="37">
        <f t="shared" ca="1" si="117"/>
        <v>0.15828591658516455</v>
      </c>
      <c r="BN9" s="37">
        <f t="shared" ca="1" si="118"/>
        <v>1.0095047881794157</v>
      </c>
      <c r="BO9" s="37">
        <f t="shared" ca="1" si="119"/>
        <v>0.38136847553444597</v>
      </c>
      <c r="BP9" s="37">
        <f t="shared" ca="1" si="120"/>
        <v>1.1005497799706767</v>
      </c>
      <c r="BQ9" s="37">
        <f t="shared" ca="1" si="121"/>
        <v>5.4789324755484925</v>
      </c>
      <c r="BR9" s="37">
        <f t="shared" ca="1" si="122"/>
        <v>0.41093459113456188</v>
      </c>
      <c r="BS9" s="37">
        <f t="shared" ca="1" si="123"/>
        <v>1.5927742213497447</v>
      </c>
      <c r="BT9" s="37">
        <f t="shared" ca="1" si="124"/>
        <v>1.3684398239765412</v>
      </c>
      <c r="BU9" s="37">
        <f t="shared" ca="1" si="125"/>
        <v>2.2768751185622853</v>
      </c>
      <c r="BV9" s="37">
        <f t="shared" ca="1" si="126"/>
        <v>3.8225529412254278</v>
      </c>
      <c r="BW9" s="37">
        <f t="shared" ca="1" si="127"/>
        <v>0.45050607028085293</v>
      </c>
      <c r="BX9" s="37">
        <f t="shared" ca="1" si="128"/>
        <v>1.4649941333380156</v>
      </c>
      <c r="BY9" s="37">
        <f t="shared" ca="1" si="129"/>
        <v>2.0094321924526422</v>
      </c>
      <c r="BZ9" s="37">
        <f t="shared" ca="1" si="130"/>
        <v>4.337600752722345</v>
      </c>
      <c r="CA9" s="37">
        <f t="shared" ca="1" si="131"/>
        <v>2.0094321924526422</v>
      </c>
      <c r="CB9" s="37">
        <f t="shared" ca="1" si="132"/>
        <v>2.8696682390876442</v>
      </c>
      <c r="CC9" s="37">
        <f t="shared" ca="1" si="133"/>
        <v>5.7282478167645561</v>
      </c>
      <c r="CD9" s="37">
        <f t="shared" ca="1" si="134"/>
        <v>2.8696682390876442</v>
      </c>
      <c r="CE9" s="37">
        <f t="shared" ca="1" si="135"/>
        <v>0.9020899835825219</v>
      </c>
    </row>
    <row r="10" spans="1:83" x14ac:dyDescent="0.25">
      <c r="A10" t="str">
        <f>PLANTILLA!D11</f>
        <v>Raul Riquelme</v>
      </c>
      <c r="B10">
        <f>PLANTILLA!E11</f>
        <v>17</v>
      </c>
      <c r="C10" s="33">
        <f ca="1">PLANTILLA!F11</f>
        <v>54</v>
      </c>
      <c r="D10" s="220" t="str">
        <f>PLANTILLA!G11</f>
        <v>RAP</v>
      </c>
      <c r="E10" s="30">
        <f>PLANTILLA!M11</f>
        <v>43097</v>
      </c>
      <c r="F10" s="47">
        <f>PLANTILLA!Q11</f>
        <v>2</v>
      </c>
      <c r="G10" s="48">
        <f t="shared" si="1"/>
        <v>0.53452248382484879</v>
      </c>
      <c r="H10" s="48">
        <f t="shared" si="2"/>
        <v>0.65356167049702141</v>
      </c>
      <c r="I10" s="51">
        <f t="shared" ca="1" si="3"/>
        <v>0.23145502494313785</v>
      </c>
      <c r="J10" s="39">
        <f>PLANTILLA!I11</f>
        <v>1.1000000000000001</v>
      </c>
      <c r="K10" s="46">
        <f>PLANTILLA!X11</f>
        <v>0</v>
      </c>
      <c r="L10" s="46">
        <f>PLANTILLA!Y11</f>
        <v>6</v>
      </c>
      <c r="M10" s="46">
        <f>PLANTILLA!Z11</f>
        <v>3</v>
      </c>
      <c r="N10" s="46">
        <f>PLANTILLA!AA11</f>
        <v>3</v>
      </c>
      <c r="O10" s="46">
        <f>PLANTILLA!AB11</f>
        <v>3</v>
      </c>
      <c r="P10" s="46">
        <f>PLANTILLA!AC11</f>
        <v>5.25</v>
      </c>
      <c r="Q10" s="46">
        <f>PLANTILLA!AD11</f>
        <v>4</v>
      </c>
      <c r="R10" s="46">
        <f t="shared" si="70"/>
        <v>1.875</v>
      </c>
      <c r="S10" s="46">
        <f t="shared" si="71"/>
        <v>0.38250000000000001</v>
      </c>
      <c r="T10" s="46">
        <f t="shared" si="72"/>
        <v>0.36000000000000004</v>
      </c>
      <c r="U10" s="46">
        <f t="shared" ca="1" si="73"/>
        <v>2.2913082779696827</v>
      </c>
      <c r="V10" s="46">
        <f t="shared" ca="1" si="74"/>
        <v>2.8015870446793416</v>
      </c>
      <c r="W10" s="37">
        <f t="shared" ca="1" si="75"/>
        <v>1.9062413222995334</v>
      </c>
      <c r="X10" s="37">
        <f t="shared" ca="1" si="76"/>
        <v>2.9200590459206155</v>
      </c>
      <c r="Y10" s="37">
        <f t="shared" ca="1" si="77"/>
        <v>1.9062413222995334</v>
      </c>
      <c r="Z10" s="37">
        <f t="shared" ca="1" si="78"/>
        <v>3.2332947009645645</v>
      </c>
      <c r="AA10" s="37">
        <f t="shared" ca="1" si="79"/>
        <v>6.2866452718207713</v>
      </c>
      <c r="AB10" s="37">
        <f t="shared" ca="1" si="80"/>
        <v>1.6166473504822823</v>
      </c>
      <c r="AC10" s="37">
        <f t="shared" ca="1" si="81"/>
        <v>0.98003273532209523</v>
      </c>
      <c r="AD10" s="37">
        <f t="shared" ca="1" si="82"/>
        <v>2.3685763507065993</v>
      </c>
      <c r="AE10" s="37">
        <f t="shared" ca="1" si="83"/>
        <v>4.5452445315264178</v>
      </c>
      <c r="AF10" s="37">
        <f t="shared" ca="1" si="84"/>
        <v>1.1842881753532997</v>
      </c>
      <c r="AG10" s="37">
        <f t="shared" ca="1" si="85"/>
        <v>1.5853470718445659</v>
      </c>
      <c r="AH10" s="37">
        <f t="shared" ca="1" si="86"/>
        <v>5.7837136500751098</v>
      </c>
      <c r="AI10" s="37">
        <f t="shared" ca="1" si="87"/>
        <v>2.6648760668908129</v>
      </c>
      <c r="AJ10" s="37">
        <f t="shared" ca="1" si="88"/>
        <v>0.54886976039406887</v>
      </c>
      <c r="AK10" s="37">
        <f t="shared" ca="1" si="89"/>
        <v>1.9325474198306134</v>
      </c>
      <c r="AL10" s="37">
        <f t="shared" ca="1" si="90"/>
        <v>4.7401305349528613</v>
      </c>
      <c r="AM10" s="37">
        <f t="shared" ca="1" si="91"/>
        <v>4.5573242883060283</v>
      </c>
      <c r="AN10" s="37">
        <f t="shared" ca="1" si="92"/>
        <v>0.7158697603940688</v>
      </c>
      <c r="AO10" s="37">
        <f t="shared" ca="1" si="93"/>
        <v>0.62255383828438204</v>
      </c>
      <c r="AP10" s="37">
        <f t="shared" ca="1" si="94"/>
        <v>1.6973942233916084</v>
      </c>
      <c r="AQ10" s="37">
        <f t="shared" ca="1" si="95"/>
        <v>3.734267291461538</v>
      </c>
      <c r="AR10" s="37">
        <f t="shared" ca="1" si="96"/>
        <v>0.8486971116958042</v>
      </c>
      <c r="AS10" s="37">
        <f t="shared" ca="1" si="97"/>
        <v>3.102593136598808</v>
      </c>
      <c r="AT10" s="37">
        <f t="shared" ca="1" si="98"/>
        <v>0.42726388533670029</v>
      </c>
      <c r="AU10" s="37">
        <f t="shared" ca="1" si="99"/>
        <v>1.3522370646434858</v>
      </c>
      <c r="AV10" s="37">
        <f t="shared" ca="1" si="100"/>
        <v>0.21363194266835014</v>
      </c>
      <c r="AW10" s="37">
        <f t="shared" ca="1" si="101"/>
        <v>1.1881759563741259</v>
      </c>
      <c r="AX10" s="37">
        <f t="shared" ca="1" si="102"/>
        <v>2.5146581087283089</v>
      </c>
      <c r="AY10" s="37">
        <f t="shared" ca="1" si="103"/>
        <v>0.59408797818706294</v>
      </c>
      <c r="AZ10" s="37">
        <f t="shared" ca="1" si="104"/>
        <v>3.2866452718207713</v>
      </c>
      <c r="BA10" s="37">
        <f t="shared" ca="1" si="105"/>
        <v>0.83152125377065511</v>
      </c>
      <c r="BB10" s="37">
        <f t="shared" ca="1" si="106"/>
        <v>2.283441544773245</v>
      </c>
      <c r="BC10" s="37">
        <f t="shared" ca="1" si="107"/>
        <v>0.41576062688532756</v>
      </c>
      <c r="BD10" s="37">
        <f t="shared" ca="1" si="108"/>
        <v>1.8294137740998444</v>
      </c>
      <c r="BE10" s="37">
        <f t="shared" ca="1" si="109"/>
        <v>2.1877525545936281</v>
      </c>
      <c r="BF10" s="37">
        <f t="shared" ca="1" si="110"/>
        <v>2.8955344844740996</v>
      </c>
      <c r="BG10" s="37">
        <f t="shared" ca="1" si="111"/>
        <v>2.9218276466486657</v>
      </c>
      <c r="BH10" s="37">
        <f t="shared" ca="1" si="112"/>
        <v>0.79208151050880582</v>
      </c>
      <c r="BI10" s="37">
        <f t="shared" ca="1" si="113"/>
        <v>3.049022956833074</v>
      </c>
      <c r="BJ10" s="37">
        <f t="shared" ca="1" si="114"/>
        <v>1.6596743517606838</v>
      </c>
      <c r="BK10" s="37">
        <f t="shared" ca="1" si="115"/>
        <v>1.2522118485637139</v>
      </c>
      <c r="BL10" s="37">
        <f t="shared" ca="1" si="116"/>
        <v>2.8725279675713544</v>
      </c>
      <c r="BM10" s="37">
        <f t="shared" ca="1" si="117"/>
        <v>0.17090555413468009</v>
      </c>
      <c r="BN10" s="37">
        <f t="shared" ca="1" si="118"/>
        <v>1.1315961489277389</v>
      </c>
      <c r="BO10" s="37">
        <f t="shared" ca="1" si="119"/>
        <v>0.42749187848381248</v>
      </c>
      <c r="BP10" s="37">
        <f t="shared" ca="1" si="120"/>
        <v>1.0024268079053351</v>
      </c>
      <c r="BQ10" s="37">
        <f t="shared" ca="1" si="121"/>
        <v>4.2266258195615114</v>
      </c>
      <c r="BR10" s="37">
        <f t="shared" ca="1" si="122"/>
        <v>0.44369711169580417</v>
      </c>
      <c r="BS10" s="37">
        <f t="shared" ca="1" si="123"/>
        <v>1.7854072571970989</v>
      </c>
      <c r="BT10" s="37">
        <f t="shared" ca="1" si="124"/>
        <v>1.5339414463242682</v>
      </c>
      <c r="BU10" s="37">
        <f t="shared" ca="1" si="125"/>
        <v>2.0738731665189065</v>
      </c>
      <c r="BV10" s="37">
        <f t="shared" ca="1" si="126"/>
        <v>2.9415475182795903</v>
      </c>
      <c r="BW10" s="37">
        <f t="shared" ca="1" si="127"/>
        <v>0.48642350022947412</v>
      </c>
      <c r="BX10" s="37">
        <f t="shared" ca="1" si="128"/>
        <v>1.3343779803592333</v>
      </c>
      <c r="BY10" s="37">
        <f t="shared" ca="1" si="129"/>
        <v>1.9980921866186219</v>
      </c>
      <c r="BZ10" s="37">
        <f t="shared" ca="1" si="130"/>
        <v>5.0125125760701881</v>
      </c>
      <c r="CA10" s="37">
        <f t="shared" ca="1" si="131"/>
        <v>1.9980921866186219</v>
      </c>
      <c r="CB10" s="37">
        <f t="shared" ca="1" si="132"/>
        <v>2.9520800043443405</v>
      </c>
      <c r="CC10" s="37">
        <f t="shared" ca="1" si="133"/>
        <v>6.7494173771226356</v>
      </c>
      <c r="CD10" s="37">
        <f t="shared" ca="1" si="134"/>
        <v>2.9520800043443405</v>
      </c>
      <c r="CE10" s="37">
        <f t="shared" ca="1" si="135"/>
        <v>0.82166131795519282</v>
      </c>
    </row>
    <row r="11" spans="1:83" x14ac:dyDescent="0.25">
      <c r="A11" t="str">
        <f>PLANTILLA!D12</f>
        <v>Fernando Gazón</v>
      </c>
      <c r="B11">
        <f>PLANTILLA!E12</f>
        <v>18</v>
      </c>
      <c r="C11" s="33">
        <f ca="1">PLANTILLA!F12</f>
        <v>4</v>
      </c>
      <c r="D11" s="220" t="str">
        <f>PLANTILLA!G12</f>
        <v>IMP</v>
      </c>
      <c r="E11" s="30">
        <f>PLANTILLA!M12</f>
        <v>43045</v>
      </c>
      <c r="F11" s="47">
        <f>PLANTILLA!Q12</f>
        <v>7</v>
      </c>
      <c r="G11" s="48">
        <f t="shared" si="1"/>
        <v>1</v>
      </c>
      <c r="H11" s="48">
        <f t="shared" si="2"/>
        <v>1</v>
      </c>
      <c r="I11" s="51">
        <f t="shared" ca="1" si="3"/>
        <v>0.45643546458763845</v>
      </c>
      <c r="J11" s="39">
        <f>PLANTILLA!I12</f>
        <v>0.5</v>
      </c>
      <c r="K11" s="46">
        <f>PLANTILLA!X12</f>
        <v>0</v>
      </c>
      <c r="L11" s="46">
        <f>PLANTILLA!Y12</f>
        <v>3</v>
      </c>
      <c r="M11" s="46">
        <f>PLANTILLA!Z12</f>
        <v>6</v>
      </c>
      <c r="N11" s="46">
        <f>PLANTILLA!AA12</f>
        <v>3</v>
      </c>
      <c r="O11" s="46">
        <f>PLANTILLA!AB12</f>
        <v>4</v>
      </c>
      <c r="P11" s="46">
        <f>PLANTILLA!AC12</f>
        <v>4.9976470588235289</v>
      </c>
      <c r="Q11" s="46">
        <f>PLANTILLA!AD12</f>
        <v>3</v>
      </c>
      <c r="R11" s="46">
        <f t="shared" si="70"/>
        <v>1.75</v>
      </c>
      <c r="S11" s="46">
        <f t="shared" si="71"/>
        <v>0.33988235294117641</v>
      </c>
      <c r="T11" s="46">
        <f t="shared" si="72"/>
        <v>0.21000000000000002</v>
      </c>
      <c r="U11" s="46">
        <f t="shared" ca="1" si="73"/>
        <v>3.0550621370356636</v>
      </c>
      <c r="V11" s="46">
        <f t="shared" ca="1" si="74"/>
        <v>3.0550621370356636</v>
      </c>
      <c r="W11" s="37">
        <f t="shared" ca="1" si="75"/>
        <v>0.8760692456321344</v>
      </c>
      <c r="X11" s="37">
        <f t="shared" ca="1" si="76"/>
        <v>1.3460852189130414</v>
      </c>
      <c r="Y11" s="37">
        <f t="shared" ca="1" si="77"/>
        <v>0.8760692456321344</v>
      </c>
      <c r="Z11" s="37">
        <f t="shared" ca="1" si="78"/>
        <v>1.5554804611012514</v>
      </c>
      <c r="AA11" s="37">
        <f t="shared" ca="1" si="79"/>
        <v>3.0550621370356636</v>
      </c>
      <c r="AB11" s="37">
        <f t="shared" ca="1" si="80"/>
        <v>0.77774023055062569</v>
      </c>
      <c r="AC11" s="37">
        <f t="shared" ca="1" si="81"/>
        <v>1.8311936580368973</v>
      </c>
      <c r="AD11" s="37">
        <f t="shared" ca="1" si="82"/>
        <v>1.1394798726671957</v>
      </c>
      <c r="AE11" s="37">
        <f t="shared" ca="1" si="83"/>
        <v>2.2088099250767845</v>
      </c>
      <c r="AF11" s="37">
        <f t="shared" ca="1" si="84"/>
        <v>0.56973993633359787</v>
      </c>
      <c r="AG11" s="37">
        <f t="shared" ca="1" si="85"/>
        <v>2.9622250350596868</v>
      </c>
      <c r="AH11" s="37">
        <f t="shared" ca="1" si="86"/>
        <v>2.8106571660728106</v>
      </c>
      <c r="AI11" s="37">
        <f t="shared" ca="1" si="87"/>
        <v>1.3874654898653549</v>
      </c>
      <c r="AJ11" s="37">
        <f t="shared" ca="1" si="88"/>
        <v>1.0111953768849558</v>
      </c>
      <c r="AK11" s="37">
        <f t="shared" ca="1" si="89"/>
        <v>1.7963765365769702</v>
      </c>
      <c r="AL11" s="37">
        <f t="shared" ca="1" si="90"/>
        <v>2.3035168513248903</v>
      </c>
      <c r="AM11" s="37">
        <f t="shared" ca="1" si="91"/>
        <v>2.37276706962481</v>
      </c>
      <c r="AN11" s="37">
        <f t="shared" ca="1" si="92"/>
        <v>0.51019537688495586</v>
      </c>
      <c r="AO11" s="37">
        <f t="shared" ca="1" si="93"/>
        <v>0.51985789546627115</v>
      </c>
      <c r="AP11" s="37">
        <f t="shared" ca="1" si="94"/>
        <v>0.82486677699962929</v>
      </c>
      <c r="AQ11" s="37">
        <f t="shared" ca="1" si="95"/>
        <v>1.8147069093991841</v>
      </c>
      <c r="AR11" s="37">
        <f t="shared" ca="1" si="96"/>
        <v>0.41243338849981465</v>
      </c>
      <c r="AS11" s="37">
        <f t="shared" ca="1" si="97"/>
        <v>5.7159786573616653</v>
      </c>
      <c r="AT11" s="37">
        <f t="shared" ca="1" si="98"/>
        <v>0.52715807781463619</v>
      </c>
      <c r="AU11" s="37">
        <f t="shared" ca="1" si="99"/>
        <v>1.3607261473279197</v>
      </c>
      <c r="AV11" s="37">
        <f t="shared" ca="1" si="100"/>
        <v>0.2635790389073181</v>
      </c>
      <c r="AW11" s="37">
        <f t="shared" ca="1" si="101"/>
        <v>0.57740674389974045</v>
      </c>
      <c r="AX11" s="37">
        <f t="shared" ca="1" si="102"/>
        <v>1.2220248548142656</v>
      </c>
      <c r="AY11" s="37">
        <f t="shared" ca="1" si="103"/>
        <v>0.28870337194987022</v>
      </c>
      <c r="AZ11" s="37">
        <f t="shared" ca="1" si="104"/>
        <v>6.0550621370356632</v>
      </c>
      <c r="BA11" s="37">
        <f t="shared" ca="1" si="105"/>
        <v>1.0259307206700228</v>
      </c>
      <c r="BB11" s="37">
        <f t="shared" ca="1" si="106"/>
        <v>2.4438451198595912</v>
      </c>
      <c r="BC11" s="37">
        <f t="shared" ca="1" si="107"/>
        <v>0.51296536033501139</v>
      </c>
      <c r="BD11" s="37">
        <f t="shared" ca="1" si="108"/>
        <v>0.88902308187737811</v>
      </c>
      <c r="BE11" s="37">
        <f t="shared" ca="1" si="109"/>
        <v>1.0631616236884109</v>
      </c>
      <c r="BF11" s="37">
        <f t="shared" ca="1" si="110"/>
        <v>5.3345097427284189</v>
      </c>
      <c r="BG11" s="37">
        <f t="shared" ca="1" si="111"/>
        <v>3.0309502398247048</v>
      </c>
      <c r="BH11" s="37">
        <f t="shared" ca="1" si="112"/>
        <v>0.97726997502559476</v>
      </c>
      <c r="BI11" s="37">
        <f t="shared" ca="1" si="113"/>
        <v>1.4817051364622968</v>
      </c>
      <c r="BJ11" s="37">
        <f t="shared" ca="1" si="114"/>
        <v>0.80653640417741523</v>
      </c>
      <c r="BK11" s="37">
        <f t="shared" ca="1" si="115"/>
        <v>2.3069786742105878</v>
      </c>
      <c r="BL11" s="37">
        <f t="shared" ca="1" si="116"/>
        <v>2.8711243077691702</v>
      </c>
      <c r="BM11" s="37">
        <f t="shared" ca="1" si="117"/>
        <v>0.21086323112585448</v>
      </c>
      <c r="BN11" s="37">
        <f t="shared" ca="1" si="118"/>
        <v>0.54991118466641942</v>
      </c>
      <c r="BO11" s="37">
        <f t="shared" ca="1" si="119"/>
        <v>0.20774422531842515</v>
      </c>
      <c r="BP11" s="37">
        <f t="shared" ca="1" si="120"/>
        <v>1.8467939517958771</v>
      </c>
      <c r="BQ11" s="37">
        <f t="shared" ca="1" si="121"/>
        <v>4.2148099082278634</v>
      </c>
      <c r="BR11" s="37">
        <f t="shared" ca="1" si="122"/>
        <v>0.5474333884998146</v>
      </c>
      <c r="BS11" s="37">
        <f t="shared" ca="1" si="123"/>
        <v>0.86763764691812839</v>
      </c>
      <c r="BT11" s="37">
        <f t="shared" ca="1" si="124"/>
        <v>0.74543516143670197</v>
      </c>
      <c r="BU11" s="37">
        <f t="shared" ca="1" si="125"/>
        <v>3.8207442084695034</v>
      </c>
      <c r="BV11" s="37">
        <f t="shared" ca="1" si="126"/>
        <v>2.9272806126469186</v>
      </c>
      <c r="BW11" s="37">
        <f t="shared" ca="1" si="127"/>
        <v>0.60014919628127816</v>
      </c>
      <c r="BX11" s="37">
        <f t="shared" ca="1" si="128"/>
        <v>2.4583552276364795</v>
      </c>
      <c r="BY11" s="37">
        <f t="shared" ca="1" si="129"/>
        <v>2.0953885498661684</v>
      </c>
      <c r="BZ11" s="37">
        <f t="shared" ca="1" si="130"/>
        <v>5.147628201596274</v>
      </c>
      <c r="CA11" s="37">
        <f t="shared" ca="1" si="131"/>
        <v>2.0953885498661684</v>
      </c>
      <c r="CB11" s="37">
        <f t="shared" ca="1" si="132"/>
        <v>2.706357829020277</v>
      </c>
      <c r="CC11" s="37">
        <f t="shared" ca="1" si="133"/>
        <v>6.5490271244253515</v>
      </c>
      <c r="CD11" s="37">
        <f t="shared" ca="1" si="134"/>
        <v>2.706357829020277</v>
      </c>
      <c r="CE11" s="37">
        <f t="shared" ca="1" si="135"/>
        <v>1.5137655342589158</v>
      </c>
    </row>
    <row r="12" spans="1:83" x14ac:dyDescent="0.25">
      <c r="A12" t="str">
        <f>PLANTILLA!D13</f>
        <v>Roberto Abenoza</v>
      </c>
      <c r="B12">
        <f>PLANTILLA!E13</f>
        <v>17</v>
      </c>
      <c r="C12" s="33">
        <f ca="1">PLANTILLA!F13</f>
        <v>104</v>
      </c>
      <c r="D12" s="220" t="str">
        <f>PLANTILLA!G13</f>
        <v>CAB</v>
      </c>
      <c r="E12" s="30">
        <f>PLANTILLA!M13</f>
        <v>43046</v>
      </c>
      <c r="F12" s="47">
        <f>PLANTILLA!Q13</f>
        <v>5</v>
      </c>
      <c r="G12" s="48">
        <f t="shared" si="1"/>
        <v>0.84515425472851657</v>
      </c>
      <c r="H12" s="48">
        <f t="shared" si="2"/>
        <v>0.92504826128926143</v>
      </c>
      <c r="I12" s="51">
        <f t="shared" ca="1" si="3"/>
        <v>0.45316348358748287</v>
      </c>
      <c r="J12" s="39">
        <f>PLANTILLA!I13</f>
        <v>0.5</v>
      </c>
      <c r="K12" s="46">
        <f>PLANTILLA!X13</f>
        <v>0</v>
      </c>
      <c r="L12" s="46">
        <f>PLANTILLA!Y13</f>
        <v>2</v>
      </c>
      <c r="M12" s="46">
        <f>PLANTILLA!Z13</f>
        <v>5</v>
      </c>
      <c r="N12" s="46">
        <f>PLANTILLA!AA13</f>
        <v>3</v>
      </c>
      <c r="O12" s="46">
        <f>PLANTILLA!AB13</f>
        <v>2.1583999999999999</v>
      </c>
      <c r="P12" s="46">
        <f>PLANTILLA!AC13</f>
        <v>5.1999999999999993</v>
      </c>
      <c r="Q12" s="46">
        <f>PLANTILLA!AD13</f>
        <v>5</v>
      </c>
      <c r="R12" s="46">
        <f t="shared" si="70"/>
        <v>1.1646000000000001</v>
      </c>
      <c r="S12" s="46">
        <f t="shared" si="71"/>
        <v>0.41</v>
      </c>
      <c r="T12" s="46">
        <f t="shared" si="72"/>
        <v>0.22999999999999998</v>
      </c>
      <c r="U12" s="46">
        <f t="shared" ca="1" si="73"/>
        <v>4.2695419443690463</v>
      </c>
      <c r="V12" s="46">
        <f t="shared" ca="1" si="74"/>
        <v>4.6731497002388531</v>
      </c>
      <c r="W12" s="37">
        <f t="shared" ca="1" si="75"/>
        <v>0.59721280621899853</v>
      </c>
      <c r="X12" s="37">
        <f t="shared" ca="1" si="76"/>
        <v>0.9168610914418408</v>
      </c>
      <c r="Y12" s="37">
        <f t="shared" ca="1" si="77"/>
        <v>0.59721280621899853</v>
      </c>
      <c r="Z12" s="37">
        <f t="shared" ca="1" si="78"/>
        <v>1.0379421681631309</v>
      </c>
      <c r="AA12" s="37">
        <f t="shared" ca="1" si="79"/>
        <v>2.0517901560355081</v>
      </c>
      <c r="AB12" s="37">
        <f t="shared" ca="1" si="80"/>
        <v>0.51897108408156545</v>
      </c>
      <c r="AC12" s="37">
        <f t="shared" ca="1" si="81"/>
        <v>1.5896185545234942</v>
      </c>
      <c r="AD12" s="37">
        <f t="shared" ca="1" si="82"/>
        <v>0.76035298365438664</v>
      </c>
      <c r="AE12" s="37">
        <f t="shared" ca="1" si="83"/>
        <v>1.4834442828136722</v>
      </c>
      <c r="AF12" s="37">
        <f t="shared" ca="1" si="84"/>
        <v>0.38017649182719332</v>
      </c>
      <c r="AG12" s="37">
        <f t="shared" ca="1" si="85"/>
        <v>2.5714417793762405</v>
      </c>
      <c r="AH12" s="37">
        <f t="shared" ca="1" si="86"/>
        <v>1.8876469435526675</v>
      </c>
      <c r="AI12" s="37">
        <f t="shared" ca="1" si="87"/>
        <v>0.97123152523850298</v>
      </c>
      <c r="AJ12" s="37">
        <f t="shared" ca="1" si="88"/>
        <v>0.84364895605792978</v>
      </c>
      <c r="AK12" s="37">
        <f t="shared" ca="1" si="89"/>
        <v>1.7944526117488786</v>
      </c>
      <c r="AL12" s="37">
        <f t="shared" ca="1" si="90"/>
        <v>1.547049777650773</v>
      </c>
      <c r="AM12" s="37">
        <f t="shared" ca="1" si="91"/>
        <v>1.6609466663499037</v>
      </c>
      <c r="AN12" s="37">
        <f t="shared" ca="1" si="92"/>
        <v>0.84364895605792978</v>
      </c>
      <c r="AO12" s="37">
        <f t="shared" ca="1" si="93"/>
        <v>0.35032036493822633</v>
      </c>
      <c r="AP12" s="37">
        <f t="shared" ca="1" si="94"/>
        <v>0.55398334212958722</v>
      </c>
      <c r="AQ12" s="37">
        <f t="shared" ca="1" si="95"/>
        <v>1.2187633526850918</v>
      </c>
      <c r="AR12" s="37">
        <f t="shared" ca="1" si="96"/>
        <v>0.27699167106479361</v>
      </c>
      <c r="AS12" s="37">
        <f t="shared" ca="1" si="97"/>
        <v>4.7688899072975186</v>
      </c>
      <c r="AT12" s="37">
        <f t="shared" ca="1" si="98"/>
        <v>0.28732472028461603</v>
      </c>
      <c r="AU12" s="37">
        <f t="shared" ca="1" si="99"/>
        <v>1.1737825157184036</v>
      </c>
      <c r="AV12" s="37">
        <f t="shared" ca="1" si="100"/>
        <v>0.14366236014230802</v>
      </c>
      <c r="AW12" s="37">
        <f t="shared" ca="1" si="101"/>
        <v>0.38778833949071101</v>
      </c>
      <c r="AX12" s="37">
        <f t="shared" ca="1" si="102"/>
        <v>0.82071606241420325</v>
      </c>
      <c r="AY12" s="37">
        <f t="shared" ca="1" si="103"/>
        <v>0.1938941697453555</v>
      </c>
      <c r="AZ12" s="37">
        <f t="shared" ca="1" si="104"/>
        <v>5.0517901560355076</v>
      </c>
      <c r="BA12" s="37">
        <f t="shared" ca="1" si="105"/>
        <v>0.55917810947698354</v>
      </c>
      <c r="BB12" s="37">
        <f t="shared" ca="1" si="106"/>
        <v>1.8565507759755646</v>
      </c>
      <c r="BC12" s="37">
        <f t="shared" ca="1" si="107"/>
        <v>0.27958905473849177</v>
      </c>
      <c r="BD12" s="37">
        <f t="shared" ca="1" si="108"/>
        <v>0.59707093540633283</v>
      </c>
      <c r="BE12" s="37">
        <f t="shared" ca="1" si="109"/>
        <v>0.71402297430035677</v>
      </c>
      <c r="BF12" s="37">
        <f t="shared" ca="1" si="110"/>
        <v>4.450627127467282</v>
      </c>
      <c r="BG12" s="37">
        <f t="shared" ca="1" si="111"/>
        <v>2.4479374487155665</v>
      </c>
      <c r="BH12" s="37">
        <f t="shared" ca="1" si="112"/>
        <v>0.53265582760455743</v>
      </c>
      <c r="BI12" s="37">
        <f t="shared" ca="1" si="113"/>
        <v>0.99511822567722141</v>
      </c>
      <c r="BJ12" s="37">
        <f t="shared" ca="1" si="114"/>
        <v>0.54167260119337413</v>
      </c>
      <c r="BK12" s="37">
        <f t="shared" ca="1" si="115"/>
        <v>1.9247320494495284</v>
      </c>
      <c r="BL12" s="37">
        <f t="shared" ca="1" si="116"/>
        <v>2.4981029963750343</v>
      </c>
      <c r="BM12" s="37">
        <f t="shared" ca="1" si="117"/>
        <v>0.11492988811384641</v>
      </c>
      <c r="BN12" s="37">
        <f t="shared" ca="1" si="118"/>
        <v>0.36932222808639142</v>
      </c>
      <c r="BO12" s="37">
        <f t="shared" ca="1" si="119"/>
        <v>0.13952173061041456</v>
      </c>
      <c r="BP12" s="37">
        <f t="shared" ca="1" si="120"/>
        <v>1.5407959975908299</v>
      </c>
      <c r="BQ12" s="37">
        <f t="shared" ca="1" si="121"/>
        <v>3.6839045406616631</v>
      </c>
      <c r="BR12" s="37">
        <f t="shared" ca="1" si="122"/>
        <v>0.29837567106479357</v>
      </c>
      <c r="BS12" s="37">
        <f t="shared" ca="1" si="123"/>
        <v>0.58270840431408422</v>
      </c>
      <c r="BT12" s="37">
        <f t="shared" ca="1" si="124"/>
        <v>0.50063679807266392</v>
      </c>
      <c r="BU12" s="37">
        <f t="shared" ca="1" si="125"/>
        <v>3.1876795884584053</v>
      </c>
      <c r="BV12" s="37">
        <f t="shared" ca="1" si="126"/>
        <v>2.5689233896517796</v>
      </c>
      <c r="BW12" s="37">
        <f t="shared" ca="1" si="127"/>
        <v>0.32710814309325514</v>
      </c>
      <c r="BX12" s="37">
        <f t="shared" ca="1" si="128"/>
        <v>2.0510268033504162</v>
      </c>
      <c r="BY12" s="37">
        <f t="shared" ca="1" si="129"/>
        <v>1.6589826712944995</v>
      </c>
      <c r="BZ12" s="37">
        <f t="shared" ca="1" si="130"/>
        <v>4.2619269156959811</v>
      </c>
      <c r="CA12" s="37">
        <f t="shared" ca="1" si="131"/>
        <v>1.6589826712944995</v>
      </c>
      <c r="CB12" s="37">
        <f t="shared" ca="1" si="132"/>
        <v>2.7856652672101214</v>
      </c>
      <c r="CC12" s="37">
        <f t="shared" ca="1" si="133"/>
        <v>6.067350323612609</v>
      </c>
      <c r="CD12" s="37">
        <f t="shared" ca="1" si="134"/>
        <v>2.7856652672101214</v>
      </c>
      <c r="CE12" s="37">
        <f t="shared" ca="1" si="135"/>
        <v>1.2629475390088769</v>
      </c>
    </row>
    <row r="13" spans="1:83" x14ac:dyDescent="0.25">
      <c r="A13" t="str">
        <f>PLANTILLA!D14</f>
        <v>Julio Calle</v>
      </c>
      <c r="B13">
        <f>PLANTILLA!E14</f>
        <v>17</v>
      </c>
      <c r="C13" s="33">
        <f ca="1">PLANTILLA!F14</f>
        <v>74</v>
      </c>
      <c r="D13" s="220" t="str">
        <f>PLANTILLA!G14</f>
        <v>POT</v>
      </c>
      <c r="E13" s="30">
        <f>PLANTILLA!M14</f>
        <v>43046</v>
      </c>
      <c r="F13" s="47">
        <f>PLANTILLA!Q14</f>
        <v>6</v>
      </c>
      <c r="G13" s="48">
        <f t="shared" si="1"/>
        <v>0.92582009977255142</v>
      </c>
      <c r="H13" s="48">
        <f t="shared" si="2"/>
        <v>0.99928545900129484</v>
      </c>
      <c r="I13" s="51">
        <f t="shared" ca="1" si="3"/>
        <v>0.45316348358748287</v>
      </c>
      <c r="J13" s="39">
        <f>PLANTILLA!I14</f>
        <v>0.5</v>
      </c>
      <c r="K13" s="46">
        <f>PLANTILLA!X14</f>
        <v>0</v>
      </c>
      <c r="L13" s="46">
        <f>PLANTILLA!Y14</f>
        <v>3</v>
      </c>
      <c r="M13" s="46">
        <f>PLANTILLA!Z14</f>
        <v>4</v>
      </c>
      <c r="N13" s="46">
        <f>PLANTILLA!AA14</f>
        <v>4</v>
      </c>
      <c r="O13" s="46">
        <f>PLANTILLA!AB14</f>
        <v>3.0151111111111111</v>
      </c>
      <c r="P13" s="46">
        <f>PLANTILLA!AC14</f>
        <v>4.0588235294117645</v>
      </c>
      <c r="Q13" s="46">
        <f>PLANTILLA!AD14</f>
        <v>1.3</v>
      </c>
      <c r="R13" s="46">
        <f t="shared" si="70"/>
        <v>1.5037777777777777</v>
      </c>
      <c r="S13" s="46">
        <f t="shared" si="71"/>
        <v>0.24194117647058824</v>
      </c>
      <c r="T13" s="46">
        <f t="shared" si="72"/>
        <v>0.15900000000000003</v>
      </c>
      <c r="U13" s="46">
        <f t="shared" ca="1" si="73"/>
        <v>1.2515144971323471</v>
      </c>
      <c r="V13" s="46">
        <f t="shared" ca="1" si="74"/>
        <v>1.3508242465473748</v>
      </c>
      <c r="W13" s="37">
        <f t="shared" ca="1" si="75"/>
        <v>0.87321280621899855</v>
      </c>
      <c r="X13" s="37">
        <f t="shared" ca="1" si="76"/>
        <v>1.3418610914418407</v>
      </c>
      <c r="Y13" s="37">
        <f t="shared" ca="1" si="77"/>
        <v>0.87321280621899855</v>
      </c>
      <c r="Z13" s="37">
        <f t="shared" ca="1" si="78"/>
        <v>1.5539421681631309</v>
      </c>
      <c r="AA13" s="37">
        <f t="shared" ca="1" si="79"/>
        <v>3.0517901560355081</v>
      </c>
      <c r="AB13" s="37">
        <f t="shared" ca="1" si="80"/>
        <v>0.77697108408156546</v>
      </c>
      <c r="AC13" s="37">
        <f t="shared" ca="1" si="81"/>
        <v>1.3516185545234942</v>
      </c>
      <c r="AD13" s="37">
        <f t="shared" ca="1" si="82"/>
        <v>1.1383529836543866</v>
      </c>
      <c r="AE13" s="37">
        <f t="shared" ca="1" si="83"/>
        <v>2.2064442828136723</v>
      </c>
      <c r="AF13" s="37">
        <f t="shared" ca="1" si="84"/>
        <v>0.56917649182719332</v>
      </c>
      <c r="AG13" s="37">
        <f t="shared" ca="1" si="85"/>
        <v>2.1864417793762407</v>
      </c>
      <c r="AH13" s="37">
        <f t="shared" ca="1" si="86"/>
        <v>2.8076469435526676</v>
      </c>
      <c r="AI13" s="37">
        <f t="shared" ca="1" si="87"/>
        <v>1.385231525238503</v>
      </c>
      <c r="AJ13" s="37">
        <f t="shared" ca="1" si="88"/>
        <v>0.67664895605792985</v>
      </c>
      <c r="AK13" s="37">
        <f t="shared" ca="1" si="89"/>
        <v>2.3824526117488785</v>
      </c>
      <c r="AL13" s="37">
        <f t="shared" ca="1" si="90"/>
        <v>2.301049777650773</v>
      </c>
      <c r="AM13" s="37">
        <f t="shared" ca="1" si="91"/>
        <v>2.3689466663499035</v>
      </c>
      <c r="AN13" s="37">
        <f t="shared" ca="1" si="92"/>
        <v>0.22574895605792986</v>
      </c>
      <c r="AO13" s="37">
        <f t="shared" ca="1" si="93"/>
        <v>0.44800356493822624</v>
      </c>
      <c r="AP13" s="37">
        <f t="shared" ca="1" si="94"/>
        <v>0.82398334212958724</v>
      </c>
      <c r="AQ13" s="37">
        <f t="shared" ca="1" si="95"/>
        <v>1.8127633526850917</v>
      </c>
      <c r="AR13" s="37">
        <f t="shared" ca="1" si="96"/>
        <v>0.41199167106479362</v>
      </c>
      <c r="AS13" s="37">
        <f t="shared" ca="1" si="97"/>
        <v>3.8248899072975191</v>
      </c>
      <c r="AT13" s="37">
        <f t="shared" ca="1" si="98"/>
        <v>0.39869716472906053</v>
      </c>
      <c r="AU13" s="37">
        <f t="shared" ca="1" si="99"/>
        <v>1.0791643196399723</v>
      </c>
      <c r="AV13" s="37">
        <f t="shared" ca="1" si="100"/>
        <v>0.19934858236453026</v>
      </c>
      <c r="AW13" s="37">
        <f t="shared" ca="1" si="101"/>
        <v>0.57678833949071107</v>
      </c>
      <c r="AX13" s="37">
        <f t="shared" ca="1" si="102"/>
        <v>1.2207160624142033</v>
      </c>
      <c r="AY13" s="37">
        <f t="shared" ca="1" si="103"/>
        <v>0.28839416974535553</v>
      </c>
      <c r="AZ13" s="37">
        <f t="shared" ca="1" si="104"/>
        <v>4.0517901560355076</v>
      </c>
      <c r="BA13" s="37">
        <f t="shared" ca="1" si="105"/>
        <v>0.77592602058809468</v>
      </c>
      <c r="BB13" s="37">
        <f t="shared" ca="1" si="106"/>
        <v>1.9090422060409242</v>
      </c>
      <c r="BC13" s="37">
        <f t="shared" ca="1" si="107"/>
        <v>0.38796301029404734</v>
      </c>
      <c r="BD13" s="37">
        <f t="shared" ca="1" si="108"/>
        <v>0.88807093540633275</v>
      </c>
      <c r="BE13" s="37">
        <f t="shared" ca="1" si="109"/>
        <v>1.0620229743003566</v>
      </c>
      <c r="BF13" s="37">
        <f t="shared" ca="1" si="110"/>
        <v>3.5696271274672822</v>
      </c>
      <c r="BG13" s="37">
        <f t="shared" ca="1" si="111"/>
        <v>3.2918014487155665</v>
      </c>
      <c r="BH13" s="37">
        <f t="shared" ca="1" si="112"/>
        <v>0.73912320538233522</v>
      </c>
      <c r="BI13" s="37">
        <f t="shared" ca="1" si="113"/>
        <v>1.4801182256772214</v>
      </c>
      <c r="BJ13" s="37">
        <f t="shared" ca="1" si="114"/>
        <v>0.80567260119337414</v>
      </c>
      <c r="BK13" s="37">
        <f t="shared" ca="1" si="115"/>
        <v>1.5437320494495284</v>
      </c>
      <c r="BL13" s="37">
        <f t="shared" ca="1" si="116"/>
        <v>3.3433019297083675</v>
      </c>
      <c r="BM13" s="37">
        <f t="shared" ca="1" si="117"/>
        <v>0.15947886589162419</v>
      </c>
      <c r="BN13" s="37">
        <f t="shared" ca="1" si="118"/>
        <v>0.54932222808639142</v>
      </c>
      <c r="BO13" s="37">
        <f t="shared" ca="1" si="119"/>
        <v>0.20752173061041457</v>
      </c>
      <c r="BP13" s="37">
        <f t="shared" ca="1" si="120"/>
        <v>1.2357959975908297</v>
      </c>
      <c r="BQ13" s="37">
        <f t="shared" ca="1" si="121"/>
        <v>4.9289239184394411</v>
      </c>
      <c r="BR13" s="37">
        <f t="shared" ca="1" si="122"/>
        <v>0.4140316710647936</v>
      </c>
      <c r="BS13" s="37">
        <f t="shared" ca="1" si="123"/>
        <v>0.86670840431408425</v>
      </c>
      <c r="BT13" s="37">
        <f t="shared" ca="1" si="124"/>
        <v>0.74463679807266392</v>
      </c>
      <c r="BU13" s="37">
        <f t="shared" ca="1" si="125"/>
        <v>2.5566795884584055</v>
      </c>
      <c r="BV13" s="37">
        <f t="shared" ca="1" si="126"/>
        <v>3.4362686340962236</v>
      </c>
      <c r="BW13" s="37">
        <f t="shared" ca="1" si="127"/>
        <v>0.4539013875376996</v>
      </c>
      <c r="BX13" s="37">
        <f t="shared" ca="1" si="128"/>
        <v>1.6450268033504163</v>
      </c>
      <c r="BY13" s="37">
        <f t="shared" ca="1" si="129"/>
        <v>1.8722310373075715</v>
      </c>
      <c r="BZ13" s="37">
        <f t="shared" ca="1" si="130"/>
        <v>4.0618151666763733</v>
      </c>
      <c r="CA13" s="37">
        <f t="shared" ca="1" si="131"/>
        <v>1.8722310373075715</v>
      </c>
      <c r="CB13" s="37">
        <f t="shared" ca="1" si="132"/>
        <v>2.5479123260336505</v>
      </c>
      <c r="CC13" s="37">
        <f t="shared" ca="1" si="133"/>
        <v>5.242300253024375</v>
      </c>
      <c r="CD13" s="37">
        <f t="shared" ca="1" si="134"/>
        <v>2.5479123260336505</v>
      </c>
      <c r="CE13" s="37">
        <f t="shared" ca="1" si="135"/>
        <v>1.0129475390088769</v>
      </c>
    </row>
    <row r="14" spans="1:83" x14ac:dyDescent="0.25">
      <c r="A14" t="str">
        <f>PLANTILLA!D16</f>
        <v>Enrique Cubas</v>
      </c>
      <c r="B14">
        <f>PLANTILLA!E16</f>
        <v>17</v>
      </c>
      <c r="C14" s="33">
        <f ca="1">PLANTILLA!F16</f>
        <v>75</v>
      </c>
      <c r="D14" s="220" t="str">
        <f>PLANTILLA!G16</f>
        <v>RAP</v>
      </c>
      <c r="E14" s="30">
        <f>PLANTILLA!M16</f>
        <v>43046</v>
      </c>
      <c r="F14" s="47">
        <f>PLANTILLA!Q16</f>
        <v>6</v>
      </c>
      <c r="G14" s="48">
        <f t="shared" si="1"/>
        <v>0.92582009977255142</v>
      </c>
      <c r="H14" s="48">
        <f t="shared" si="2"/>
        <v>0.99928545900129484</v>
      </c>
      <c r="I14" s="51">
        <f t="shared" ca="1" si="3"/>
        <v>0.45316348358748287</v>
      </c>
      <c r="J14" s="39">
        <f>PLANTILLA!I16</f>
        <v>1.4</v>
      </c>
      <c r="K14" s="46">
        <f>PLANTILLA!X16</f>
        <v>0</v>
      </c>
      <c r="L14" s="46">
        <f>PLANTILLA!Y16</f>
        <v>2</v>
      </c>
      <c r="M14" s="46">
        <f>PLANTILLA!Z16</f>
        <v>5.7</v>
      </c>
      <c r="N14" s="46">
        <f>PLANTILLA!AA16</f>
        <v>5.5</v>
      </c>
      <c r="O14" s="46">
        <f>PLANTILLA!AB16</f>
        <v>5.5</v>
      </c>
      <c r="P14" s="46">
        <f>PLANTILLA!AC16</f>
        <v>4.66</v>
      </c>
      <c r="Q14" s="46">
        <f>PLANTILLA!AD16</f>
        <v>5</v>
      </c>
      <c r="R14" s="46">
        <f t="shared" si="70"/>
        <v>2</v>
      </c>
      <c r="S14" s="46">
        <f t="shared" si="71"/>
        <v>0.38300000000000001</v>
      </c>
      <c r="T14" s="46">
        <f t="shared" si="72"/>
        <v>0.22999999999999998</v>
      </c>
      <c r="U14" s="46">
        <f t="shared" ca="1" si="73"/>
        <v>5.2290327238792553</v>
      </c>
      <c r="V14" s="46">
        <f t="shared" ca="1" si="74"/>
        <v>5.6439651363133994</v>
      </c>
      <c r="W14" s="37">
        <f t="shared" ca="1" si="75"/>
        <v>1.1177047547013417</v>
      </c>
      <c r="X14" s="37">
        <f t="shared" ca="1" si="76"/>
        <v>1.6865691160589142</v>
      </c>
      <c r="Y14" s="37">
        <f t="shared" ca="1" si="77"/>
        <v>1.1177047547013417</v>
      </c>
      <c r="Z14" s="37">
        <f t="shared" ca="1" si="78"/>
        <v>1.3455868937265776</v>
      </c>
      <c r="AA14" s="37">
        <f t="shared" ca="1" si="79"/>
        <v>2.6480008644918005</v>
      </c>
      <c r="AB14" s="37">
        <f t="shared" ca="1" si="80"/>
        <v>0.67279344686328879</v>
      </c>
      <c r="AC14" s="37">
        <f t="shared" ca="1" si="81"/>
        <v>1.8981167031360919</v>
      </c>
      <c r="AD14" s="37">
        <f t="shared" ca="1" si="82"/>
        <v>0.98572063145086497</v>
      </c>
      <c r="AE14" s="37">
        <f t="shared" ca="1" si="83"/>
        <v>1.9145046250275717</v>
      </c>
      <c r="AF14" s="37">
        <f t="shared" ca="1" si="84"/>
        <v>0.49286031572543249</v>
      </c>
      <c r="AG14" s="37">
        <f t="shared" ca="1" si="85"/>
        <v>3.0704829021319133</v>
      </c>
      <c r="AH14" s="37">
        <f t="shared" ca="1" si="86"/>
        <v>2.4361607953324564</v>
      </c>
      <c r="AI14" s="37">
        <f t="shared" ca="1" si="87"/>
        <v>1.2180627585394079</v>
      </c>
      <c r="AJ14" s="37">
        <f t="shared" ca="1" si="88"/>
        <v>1.0601161443701308</v>
      </c>
      <c r="AK14" s="37">
        <f t="shared" ca="1" si="89"/>
        <v>3.6150245083211785</v>
      </c>
      <c r="AL14" s="37">
        <f t="shared" ca="1" si="90"/>
        <v>1.9965926518268176</v>
      </c>
      <c r="AM14" s="37">
        <f t="shared" ca="1" si="91"/>
        <v>2.0830638479369585</v>
      </c>
      <c r="AN14" s="37">
        <f t="shared" ca="1" si="92"/>
        <v>0.94321614437013068</v>
      </c>
      <c r="AO14" s="37">
        <f t="shared" ca="1" si="93"/>
        <v>0.76262424897363845</v>
      </c>
      <c r="AP14" s="37">
        <f t="shared" ca="1" si="94"/>
        <v>0.71496023341278614</v>
      </c>
      <c r="AQ14" s="37">
        <f t="shared" ca="1" si="95"/>
        <v>1.5729125135081294</v>
      </c>
      <c r="AR14" s="37">
        <f t="shared" ca="1" si="96"/>
        <v>0.35748011670639307</v>
      </c>
      <c r="AS14" s="37">
        <f t="shared" ca="1" si="97"/>
        <v>5.9925128160802599</v>
      </c>
      <c r="AT14" s="37">
        <f t="shared" ca="1" si="98"/>
        <v>0.79924011238393411</v>
      </c>
      <c r="AU14" s="37">
        <f t="shared" ca="1" si="99"/>
        <v>1.6560442532960975</v>
      </c>
      <c r="AV14" s="37">
        <f t="shared" ca="1" si="100"/>
        <v>0.39962005619196705</v>
      </c>
      <c r="AW14" s="37">
        <f t="shared" ca="1" si="101"/>
        <v>0.50047216338895029</v>
      </c>
      <c r="AX14" s="37">
        <f t="shared" ca="1" si="102"/>
        <v>1.0592003457967203</v>
      </c>
      <c r="AY14" s="37">
        <f t="shared" ca="1" si="103"/>
        <v>0.25023608169447514</v>
      </c>
      <c r="AZ14" s="37">
        <f t="shared" ca="1" si="104"/>
        <v>6.3480008644918007</v>
      </c>
      <c r="BA14" s="37">
        <f t="shared" ca="1" si="105"/>
        <v>1.5554442187164255</v>
      </c>
      <c r="BB14" s="37">
        <f t="shared" ca="1" si="106"/>
        <v>3.2111484763349822</v>
      </c>
      <c r="BC14" s="37">
        <f t="shared" ca="1" si="107"/>
        <v>0.77772210935821273</v>
      </c>
      <c r="BD14" s="37">
        <f t="shared" ca="1" si="108"/>
        <v>0.77056825156711395</v>
      </c>
      <c r="BE14" s="37">
        <f t="shared" ca="1" si="109"/>
        <v>0.9215043008431465</v>
      </c>
      <c r="BF14" s="37">
        <f t="shared" ca="1" si="110"/>
        <v>5.592588761617276</v>
      </c>
      <c r="BG14" s="37">
        <f t="shared" ca="1" si="111"/>
        <v>5.4655727685332103</v>
      </c>
      <c r="BH14" s="37">
        <f t="shared" ca="1" si="112"/>
        <v>1.4816682083425239</v>
      </c>
      <c r="BI14" s="37">
        <f t="shared" ca="1" si="113"/>
        <v>1.2842804192785231</v>
      </c>
      <c r="BJ14" s="37">
        <f t="shared" ca="1" si="114"/>
        <v>0.69907222822583537</v>
      </c>
      <c r="BK14" s="37">
        <f t="shared" ca="1" si="115"/>
        <v>2.4185883293713761</v>
      </c>
      <c r="BL14" s="37">
        <f t="shared" ca="1" si="116"/>
        <v>5.3733527555658345</v>
      </c>
      <c r="BM14" s="37">
        <f t="shared" ca="1" si="117"/>
        <v>0.31969604495357362</v>
      </c>
      <c r="BN14" s="37">
        <f t="shared" ca="1" si="118"/>
        <v>0.47664015560852407</v>
      </c>
      <c r="BO14" s="37">
        <f t="shared" ca="1" si="119"/>
        <v>0.18006405878544246</v>
      </c>
      <c r="BP14" s="37">
        <f t="shared" ca="1" si="120"/>
        <v>1.9361402636699991</v>
      </c>
      <c r="BQ14" s="37">
        <f t="shared" ca="1" si="121"/>
        <v>7.9063291117364551</v>
      </c>
      <c r="BR14" s="37">
        <f t="shared" ca="1" si="122"/>
        <v>0.82998011670639316</v>
      </c>
      <c r="BS14" s="37">
        <f t="shared" ca="1" si="123"/>
        <v>0.75203224551567127</v>
      </c>
      <c r="BT14" s="37">
        <f t="shared" ca="1" si="124"/>
        <v>0.64611221093599935</v>
      </c>
      <c r="BU14" s="37">
        <f t="shared" ca="1" si="125"/>
        <v>4.0055885454943265</v>
      </c>
      <c r="BV14" s="37">
        <f t="shared" ca="1" si="126"/>
        <v>5.502460773720161</v>
      </c>
      <c r="BW14" s="37">
        <f t="shared" ca="1" si="127"/>
        <v>0.90990412794478648</v>
      </c>
      <c r="BX14" s="37">
        <f t="shared" ca="1" si="128"/>
        <v>2.5772883509836713</v>
      </c>
      <c r="BY14" s="37">
        <f t="shared" ca="1" si="129"/>
        <v>3.0964284504002282</v>
      </c>
      <c r="BZ14" s="37">
        <f t="shared" ca="1" si="130"/>
        <v>6.4329289734177681</v>
      </c>
      <c r="CA14" s="37">
        <f t="shared" ca="1" si="131"/>
        <v>3.0964284504002282</v>
      </c>
      <c r="CB14" s="37">
        <f t="shared" ca="1" si="132"/>
        <v>3.4925245385783921</v>
      </c>
      <c r="CC14" s="37">
        <f t="shared" ca="1" si="133"/>
        <v>7.5766131834892754</v>
      </c>
      <c r="CD14" s="37">
        <f t="shared" ca="1" si="134"/>
        <v>3.4925245385783921</v>
      </c>
      <c r="CE14" s="37">
        <f t="shared" ca="1" si="135"/>
        <v>1.5870002161229502</v>
      </c>
    </row>
    <row r="15" spans="1:83" x14ac:dyDescent="0.25">
      <c r="A15" t="str">
        <f>PLANTILLA!D17</f>
        <v>J. G. Peñuela</v>
      </c>
      <c r="B15">
        <f>PLANTILLA!E17</f>
        <v>17</v>
      </c>
      <c r="C15" s="33">
        <f ca="1">PLANTILLA!F17</f>
        <v>75</v>
      </c>
      <c r="D15" s="220" t="str">
        <f>PLANTILLA!G17</f>
        <v>IMP</v>
      </c>
      <c r="E15" s="30">
        <f>PLANTILLA!M17</f>
        <v>43054</v>
      </c>
      <c r="F15" s="47">
        <f>PLANTILLA!Q17</f>
        <v>6</v>
      </c>
      <c r="G15" s="48">
        <f t="shared" si="1"/>
        <v>0.92582009977255142</v>
      </c>
      <c r="H15" s="48">
        <f t="shared" si="2"/>
        <v>0.99928545900129484</v>
      </c>
      <c r="I15" s="51">
        <f t="shared" ca="1" si="3"/>
        <v>0.42608405162317337</v>
      </c>
      <c r="J15" s="39">
        <f>PLANTILLA!I17</f>
        <v>1.2</v>
      </c>
      <c r="K15" s="46">
        <f>PLANTILLA!X17</f>
        <v>0</v>
      </c>
      <c r="L15" s="46">
        <f>PLANTILLA!Y17</f>
        <v>3</v>
      </c>
      <c r="M15" s="46">
        <f>PLANTILLA!Z17</f>
        <v>5</v>
      </c>
      <c r="N15" s="46">
        <f>PLANTILLA!AA17</f>
        <v>4</v>
      </c>
      <c r="O15" s="46">
        <f>PLANTILLA!AB17</f>
        <v>4.25</v>
      </c>
      <c r="P15" s="46">
        <f>PLANTILLA!AC17</f>
        <v>5</v>
      </c>
      <c r="Q15" s="46">
        <f>PLANTILLA!AD17</f>
        <v>3</v>
      </c>
      <c r="R15" s="46">
        <f t="shared" si="70"/>
        <v>1.8125</v>
      </c>
      <c r="S15" s="46">
        <f t="shared" si="71"/>
        <v>0.33999999999999997</v>
      </c>
      <c r="T15" s="46">
        <f t="shared" si="72"/>
        <v>0.21000000000000002</v>
      </c>
      <c r="U15" s="46">
        <f t="shared" ca="1" si="73"/>
        <v>3.2696809306574828</v>
      </c>
      <c r="V15" s="46">
        <f t="shared" ca="1" si="74"/>
        <v>3.5291355311712724</v>
      </c>
      <c r="W15" s="37">
        <f t="shared" ca="1" si="75"/>
        <v>1.2921383474664658</v>
      </c>
      <c r="X15" s="37">
        <f t="shared" ca="1" si="76"/>
        <v>1.9613718288421615</v>
      </c>
      <c r="Y15" s="37">
        <f t="shared" ca="1" si="77"/>
        <v>1.2921383474664658</v>
      </c>
      <c r="Z15" s="37">
        <f t="shared" ca="1" si="78"/>
        <v>1.8027963469445234</v>
      </c>
      <c r="AA15" s="37">
        <f t="shared" ca="1" si="79"/>
        <v>3.5316590463533397</v>
      </c>
      <c r="AB15" s="37">
        <f t="shared" ca="1" si="80"/>
        <v>0.9013981734722617</v>
      </c>
      <c r="AC15" s="37">
        <f t="shared" ca="1" si="81"/>
        <v>1.6806841334276583</v>
      </c>
      <c r="AD15" s="37">
        <f t="shared" ca="1" si="82"/>
        <v>1.3206531378779647</v>
      </c>
      <c r="AE15" s="37">
        <f t="shared" ca="1" si="83"/>
        <v>2.5533894905134646</v>
      </c>
      <c r="AF15" s="37">
        <f t="shared" ca="1" si="84"/>
        <v>0.66032656893898234</v>
      </c>
      <c r="AG15" s="37">
        <f t="shared" ca="1" si="85"/>
        <v>2.7187537452506239</v>
      </c>
      <c r="AH15" s="37">
        <f t="shared" ca="1" si="86"/>
        <v>3.2491263226450728</v>
      </c>
      <c r="AI15" s="37">
        <f t="shared" ca="1" si="87"/>
        <v>1.5766194862852898</v>
      </c>
      <c r="AJ15" s="37">
        <f t="shared" ca="1" si="88"/>
        <v>0.9237870607410078</v>
      </c>
      <c r="AK15" s="37">
        <f t="shared" ca="1" si="89"/>
        <v>2.6646155192557637</v>
      </c>
      <c r="AL15" s="37">
        <f t="shared" ca="1" si="90"/>
        <v>2.662870920950418</v>
      </c>
      <c r="AM15" s="37">
        <f t="shared" ca="1" si="91"/>
        <v>2.6962478171255682</v>
      </c>
      <c r="AN15" s="37">
        <f t="shared" ca="1" si="92"/>
        <v>0.58978706074100773</v>
      </c>
      <c r="AO15" s="37">
        <f t="shared" ca="1" si="93"/>
        <v>0.67511780534976173</v>
      </c>
      <c r="AP15" s="37">
        <f t="shared" ca="1" si="94"/>
        <v>0.95354794251540176</v>
      </c>
      <c r="AQ15" s="37">
        <f t="shared" ca="1" si="95"/>
        <v>2.0978054735338838</v>
      </c>
      <c r="AR15" s="37">
        <f t="shared" ca="1" si="96"/>
        <v>0.47677397125770088</v>
      </c>
      <c r="AS15" s="37">
        <f t="shared" ca="1" si="97"/>
        <v>5.2218861397575527</v>
      </c>
      <c r="AT15" s="37">
        <f t="shared" ca="1" si="98"/>
        <v>0.62161567602593426</v>
      </c>
      <c r="AU15" s="37">
        <f t="shared" ca="1" si="99"/>
        <v>1.5307761005815286</v>
      </c>
      <c r="AV15" s="37">
        <f t="shared" ca="1" si="100"/>
        <v>0.31080783801296713</v>
      </c>
      <c r="AW15" s="37">
        <f t="shared" ca="1" si="101"/>
        <v>0.66748355976078122</v>
      </c>
      <c r="AX15" s="37">
        <f t="shared" ca="1" si="102"/>
        <v>1.4126636185413359</v>
      </c>
      <c r="AY15" s="37">
        <f t="shared" ca="1" si="103"/>
        <v>0.33374177988039061</v>
      </c>
      <c r="AZ15" s="37">
        <f t="shared" ca="1" si="104"/>
        <v>5.5316590463533402</v>
      </c>
      <c r="BA15" s="37">
        <f t="shared" ca="1" si="105"/>
        <v>1.2097597387273951</v>
      </c>
      <c r="BB15" s="37">
        <f t="shared" ca="1" si="106"/>
        <v>2.7921941345406904</v>
      </c>
      <c r="BC15" s="37">
        <f t="shared" ca="1" si="107"/>
        <v>0.60487986936369753</v>
      </c>
      <c r="BD15" s="37">
        <f t="shared" ca="1" si="108"/>
        <v>1.0277127824888217</v>
      </c>
      <c r="BE15" s="37">
        <f t="shared" ca="1" si="109"/>
        <v>1.2290173481309621</v>
      </c>
      <c r="BF15" s="37">
        <f t="shared" ca="1" si="110"/>
        <v>4.8733916198372924</v>
      </c>
      <c r="BG15" s="37">
        <f t="shared" ca="1" si="111"/>
        <v>4.1073948922081192</v>
      </c>
      <c r="BH15" s="37">
        <f t="shared" ca="1" si="112"/>
        <v>1.152379830171155</v>
      </c>
      <c r="BI15" s="37">
        <f t="shared" ca="1" si="113"/>
        <v>1.7128546374813698</v>
      </c>
      <c r="BJ15" s="37">
        <f t="shared" ca="1" si="114"/>
        <v>0.93235798823728178</v>
      </c>
      <c r="BK15" s="37">
        <f t="shared" ca="1" si="115"/>
        <v>2.1075620966606228</v>
      </c>
      <c r="BL15" s="37">
        <f t="shared" ca="1" si="116"/>
        <v>4.0109200065128192</v>
      </c>
      <c r="BM15" s="37">
        <f t="shared" ca="1" si="117"/>
        <v>0.24864627041037368</v>
      </c>
      <c r="BN15" s="37">
        <f t="shared" ca="1" si="118"/>
        <v>0.63569862834360114</v>
      </c>
      <c r="BO15" s="37">
        <f t="shared" ca="1" si="119"/>
        <v>0.2401528151520271</v>
      </c>
      <c r="BP15" s="37">
        <f t="shared" ca="1" si="120"/>
        <v>1.6871560091377686</v>
      </c>
      <c r="BQ15" s="37">
        <f t="shared" ca="1" si="121"/>
        <v>5.8992135336103955</v>
      </c>
      <c r="BR15" s="37">
        <f t="shared" ca="1" si="122"/>
        <v>0.645523971257701</v>
      </c>
      <c r="BS15" s="37">
        <f t="shared" ca="1" si="123"/>
        <v>1.0029911691643485</v>
      </c>
      <c r="BT15" s="37">
        <f t="shared" ca="1" si="124"/>
        <v>0.86172480731021484</v>
      </c>
      <c r="BU15" s="37">
        <f t="shared" ca="1" si="125"/>
        <v>3.4904768582489578</v>
      </c>
      <c r="BV15" s="37">
        <f t="shared" ca="1" si="126"/>
        <v>4.1040848464862396</v>
      </c>
      <c r="BW15" s="37">
        <f t="shared" ca="1" si="127"/>
        <v>0.70768553886029428</v>
      </c>
      <c r="BX15" s="37">
        <f t="shared" ca="1" si="128"/>
        <v>2.2458535728194562</v>
      </c>
      <c r="BY15" s="37">
        <f t="shared" ca="1" si="129"/>
        <v>2.55049436315009</v>
      </c>
      <c r="BZ15" s="37">
        <f t="shared" ca="1" si="130"/>
        <v>5.8213980861938612</v>
      </c>
      <c r="CA15" s="37">
        <f t="shared" ca="1" si="131"/>
        <v>2.55049436315009</v>
      </c>
      <c r="CB15" s="37">
        <f t="shared" ca="1" si="132"/>
        <v>3.2252235858781311</v>
      </c>
      <c r="CC15" s="37">
        <f t="shared" ca="1" si="133"/>
        <v>7.2960912344577231</v>
      </c>
      <c r="CD15" s="37">
        <f t="shared" ca="1" si="134"/>
        <v>3.2252235858781311</v>
      </c>
      <c r="CE15" s="37">
        <f t="shared" ca="1" si="135"/>
        <v>1.382914761588335</v>
      </c>
    </row>
    <row r="16" spans="1:83" x14ac:dyDescent="0.25">
      <c r="A16" t="str">
        <f>PLANTILLA!D18</f>
        <v>Paulo Beltrán</v>
      </c>
      <c r="B16">
        <f>PLANTILLA!E18</f>
        <v>17</v>
      </c>
      <c r="C16" s="33">
        <f ca="1">PLANTILLA!F18</f>
        <v>83</v>
      </c>
      <c r="D16" s="220" t="str">
        <f>PLANTILLA!G18</f>
        <v>RAP</v>
      </c>
      <c r="E16" s="30">
        <f>PLANTILLA!M18</f>
        <v>43046</v>
      </c>
      <c r="F16" s="47">
        <f>PLANTILLA!Q18</f>
        <v>6</v>
      </c>
      <c r="G16" s="48">
        <f t="shared" si="1"/>
        <v>0.92582009977255142</v>
      </c>
      <c r="H16" s="48">
        <f t="shared" si="2"/>
        <v>0.99928545900129484</v>
      </c>
      <c r="I16" s="51">
        <f t="shared" ca="1" si="3"/>
        <v>0.45316348358748287</v>
      </c>
      <c r="J16" s="39">
        <f>PLANTILLA!I18</f>
        <v>1.1000000000000001</v>
      </c>
      <c r="K16" s="46">
        <f>PLANTILLA!X18</f>
        <v>0</v>
      </c>
      <c r="L16" s="46">
        <f>PLANTILLA!Y18</f>
        <v>4</v>
      </c>
      <c r="M16" s="46">
        <f>PLANTILLA!Z18</f>
        <v>2</v>
      </c>
      <c r="N16" s="46">
        <f>PLANTILLA!AA18</f>
        <v>5</v>
      </c>
      <c r="O16" s="46">
        <f>PLANTILLA!AB18</f>
        <v>4</v>
      </c>
      <c r="P16" s="46">
        <f>PLANTILLA!AC18</f>
        <v>4.1843137254901954</v>
      </c>
      <c r="Q16" s="46">
        <f>PLANTILLA!AD18</f>
        <v>4</v>
      </c>
      <c r="R16" s="46">
        <f t="shared" si="70"/>
        <v>1.875</v>
      </c>
      <c r="S16" s="46">
        <f t="shared" si="71"/>
        <v>0.32921568627450981</v>
      </c>
      <c r="T16" s="46">
        <f t="shared" si="72"/>
        <v>0.27999999999999997</v>
      </c>
      <c r="U16" s="46">
        <f t="shared" ca="1" si="73"/>
        <v>4.1739245005491687</v>
      </c>
      <c r="V16" s="46">
        <f t="shared" ca="1" si="74"/>
        <v>4.5051323268880337</v>
      </c>
      <c r="W16" s="37">
        <f t="shared" ca="1" si="75"/>
        <v>1.5477928066960467</v>
      </c>
      <c r="X16" s="37">
        <f t="shared" ca="1" si="76"/>
        <v>2.356284666030465</v>
      </c>
      <c r="Y16" s="37">
        <f t="shared" ca="1" si="77"/>
        <v>1.5477928066960467</v>
      </c>
      <c r="Z16" s="37">
        <f t="shared" ca="1" si="78"/>
        <v>2.3055289725688093</v>
      </c>
      <c r="AA16" s="37">
        <f t="shared" ca="1" si="79"/>
        <v>4.5083537304651164</v>
      </c>
      <c r="AB16" s="37">
        <f t="shared" ca="1" si="80"/>
        <v>1.1527644862844046</v>
      </c>
      <c r="AC16" s="37">
        <f t="shared" ca="1" si="81"/>
        <v>0.98428068523774104</v>
      </c>
      <c r="AD16" s="37">
        <f t="shared" ca="1" si="82"/>
        <v>1.6889340147887788</v>
      </c>
      <c r="AE16" s="37">
        <f t="shared" ca="1" si="83"/>
        <v>3.2595397471262793</v>
      </c>
      <c r="AF16" s="37">
        <f t="shared" ca="1" si="84"/>
        <v>0.8444670073943894</v>
      </c>
      <c r="AG16" s="37">
        <f t="shared" ca="1" si="85"/>
        <v>1.5922187555316401</v>
      </c>
      <c r="AH16" s="37">
        <f t="shared" ca="1" si="86"/>
        <v>4.1476854320279077</v>
      </c>
      <c r="AI16" s="37">
        <f t="shared" ca="1" si="87"/>
        <v>1.9882488450523608</v>
      </c>
      <c r="AJ16" s="37">
        <f t="shared" ca="1" si="88"/>
        <v>0.41889507298767448</v>
      </c>
      <c r="AK16" s="37">
        <f t="shared" ca="1" si="89"/>
        <v>3.2389119935134882</v>
      </c>
      <c r="AL16" s="37">
        <f t="shared" ca="1" si="90"/>
        <v>3.3992987127706979</v>
      </c>
      <c r="AM16" s="37">
        <f t="shared" ca="1" si="91"/>
        <v>3.4001936770460661</v>
      </c>
      <c r="AN16" s="37">
        <f t="shared" ca="1" si="92"/>
        <v>0.75289507298767444</v>
      </c>
      <c r="AO16" s="37">
        <f t="shared" ca="1" si="93"/>
        <v>0.68640587437395351</v>
      </c>
      <c r="AP16" s="37">
        <f t="shared" ca="1" si="94"/>
        <v>1.2172555072255815</v>
      </c>
      <c r="AQ16" s="37">
        <f t="shared" ca="1" si="95"/>
        <v>2.6779621158962792</v>
      </c>
      <c r="AR16" s="37">
        <f t="shared" ca="1" si="96"/>
        <v>0.60862775361279076</v>
      </c>
      <c r="AS16" s="37">
        <f t="shared" ca="1" si="97"/>
        <v>2.3678859215590697</v>
      </c>
      <c r="AT16" s="37">
        <f t="shared" ca="1" si="98"/>
        <v>0.58608598496046516</v>
      </c>
      <c r="AU16" s="37">
        <f t="shared" ca="1" si="99"/>
        <v>1.3528339175360828</v>
      </c>
      <c r="AV16" s="37">
        <f t="shared" ca="1" si="100"/>
        <v>0.29304299248023258</v>
      </c>
      <c r="AW16" s="37">
        <f t="shared" ca="1" si="101"/>
        <v>0.85207885505790704</v>
      </c>
      <c r="AX16" s="37">
        <f t="shared" ca="1" si="102"/>
        <v>1.8033414921860467</v>
      </c>
      <c r="AY16" s="37">
        <f t="shared" ca="1" si="103"/>
        <v>0.42603942752895352</v>
      </c>
      <c r="AZ16" s="37">
        <f t="shared" ca="1" si="104"/>
        <v>2.5083537304651164</v>
      </c>
      <c r="BA16" s="37">
        <f t="shared" ca="1" si="105"/>
        <v>1.1406134938076744</v>
      </c>
      <c r="BB16" s="37">
        <f t="shared" ca="1" si="106"/>
        <v>2.52280878783922</v>
      </c>
      <c r="BC16" s="37">
        <f t="shared" ca="1" si="107"/>
        <v>0.5703067469038372</v>
      </c>
      <c r="BD16" s="37">
        <f t="shared" ca="1" si="108"/>
        <v>1.3119309355653488</v>
      </c>
      <c r="BE16" s="37">
        <f t="shared" ca="1" si="109"/>
        <v>1.5689070982018605</v>
      </c>
      <c r="BF16" s="37">
        <f t="shared" ca="1" si="110"/>
        <v>2.2098596365397678</v>
      </c>
      <c r="BG16" s="37">
        <f t="shared" ca="1" si="111"/>
        <v>4.5819264663834884</v>
      </c>
      <c r="BH16" s="37">
        <f t="shared" ca="1" si="112"/>
        <v>1.086513249042093</v>
      </c>
      <c r="BI16" s="37">
        <f t="shared" ca="1" si="113"/>
        <v>2.1865515592755815</v>
      </c>
      <c r="BJ16" s="37">
        <f t="shared" ca="1" si="114"/>
        <v>1.1902053848427907</v>
      </c>
      <c r="BK16" s="37">
        <f t="shared" ca="1" si="115"/>
        <v>0.95568277130720936</v>
      </c>
      <c r="BL16" s="37">
        <f t="shared" ca="1" si="116"/>
        <v>4.6133011604265119</v>
      </c>
      <c r="BM16" s="37">
        <f t="shared" ca="1" si="117"/>
        <v>0.23443439398418606</v>
      </c>
      <c r="BN16" s="37">
        <f t="shared" ca="1" si="118"/>
        <v>0.81150367148372093</v>
      </c>
      <c r="BO16" s="37">
        <f t="shared" ca="1" si="119"/>
        <v>0.30656805367162793</v>
      </c>
      <c r="BP16" s="37">
        <f t="shared" ca="1" si="120"/>
        <v>0.7650478877918605</v>
      </c>
      <c r="BQ16" s="37">
        <f t="shared" ca="1" si="121"/>
        <v>6.7977428973781393</v>
      </c>
      <c r="BR16" s="37">
        <f t="shared" ca="1" si="122"/>
        <v>0.60862775361279076</v>
      </c>
      <c r="BS16" s="37">
        <f t="shared" ca="1" si="123"/>
        <v>1.2803724594520929</v>
      </c>
      <c r="BT16" s="37">
        <f t="shared" ca="1" si="124"/>
        <v>1.1000383102334883</v>
      </c>
      <c r="BU16" s="37">
        <f t="shared" ca="1" si="125"/>
        <v>1.5827712039234885</v>
      </c>
      <c r="BV16" s="37">
        <f t="shared" ca="1" si="126"/>
        <v>4.7369765887662787</v>
      </c>
      <c r="BW16" s="37">
        <f t="shared" ca="1" si="127"/>
        <v>0.66723635210883725</v>
      </c>
      <c r="BX16" s="37">
        <f t="shared" ca="1" si="128"/>
        <v>1.0183916145688374</v>
      </c>
      <c r="BY16" s="37">
        <f t="shared" ca="1" si="129"/>
        <v>2.5162601367095805</v>
      </c>
      <c r="BZ16" s="37">
        <f t="shared" ca="1" si="130"/>
        <v>5.183861202464505</v>
      </c>
      <c r="CA16" s="37">
        <f t="shared" ca="1" si="131"/>
        <v>2.5162601367095805</v>
      </c>
      <c r="CB16" s="37">
        <f t="shared" ca="1" si="132"/>
        <v>3.1037984917268258</v>
      </c>
      <c r="CC16" s="37">
        <f t="shared" ca="1" si="133"/>
        <v>6.3562499824969398</v>
      </c>
      <c r="CD16" s="37">
        <f t="shared" ca="1" si="134"/>
        <v>3.1037984917268258</v>
      </c>
      <c r="CE16" s="37">
        <f t="shared" ca="1" si="135"/>
        <v>0.62708843261627911</v>
      </c>
    </row>
    <row r="17" spans="1:83" x14ac:dyDescent="0.25">
      <c r="A17" t="str">
        <f>PLANTILLA!D20</f>
        <v>Nicolás Eans</v>
      </c>
      <c r="B17">
        <f>PLANTILLA!E20</f>
        <v>18</v>
      </c>
      <c r="C17" s="33">
        <f ca="1">PLANTILLA!F20</f>
        <v>4</v>
      </c>
      <c r="D17" s="220" t="str">
        <f>PLANTILLA!G20</f>
        <v>TEC</v>
      </c>
      <c r="E17" s="30">
        <f>PLANTILLA!M20</f>
        <v>43046</v>
      </c>
      <c r="F17" s="47">
        <f>PLANTILLA!Q20</f>
        <v>7</v>
      </c>
      <c r="G17" s="48">
        <f t="shared" si="1"/>
        <v>1</v>
      </c>
      <c r="H17" s="48">
        <f t="shared" si="2"/>
        <v>1</v>
      </c>
      <c r="I17" s="51">
        <f t="shared" ca="1" si="3"/>
        <v>0.45316348358748287</v>
      </c>
      <c r="J17" s="39">
        <f>PLANTILLA!I20</f>
        <v>0.5</v>
      </c>
      <c r="K17" s="46">
        <f>PLANTILLA!X20</f>
        <v>0</v>
      </c>
      <c r="L17" s="46">
        <f>PLANTILLA!Y20</f>
        <v>5</v>
      </c>
      <c r="M17" s="46">
        <f>PLANTILLA!Z20</f>
        <v>2</v>
      </c>
      <c r="N17" s="46">
        <f>PLANTILLA!AA20</f>
        <v>3</v>
      </c>
      <c r="O17" s="46">
        <f>PLANTILLA!AB20</f>
        <v>4.75</v>
      </c>
      <c r="P17" s="46">
        <f>PLANTILLA!AC20</f>
        <v>6.1739130434782616</v>
      </c>
      <c r="Q17" s="46">
        <f>PLANTILLA!AD20</f>
        <v>3</v>
      </c>
      <c r="R17" s="46">
        <f t="shared" si="70"/>
        <v>2.1875</v>
      </c>
      <c r="S17" s="46">
        <f t="shared" si="71"/>
        <v>0.39869565217391306</v>
      </c>
      <c r="T17" s="46">
        <f t="shared" si="72"/>
        <v>0.28999999999999998</v>
      </c>
      <c r="U17" s="46">
        <f t="shared" ca="1" si="73"/>
        <v>3.0517901560355081</v>
      </c>
      <c r="V17" s="46">
        <f t="shared" ca="1" si="74"/>
        <v>3.0517901560355081</v>
      </c>
      <c r="W17" s="37">
        <f t="shared" ca="1" si="75"/>
        <v>1.4252128062189984</v>
      </c>
      <c r="X17" s="37">
        <f t="shared" ca="1" si="76"/>
        <v>2.1918610914418406</v>
      </c>
      <c r="Y17" s="37">
        <f t="shared" ca="1" si="77"/>
        <v>1.4252128062189984</v>
      </c>
      <c r="Z17" s="37">
        <f t="shared" ca="1" si="78"/>
        <v>2.5859421681631312</v>
      </c>
      <c r="AA17" s="37">
        <f t="shared" ca="1" si="79"/>
        <v>5.0517901560355076</v>
      </c>
      <c r="AB17" s="37">
        <f t="shared" ca="1" si="80"/>
        <v>1.2929710840815656</v>
      </c>
      <c r="AC17" s="37">
        <f t="shared" ca="1" si="81"/>
        <v>0.87561855452349424</v>
      </c>
      <c r="AD17" s="37">
        <f t="shared" ca="1" si="82"/>
        <v>1.8943529836543866</v>
      </c>
      <c r="AE17" s="37">
        <f t="shared" ca="1" si="83"/>
        <v>3.6524442828136721</v>
      </c>
      <c r="AF17" s="37">
        <f t="shared" ca="1" si="84"/>
        <v>0.94717649182719332</v>
      </c>
      <c r="AG17" s="37">
        <f t="shared" ca="1" si="85"/>
        <v>1.4164417793762409</v>
      </c>
      <c r="AH17" s="37">
        <f t="shared" ca="1" si="86"/>
        <v>4.6476469435526671</v>
      </c>
      <c r="AI17" s="37">
        <f t="shared" ca="1" si="87"/>
        <v>2.2132315252385029</v>
      </c>
      <c r="AJ17" s="37">
        <f t="shared" ca="1" si="88"/>
        <v>0.34264895605792989</v>
      </c>
      <c r="AK17" s="37">
        <f t="shared" ca="1" si="89"/>
        <v>1.7944526117488786</v>
      </c>
      <c r="AL17" s="37">
        <f t="shared" ca="1" si="90"/>
        <v>3.8090497776507726</v>
      </c>
      <c r="AM17" s="37">
        <f t="shared" ca="1" si="91"/>
        <v>3.7849466663499034</v>
      </c>
      <c r="AN17" s="37">
        <f t="shared" ca="1" si="92"/>
        <v>0.50964895605792992</v>
      </c>
      <c r="AO17" s="37">
        <f t="shared" ca="1" si="93"/>
        <v>0.64491556493822633</v>
      </c>
      <c r="AP17" s="37">
        <f t="shared" ca="1" si="94"/>
        <v>1.3639833421295871</v>
      </c>
      <c r="AQ17" s="37">
        <f t="shared" ca="1" si="95"/>
        <v>3.0007633526850914</v>
      </c>
      <c r="AR17" s="37">
        <f t="shared" ca="1" si="96"/>
        <v>0.68199167106479353</v>
      </c>
      <c r="AS17" s="37">
        <f t="shared" ca="1" si="97"/>
        <v>1.9368899072975194</v>
      </c>
      <c r="AT17" s="37">
        <f t="shared" ca="1" si="98"/>
        <v>0.62423272028461596</v>
      </c>
      <c r="AU17" s="37">
        <f t="shared" ca="1" si="99"/>
        <v>1.6532614722401431</v>
      </c>
      <c r="AV17" s="37">
        <f t="shared" ca="1" si="100"/>
        <v>0.31211636014230798</v>
      </c>
      <c r="AW17" s="37">
        <f t="shared" ca="1" si="101"/>
        <v>0.95478833949071096</v>
      </c>
      <c r="AX17" s="37">
        <f t="shared" ca="1" si="102"/>
        <v>2.0207160624142033</v>
      </c>
      <c r="AY17" s="37">
        <f t="shared" ca="1" si="103"/>
        <v>0.47739416974535548</v>
      </c>
      <c r="AZ17" s="37">
        <f t="shared" ca="1" si="104"/>
        <v>2.0517901560355081</v>
      </c>
      <c r="BA17" s="37">
        <f t="shared" ca="1" si="105"/>
        <v>1.2148529094769835</v>
      </c>
      <c r="BB17" s="37">
        <f t="shared" ca="1" si="106"/>
        <v>2.9448081151059995</v>
      </c>
      <c r="BC17" s="37">
        <f t="shared" ca="1" si="107"/>
        <v>0.60742645473849177</v>
      </c>
      <c r="BD17" s="37">
        <f t="shared" ca="1" si="108"/>
        <v>1.4700709354063326</v>
      </c>
      <c r="BE17" s="37">
        <f t="shared" ca="1" si="109"/>
        <v>1.7580229743003566</v>
      </c>
      <c r="BF17" s="37">
        <f t="shared" ca="1" si="110"/>
        <v>1.8076271274672826</v>
      </c>
      <c r="BG17" s="37">
        <f t="shared" ca="1" si="111"/>
        <v>3.2642914487155665</v>
      </c>
      <c r="BH17" s="37">
        <f t="shared" ca="1" si="112"/>
        <v>1.1572314276045572</v>
      </c>
      <c r="BI17" s="37">
        <f t="shared" ca="1" si="113"/>
        <v>2.4501182256772212</v>
      </c>
      <c r="BJ17" s="37">
        <f t="shared" ca="1" si="114"/>
        <v>1.3336726011933742</v>
      </c>
      <c r="BK17" s="37">
        <f t="shared" ca="1" si="115"/>
        <v>0.78173204944952857</v>
      </c>
      <c r="BL17" s="37">
        <f t="shared" ca="1" si="116"/>
        <v>3.0190145963750341</v>
      </c>
      <c r="BM17" s="37">
        <f t="shared" ca="1" si="117"/>
        <v>0.24969308811384638</v>
      </c>
      <c r="BN17" s="37">
        <f t="shared" ca="1" si="118"/>
        <v>0.90932222808639129</v>
      </c>
      <c r="BO17" s="37">
        <f t="shared" ca="1" si="119"/>
        <v>0.34352173061041452</v>
      </c>
      <c r="BP17" s="37">
        <f t="shared" ca="1" si="120"/>
        <v>0.62579599759082993</v>
      </c>
      <c r="BQ17" s="37">
        <f t="shared" ca="1" si="121"/>
        <v>4.4251021406616626</v>
      </c>
      <c r="BR17" s="37">
        <f t="shared" ca="1" si="122"/>
        <v>0.64824167106479358</v>
      </c>
      <c r="BS17" s="37">
        <f t="shared" ca="1" si="123"/>
        <v>1.4347084043140841</v>
      </c>
      <c r="BT17" s="37">
        <f t="shared" ca="1" si="124"/>
        <v>1.2326367980726638</v>
      </c>
      <c r="BU17" s="37">
        <f t="shared" ca="1" si="125"/>
        <v>1.2946795884584057</v>
      </c>
      <c r="BV17" s="37">
        <f t="shared" ca="1" si="126"/>
        <v>3.0691021896517796</v>
      </c>
      <c r="BW17" s="37">
        <f t="shared" ca="1" si="127"/>
        <v>0.71066494309325512</v>
      </c>
      <c r="BX17" s="37">
        <f t="shared" ca="1" si="128"/>
        <v>0.83302680335041634</v>
      </c>
      <c r="BY17" s="37">
        <f t="shared" ca="1" si="129"/>
        <v>2.8042128402990794</v>
      </c>
      <c r="BZ17" s="37">
        <f t="shared" ca="1" si="130"/>
        <v>6.2369570200438078</v>
      </c>
      <c r="CA17" s="37">
        <f t="shared" ca="1" si="131"/>
        <v>2.8042128402990794</v>
      </c>
      <c r="CB17" s="37">
        <f t="shared" ca="1" si="132"/>
        <v>3.1771783106883822</v>
      </c>
      <c r="CC17" s="37">
        <f t="shared" ca="1" si="133"/>
        <v>7.9975637670908712</v>
      </c>
      <c r="CD17" s="37">
        <f t="shared" ca="1" si="134"/>
        <v>3.1771783106883822</v>
      </c>
      <c r="CE17" s="37">
        <f t="shared" ca="1" si="135"/>
        <v>0.51294753900887702</v>
      </c>
    </row>
    <row r="18" spans="1:83" x14ac:dyDescent="0.25">
      <c r="A18" t="str">
        <f>PLANTILLA!D21</f>
        <v>Noel Fuster</v>
      </c>
      <c r="B18">
        <f>PLANTILLA!E21</f>
        <v>17</v>
      </c>
      <c r="C18" s="33">
        <f ca="1">PLANTILLA!F21</f>
        <v>72</v>
      </c>
      <c r="D18" s="220" t="str">
        <f>PLANTILLA!G21</f>
        <v>IMP</v>
      </c>
      <c r="E18" s="30">
        <f>PLANTILLA!M21</f>
        <v>43046</v>
      </c>
      <c r="F18" s="47">
        <f>PLANTILLA!Q21</f>
        <v>6</v>
      </c>
      <c r="G18" s="48">
        <f t="shared" si="1"/>
        <v>0.92582009977255142</v>
      </c>
      <c r="H18" s="48">
        <f t="shared" si="2"/>
        <v>0.99928545900129484</v>
      </c>
      <c r="I18" s="51">
        <f t="shared" ca="1" si="3"/>
        <v>0.45316348358748287</v>
      </c>
      <c r="J18" s="39">
        <f>PLANTILLA!I21</f>
        <v>0.5</v>
      </c>
      <c r="K18" s="46">
        <f>PLANTILLA!X21</f>
        <v>0</v>
      </c>
      <c r="L18" s="46">
        <f>PLANTILLA!Y21</f>
        <v>4</v>
      </c>
      <c r="M18" s="46">
        <f>PLANTILLA!Z21</f>
        <v>2</v>
      </c>
      <c r="N18" s="46">
        <f>PLANTILLA!AA21</f>
        <v>2</v>
      </c>
      <c r="O18" s="46">
        <f>PLANTILLA!AB21</f>
        <v>3.0496666666666665</v>
      </c>
      <c r="P18" s="46">
        <f>PLANTILLA!AC21</f>
        <v>5.1027777777777779</v>
      </c>
      <c r="Q18" s="46">
        <f>PLANTILLA!AD21</f>
        <v>2.5</v>
      </c>
      <c r="R18" s="46">
        <f t="shared" ref="R18:R19" si="136">((2*(O18+1))+(L18+1))/8</f>
        <v>1.6374166666666667</v>
      </c>
      <c r="S18" s="46">
        <f t="shared" ref="S18:S19" si="137">(0.5*P18+ 0.3*Q18)/10</f>
        <v>0.33013888888888887</v>
      </c>
      <c r="T18" s="46">
        <f t="shared" ref="T18:T19" si="138">(0.4*L18+0.3*Q18)/10</f>
        <v>0.23500000000000001</v>
      </c>
      <c r="U18" s="46">
        <f t="shared" ref="U18:U19" ca="1" si="139">IF(TODAY()-E18&gt;335,(Q18+1+(LOG(J18)*4/3))*(F18/7)^0.5,(Q18+((TODAY()-E18)^0.5)/(336^0.5)+(LOG(J18)*4/3))*(F18/7)^0.5)</f>
        <v>2.3624986168594084</v>
      </c>
      <c r="V18" s="46">
        <f t="shared" ref="V18:V19" ca="1" si="140">IF(F18=7,U18,IF(TODAY()-E18&gt;335,(Q18+1+(LOG(J18)*4/3))*((F18+0.99)/7)^0.5,(Q18+((TODAY()-E18)^0.5)/(336^0.5)+(LOG(J18)*4/3))*((F18+0.99)/7)^0.5))</f>
        <v>2.5499667973489286</v>
      </c>
      <c r="W18" s="37">
        <f t="shared" ref="W18:W19" ca="1" si="141">IF(TODAY()-E18&gt;335,((K18+1+(LOG(J18)*4/3))*0.597)+((L18+1+(LOG(J18)*4/3))*0.276),((K18+(((TODAY()-E18)^0.5)/(336^0.5))+(LOG(J18)*4/3))*0.597)+((L18+(((TODAY()-E18)^0.5)/(336^0.5))+(LOG(J18)*4/3))*0.276))</f>
        <v>1.1492128062189984</v>
      </c>
      <c r="X18" s="37">
        <f t="shared" ref="X18:X19" ca="1" si="142">IF(TODAY()-E18&gt;335,((K18+1+(LOG(J18)*4/3))*0.866)+((L18+1+(LOG(J18)*4/3))*0.425),((K18+(((TODAY()-E18)^0.5)/(336^0.5))+(LOG(J18)*4/3))*0.866)+((L18+(((TODAY()-E18)^0.5)/(336^0.5))+(LOG(J18)*4/3))*0.425))</f>
        <v>1.7668610914418406</v>
      </c>
      <c r="Y18" s="37">
        <f t="shared" ref="Y18:Y19" ca="1" si="143">W18</f>
        <v>1.1492128062189984</v>
      </c>
      <c r="Z18" s="37">
        <f t="shared" ref="Z18:Z19" ca="1" si="144">IF(TODAY()-E18&gt;335,((L18+1+(LOG(J18)*4/3))*0.516),((L18+(((TODAY()-E18)^0.5)/(336^0.516))+(LOG(J18)*4/3))*0.516))</f>
        <v>2.0699421681631311</v>
      </c>
      <c r="AA18" s="37">
        <f t="shared" ref="AA18:AA19" ca="1" si="145">IF(TODAY()-E18&gt;335,((L18+1+(LOG(J18)*4/3))*1),((L18+(((TODAY()-E18)^0.5)/(336^0.5))+(LOG(J18)*4/3))*1))</f>
        <v>4.0517901560355076</v>
      </c>
      <c r="AB18" s="37">
        <f t="shared" ref="AB18:AB19" ca="1" si="146">Z18/2</f>
        <v>1.0349710840815656</v>
      </c>
      <c r="AC18" s="37">
        <f t="shared" ref="AC18:AC19" ca="1" si="147">IF(TODAY()-E18&gt;335,((M18+1+(LOG(J18)*4/3))*0.238),((M18+(((TODAY()-E18)^0.5)/(336^0.238))+(LOG(J18)*4/3))*0.238))</f>
        <v>0.87561855452349424</v>
      </c>
      <c r="AD18" s="37">
        <f t="shared" ref="AD18:AD19" ca="1" si="148">IF(TODAY()-E18&gt;335,((L18+1+(LOG(J18)*4/3))*0.378),((L18+(((TODAY()-E18)^0.5)/(336^0.516))+(LOG(J18)*4/3))*0.378))</f>
        <v>1.5163529836543868</v>
      </c>
      <c r="AE18" s="37">
        <f t="shared" ref="AE18:AE19" ca="1" si="149">IF(TODAY()-E18&gt;335,((L18+1+(LOG(J18)*4/3))*0.723),((L18+(((TODAY()-E18)^0.5)/(336^0.5))+(LOG(J18)*4/3))*0.723))</f>
        <v>2.9294442828136718</v>
      </c>
      <c r="AF18" s="37">
        <f t="shared" ref="AF18:AF19" ca="1" si="150">AD18/2</f>
        <v>0.75817649182719338</v>
      </c>
      <c r="AG18" s="37">
        <f t="shared" ref="AG18:AG19" ca="1" si="151">IF(TODAY()-E18&gt;335,((M18+1+(LOG(J18)*4/3))*0.385),((M18+(((TODAY()-E18)^0.5)/(336^0.238))+(LOG(J18)*4/3))*0.385))</f>
        <v>1.4164417793762409</v>
      </c>
      <c r="AH18" s="37">
        <f t="shared" ref="AH18:AH19" ca="1" si="152">IF(TODAY()-E18&gt;335,((L18+1+(LOG(J18)*4/3))*0.92),((L18+(((TODAY()-E18)^0.5)/(336^0.5))+(LOG(J18)*4/3))*0.92))</f>
        <v>3.7276469435526671</v>
      </c>
      <c r="AI18" s="37">
        <f t="shared" ref="AI18:AI19" ca="1" si="153">IF(TODAY()-E18&gt;335,((L18+1+(LOG(J18)*4/3))*0.414),((L18+(((TODAY()-E18)^0.5)/(336^0.414))+(LOG(J18)*4/3))*0.414))</f>
        <v>1.7992315252385027</v>
      </c>
      <c r="AJ18" s="37">
        <f t="shared" ref="AJ18:AJ19" ca="1" si="154">IF(TODAY()-E18&gt;335,((M18+1+(LOG(J18)*4/3))*0.167),((M18+(((TODAY()-E18)^0.5)/(336^0.5))+(LOG(J18)*4/3))*0.167))</f>
        <v>0.34264895605792989</v>
      </c>
      <c r="AK18" s="37">
        <f t="shared" ref="AK18:AK19" ca="1" si="155">IF(TODAY()-E18&gt;335,((N18+1+(LOG(J18)*4/3))*0.588),((N18+(((TODAY()-E18)^0.5)/(336^0.5))+(LOG(J18)*4/3))*0.588))</f>
        <v>1.2064526117488787</v>
      </c>
      <c r="AL18" s="37">
        <f t="shared" ref="AL18:AL19" ca="1" si="156">IF(TODAY()-E18&gt;335,((L18+1+(LOG(J18)*4/3))*0.754),((L18+(((TODAY()-E18)^0.5)/(336^0.5))+(LOG(J18)*4/3))*0.754))</f>
        <v>3.0550497776507726</v>
      </c>
      <c r="AM18" s="37">
        <f t="shared" ref="AM18:AM19" ca="1" si="157">IF(TODAY()-E18&gt;335,((L18+1+(LOG(J18)*4/3))*0.708),((L18+(((TODAY()-E18)^0.5)/(336^0.414))+(LOG(J18)*4/3))*0.708))</f>
        <v>3.0769466663499032</v>
      </c>
      <c r="AN18" s="37">
        <f t="shared" ref="AN18:AN19" ca="1" si="158">IF(TODAY()-E18&gt;335,((Q18+1+(LOG(J18)*4/3))*0.167),((Q18+(((TODAY()-E18)^0.5)/(336^0.5))+(LOG(J18)*4/3))*0.167))</f>
        <v>0.42614895605792985</v>
      </c>
      <c r="AO18" s="37">
        <f t="shared" ref="AO18:AO19" ca="1" si="159">IF(TODAY()-E18&gt;335,((R18+1+(LOG(J18)*4/3))*0.288),((R18+(((TODAY()-E18)^0.5)/(336^0.5))+(LOG(J18)*4/3))*0.288))</f>
        <v>0.48649156493822632</v>
      </c>
      <c r="AP18" s="37">
        <f t="shared" ref="AP18:AP19" ca="1" si="160">IF(TODAY()-E18&gt;335,((L18+1+(LOG(J18)*4/3))*0.27),((L18+(((TODAY()-E18)^0.5)/(336^0.5))+(LOG(J18)*4/3))*0.27))</f>
        <v>1.093983342129587</v>
      </c>
      <c r="AQ18" s="37">
        <f t="shared" ref="AQ18:AQ19" ca="1" si="161">IF(TODAY()-E18&gt;335,((L18+1+(LOG(J18)*4/3))*0.594),((L18+(((TODAY()-E18)^0.5)/(336^0.5))+(LOG(J18)*4/3))*0.594))</f>
        <v>2.4067633526850916</v>
      </c>
      <c r="AR18" s="37">
        <f t="shared" ref="AR18:AR19" ca="1" si="162">AP18/2</f>
        <v>0.54699167106479352</v>
      </c>
      <c r="AS18" s="37">
        <f t="shared" ref="AS18:AS19" ca="1" si="163">IF(TODAY()-E18&gt;335,((M18+1+(LOG(J18)*4/3))*0.944),((M18+(((TODAY()-E18)^0.5)/(336^0.5))+(LOG(J18)*4/3))*0.944))</f>
        <v>1.9368899072975194</v>
      </c>
      <c r="AT18" s="37">
        <f t="shared" ref="AT18:AT19" ca="1" si="164">IF(TODAY()-E18&gt;335,((O18+1+(LOG(J18)*4/3))*0.13),((O18+(((TODAY()-E18)^0.5)/(336^0.5))+(LOG(J18)*4/3))*0.13))</f>
        <v>0.4031893869512827</v>
      </c>
      <c r="AU18" s="37">
        <f t="shared" ref="AU18:AU19" ca="1" si="165">IF(TODAY()-E18&gt;335,((P18+1+(LOG(J18)*4/3))*0.173)+((O18+1+(LOG(J18)*4/3))*0.12),((P18+(((TODAY()-E18)^0.5)/(336^0.5))+(LOG(J18)*4/3))*0.173)+((O18+(((TODAY()-E18)^0.5)/(336^0.5))+(LOG(J18)*4/3))*0.12))</f>
        <v>1.2639150712739593</v>
      </c>
      <c r="AV18" s="37">
        <f t="shared" ref="AV18:AV19" ca="1" si="166">AT18/2</f>
        <v>0.20159469347564135</v>
      </c>
      <c r="AW18" s="37">
        <f t="shared" ref="AW18:AW19" ca="1" si="167">IF(TODAY()-E18&gt;335,((L18+1+(LOG(J18)*4/3))*0.189),((L18+(((TODAY()-E18)^0.5)/(336^0.5))+(LOG(J18)*4/3))*0.189))</f>
        <v>0.7657883394907109</v>
      </c>
      <c r="AX18" s="37">
        <f t="shared" ref="AX18:AX19" ca="1" si="168">IF(TODAY()-E18&gt;335,((L18+1+(LOG(J18)*4/3))*0.4),((L18+(((TODAY()-E18)^0.5)/(336^0.5))+(LOG(J18)*4/3))*0.4))</f>
        <v>1.6207160624142032</v>
      </c>
      <c r="AY18" s="37">
        <f t="shared" ref="AY18:AY19" ca="1" si="169">AW18/2</f>
        <v>0.38289416974535545</v>
      </c>
      <c r="AZ18" s="37">
        <f t="shared" ref="AZ18:AZ19" ca="1" si="170">IF(TODAY()-E18&gt;335,((M18+1+(LOG(J18)*4/3))*1),((M18+(((TODAY()-E18)^0.5)/(336^0.5))+(LOG(J18)*4/3))*1))</f>
        <v>2.0517901560355081</v>
      </c>
      <c r="BA18" s="37">
        <f t="shared" ref="BA18:BA19" ca="1" si="171">IF(TODAY()-E18&gt;335,((O18+1+(LOG(J18)*4/3))*0.253),((O18+(((TODAY()-E18)^0.5)/(336^0.5))+(LOG(J18)*4/3))*0.253))</f>
        <v>0.78466857614365015</v>
      </c>
      <c r="BB18" s="37">
        <f t="shared" ref="BB18:BB19" ca="1" si="172">IF(TODAY()-E18&gt;335,((P18+1+(LOG(J18)*4/3))*0.21)+((O18+1+(LOG(J18)*4/3))*0.341),((P18+(((TODAY()-E18)^0.5)/(336^0.5))+(LOG(J18)*4/3))*0.21)+((O18+(((TODAY()-E18)^0.5)/(336^0.5))+(LOG(J18)*4/3))*0.341))</f>
        <v>2.1400560426422315</v>
      </c>
      <c r="BC18" s="37">
        <f t="shared" ref="BC18:BC19" ca="1" si="173">BA18/2</f>
        <v>0.39233428807182508</v>
      </c>
      <c r="BD18" s="37">
        <f t="shared" ref="BD18:BD19" ca="1" si="174">IF(TODAY()-E18&gt;335,((L18+1+(LOG(J18)*4/3))*0.291),((L18+(((TODAY()-E18)^0.5)/(336^0.5))+(LOG(J18)*4/3))*0.291))</f>
        <v>1.1790709354063327</v>
      </c>
      <c r="BE18" s="37">
        <f t="shared" ref="BE18:BE19" ca="1" si="175">IF(TODAY()-E18&gt;335,((L18+1+(LOG(J18)*4/3))*0.348),((L18+(((TODAY()-E18)^0.5)/(336^0.5))+(LOG(J18)*4/3))*0.348))</f>
        <v>1.4100229743003565</v>
      </c>
      <c r="BF18" s="37">
        <f t="shared" ref="BF18:BF19" ca="1" si="176">IF(TODAY()-E18&gt;335,((M18+1+(LOG(J18)*4/3))*0.881),((M18+(((TODAY()-E18)^0.5)/(336^0.5))+(LOG(J18)*4/3))*0.881))</f>
        <v>1.8076271274672826</v>
      </c>
      <c r="BG18" s="37">
        <f t="shared" ref="BG18:BG19" ca="1" si="177">IF(TODAY()-E18&gt;335,((N18+1+(LOG(J18)*4/3))*0.574)+((O18+1+(LOG(J18)*4/3))*0.315),((N18+(((TODAY()-E18)^0.5)/(336^0.5))+(LOG(J18)*4/3))*0.574)+((O18+(((TODAY()-E18)^0.5)/(336^0.5))+(LOG(J18)*4/3))*0.315))</f>
        <v>2.1546864487155668</v>
      </c>
      <c r="BH18" s="37">
        <f t="shared" ref="BH18:BH19" ca="1" si="178">IF(TODAY()-E18&gt;335,((O18+1+(LOG(J18)*4/3))*0.241),((O18+(((TODAY()-E18)^0.5)/(336^0.5))+(LOG(J18)*4/3))*0.241))</f>
        <v>0.74745109427122403</v>
      </c>
      <c r="BI18" s="37">
        <f t="shared" ref="BI18:BI19" ca="1" si="179">IF(TODAY()-E18&gt;335,((L18+1+(LOG(J18)*4/3))*0.485),((L18+(((TODAY()-E18)^0.5)/(336^0.5))+(LOG(J18)*4/3))*0.485))</f>
        <v>1.9651182256772211</v>
      </c>
      <c r="BJ18" s="37">
        <f t="shared" ref="BJ18:BJ19" ca="1" si="180">IF(TODAY()-E18&gt;335,((L18+1+(LOG(J18)*4/3))*0.264),((L18+(((TODAY()-E18)^0.5)/(336^0.5))+(LOG(J18)*4/3))*0.264))</f>
        <v>1.0696726011933742</v>
      </c>
      <c r="BK18" s="37">
        <f t="shared" ref="BK18:BK19" ca="1" si="181">IF(TODAY()-E18&gt;335,((M18+1+(LOG(J18)*4/3))*0.381),((M18+(((TODAY()-E18)^0.5)/(336^0.5))+(LOG(J18)*4/3))*0.381))</f>
        <v>0.78173204944952857</v>
      </c>
      <c r="BL18" s="37">
        <f t="shared" ref="BL18:BL19" ca="1" si="182">IF(TODAY()-E18&gt;335,((N18+1+(LOG(J18)*4/3))*0.673)+((O18+1+(LOG(J18)*4/3))*0.201),((N18+(((TODAY()-E18)^0.5)/(336^0.5))+(LOG(J18)*4/3))*0.673)+((O18+(((TODAY()-E18)^0.5)/(336^0.5))+(LOG(J18)*4/3))*0.201))</f>
        <v>2.0042475963750341</v>
      </c>
      <c r="BM18" s="37">
        <f t="shared" ref="BM18:BM19" ca="1" si="183">IF(TODAY()-E18&gt;335,((O18+1+(LOG(J18)*4/3))*0.052),((O18+(((TODAY()-E18)^0.5)/(336^0.5))+(LOG(J18)*4/3))*0.052))</f>
        <v>0.16127575478051306</v>
      </c>
      <c r="BN18" s="37">
        <f t="shared" ref="BN18:BN19" ca="1" si="184">IF(TODAY()-E18&gt;335,((L18+1+(LOG(J18)*4/3))*0.18),((L18+(((TODAY()-E18)^0.5)/(336^0.5))+(LOG(J18)*4/3))*0.18))</f>
        <v>0.72932222808639136</v>
      </c>
      <c r="BO18" s="37">
        <f t="shared" ref="BO18:BO19" ca="1" si="185">IF(TODAY()-E18&gt;335,((L18+1+(LOG(J18)*4/3))*0.068),((L18+(((TODAY()-E18)^0.5)/(336^0.5))+(LOG(J18)*4/3))*0.068))</f>
        <v>0.27552173061041452</v>
      </c>
      <c r="BP18" s="37">
        <f t="shared" ref="BP18:BP19" ca="1" si="186">IF(TODAY()-E18&gt;335,((M18+1+(LOG(J18)*4/3))*0.305),((M18+(((TODAY()-E18)^0.5)/(336^0.5))+(LOG(J18)*4/3))*0.305))</f>
        <v>0.62579599759082993</v>
      </c>
      <c r="BQ18" s="37">
        <f t="shared" ref="BQ18:BQ19" ca="1" si="187">IF(TODAY()-E18&gt;335,((N18+1+(LOG(J18)*4/3))*1)+((O18+1+(LOG(J18)*4/3))*0.286),((N18+(((TODAY()-E18)^0.5)/(336^0.5))+(LOG(J18)*4/3))*1)+((O18+(((TODAY()-E18)^0.5)/(336^0.5))+(LOG(J18)*4/3))*0.286))</f>
        <v>2.93880680732833</v>
      </c>
      <c r="BR18" s="37">
        <f t="shared" ref="BR18:BR19" ca="1" si="188">IF(TODAY()-E18&gt;335,((O18+1+(LOG(J18)*4/3))*0.135),((O18+(((TODAY()-E18)^0.5)/(336^0.5))+(LOG(J18)*4/3))*0.135))</f>
        <v>0.41869667106479358</v>
      </c>
      <c r="BS18" s="37">
        <f t="shared" ref="BS18:BS19" ca="1" si="189">IF(TODAY()-E18&gt;335,((L18+1+(LOG(J18)*4/3))*0.284),((L18+(((TODAY()-E18)^0.5)/(336^0.5))+(LOG(J18)*4/3))*0.284))</f>
        <v>1.1507084043140841</v>
      </c>
      <c r="BT18" s="37">
        <f t="shared" ref="BT18:BT19" ca="1" si="190">IF(TODAY()-E18&gt;335,((L18+1+(LOG(J18)*4/3))*0.244),((L18+(((TODAY()-E18)^0.5)/(336^0.5))+(LOG(J18)*4/3))*0.244))</f>
        <v>0.9886367980726638</v>
      </c>
      <c r="BU18" s="37">
        <f t="shared" ref="BU18:BU19" ca="1" si="191">IF(TODAY()-E18&gt;335,((M18+1+(LOG(J18)*4/3))*0.631),((M18+(((TODAY()-E18)^0.5)/(336^0.5))+(LOG(J18)*4/3))*0.631))</f>
        <v>1.2946795884584057</v>
      </c>
      <c r="BV18" s="37">
        <f t="shared" ref="BV18:BV19" ca="1" si="192">IF(TODAY()-E18&gt;335,((N18+1+(LOG(J18)*4/3))*0.702)+((O18+1+(LOG(J18)*4/3))*0.193),((N18+(((TODAY()-E18)^0.5)/(336^0.5))+(LOG(J18)*4/3))*0.702)+((O18+(((TODAY()-E18)^0.5)/(336^0.5))+(LOG(J18)*4/3))*0.193))</f>
        <v>2.0389378563184462</v>
      </c>
      <c r="BW18" s="37">
        <f t="shared" ref="BW18:BW19" ca="1" si="193">IF(TODAY()-E18&gt;335,((O18+1+(LOG(J18)*4/3))*0.148),((O18+(((TODAY()-E18)^0.5)/(336^0.5))+(LOG(J18)*4/3))*0.148))</f>
        <v>0.45901560975992184</v>
      </c>
      <c r="BX18" s="37">
        <f t="shared" ref="BX18:BX19" ca="1" si="194">IF(TODAY()-E18&gt;335,((M18+1+(LOG(J18)*4/3))*0.406),((M18+(((TODAY()-E18)^0.5)/(336^0.5))+(LOG(J18)*4/3))*0.406))</f>
        <v>0.83302680335041634</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1.725452115738944</v>
      </c>
      <c r="BZ18" s="37">
        <f t="shared" ref="BZ18:BZ19" ca="1" si="196">IF(D18="TEC",IF(TODAY()-E18&gt;335,((O18+1+(LOG(J18)*4/3))*0.543)+((P18+1+(LOG(J18)*4/3))*0.583),((O18+(((TODAY()-E18)^0.5)/(336^0.5))+(LOG(J18)*4/3))*0.543)+((P18+(((TODAY()-E18)^0.5)/(336^0.5))+(LOG(J18)*4/3))*0.583)),IF(TODAY()-E18&gt;335,((O18+1+(LOG(J18)*4/3))*0.543)+((P18+1+(LOG(J18)*4/3))*0.583),((O18+(((TODAY()-E18)^0.5)/(336^0.5))+(LOG(J18)*4/3))*0.543)+((P18+(((TODAY()-E18)^0.5)/(336^0.5))+(LOG(J18)*4/3))*0.583)))</f>
        <v>4.6892041601404255</v>
      </c>
      <c r="CA18" s="37">
        <f t="shared" ref="CA18:CA19" ca="1" si="197">BY18</f>
        <v>1.725452115738944</v>
      </c>
      <c r="CB18" s="37">
        <f t="shared" ref="CB18:CB19" ca="1" si="198">IF(TODAY()-E18&gt;335,((P18+1+(LOG(J18)*4/3))*0.26)+((N18+1+(LOG(J18)*4/3))*0.221)+((O18+1+(LOG(J18)*4/3))*0.142),((P18+(((TODAY()-E18)^0.5)/(336^0.5))+(LOG(J18)*4/3))*0.26)+((N18+(((TODAY()-E18)^0.5)/(336^0.5))+(LOG(J18)*4/3))*0.221)+((P18+(((TODAY()-E18)^0.5)/(336^0.5))+(LOG(J18)*4/3))*0.142))</f>
        <v>2.5255819338767882</v>
      </c>
      <c r="CC18" s="37">
        <f t="shared" ref="CC18:CC19" ca="1" si="199">IF(TODAY()-E18&gt;335,((P18+1+(LOG(J18)*4/3))*1)+((O18+1+(LOG(J18)*4/3))*0.369),((P18+(((TODAY()-E18)^0.5)/(336^0.5))+(LOG(J18)*4/3))*1)+((O18+(((TODAY()-E18)^0.5)/(336^0.5))+(LOG(J18)*4/3))*0.369))</f>
        <v>6.2990055013903881</v>
      </c>
      <c r="CD18" s="37">
        <f t="shared" ref="CD18:CD19" ca="1" si="200">CB18</f>
        <v>2.5255819338767882</v>
      </c>
      <c r="CE18" s="37">
        <f t="shared" ref="CE18:CE19" ca="1" si="201">IF(TODAY()-E18&gt;335,((M18+1+(LOG(J18)*4/3))*0.25),((M18+(((TODAY()-E18)^0.5)/(336^0.5))+(LOG(J18)*4/3))*0.25))</f>
        <v>0.51294753900887702</v>
      </c>
    </row>
    <row r="19" spans="1:83" x14ac:dyDescent="0.25">
      <c r="A19" t="str">
        <f>PLANTILLA!D22</f>
        <v>Casildo Abraldes</v>
      </c>
      <c r="B19">
        <f>PLANTILLA!E22</f>
        <v>17</v>
      </c>
      <c r="C19" s="33">
        <f ca="1">PLANTILLA!F22</f>
        <v>36</v>
      </c>
      <c r="D19" s="220">
        <f>PLANTILLA!G22</f>
        <v>0</v>
      </c>
      <c r="E19" s="30">
        <f>PLANTILLA!M22</f>
        <v>43090</v>
      </c>
      <c r="F19" s="47">
        <f>PLANTILLA!Q22</f>
        <v>5</v>
      </c>
      <c r="G19" s="48">
        <f t="shared" si="1"/>
        <v>0.84515425472851657</v>
      </c>
      <c r="H19" s="48">
        <f t="shared" si="2"/>
        <v>0.92504826128926143</v>
      </c>
      <c r="I19" s="51">
        <f t="shared" ca="1" si="3"/>
        <v>0.27277236279499051</v>
      </c>
      <c r="J19" s="39">
        <f>PLANTILLA!I22</f>
        <v>1.3</v>
      </c>
      <c r="K19" s="46">
        <f>PLANTILLA!X22</f>
        <v>0</v>
      </c>
      <c r="L19" s="46">
        <f>PLANTILLA!Y22</f>
        <v>3</v>
      </c>
      <c r="M19" s="46">
        <f>PLANTILLA!Z22</f>
        <v>2</v>
      </c>
      <c r="N19" s="46">
        <f>PLANTILLA!AA22</f>
        <v>5</v>
      </c>
      <c r="O19" s="46">
        <f>PLANTILLA!AB22</f>
        <v>5</v>
      </c>
      <c r="P19" s="46">
        <f>PLANTILLA!AC22</f>
        <v>6.75</v>
      </c>
      <c r="Q19" s="46">
        <f>PLANTILLA!AD22</f>
        <v>4</v>
      </c>
      <c r="R19" s="46">
        <f t="shared" si="136"/>
        <v>2</v>
      </c>
      <c r="S19" s="46">
        <f t="shared" si="137"/>
        <v>0.45750000000000002</v>
      </c>
      <c r="T19" s="46">
        <f t="shared" si="138"/>
        <v>0.24000000000000005</v>
      </c>
      <c r="U19" s="46">
        <f t="shared" ca="1" si="139"/>
        <v>3.7395513539028071</v>
      </c>
      <c r="V19" s="46">
        <f t="shared" ca="1" si="140"/>
        <v>4.0930581116708602</v>
      </c>
      <c r="W19" s="37">
        <f t="shared" ca="1" si="141"/>
        <v>1.1987603348051847</v>
      </c>
      <c r="X19" s="37">
        <f t="shared" ca="1" si="142"/>
        <v>1.8232836108058343</v>
      </c>
      <c r="Y19" s="37">
        <f t="shared" ca="1" si="143"/>
        <v>1.1987603348051847</v>
      </c>
      <c r="Z19" s="37">
        <f t="shared" ca="1" si="144"/>
        <v>1.7546345410480952</v>
      </c>
      <c r="AA19" s="37">
        <f t="shared" ca="1" si="145"/>
        <v>3.4246968325374394</v>
      </c>
      <c r="AB19" s="37">
        <f t="shared" ca="1" si="146"/>
        <v>0.87731727052404762</v>
      </c>
      <c r="AC19" s="37">
        <f t="shared" ca="1" si="147"/>
        <v>0.81020053460219699</v>
      </c>
      <c r="AD19" s="37">
        <f t="shared" ca="1" si="148"/>
        <v>1.2853718149538371</v>
      </c>
      <c r="AE19" s="37">
        <f t="shared" ca="1" si="149"/>
        <v>2.4760558099245684</v>
      </c>
      <c r="AF19" s="37">
        <f t="shared" ca="1" si="150"/>
        <v>0.64268590747691856</v>
      </c>
      <c r="AG19" s="37">
        <f t="shared" ca="1" si="151"/>
        <v>1.3106185118564952</v>
      </c>
      <c r="AH19" s="37">
        <f t="shared" ca="1" si="152"/>
        <v>3.1507210859344443</v>
      </c>
      <c r="AI19" s="37">
        <f t="shared" ca="1" si="153"/>
        <v>1.4911336950639011</v>
      </c>
      <c r="AJ19" s="37">
        <f t="shared" ca="1" si="154"/>
        <v>0.40492437103375239</v>
      </c>
      <c r="AK19" s="37">
        <f t="shared" ca="1" si="155"/>
        <v>3.1897217375320137</v>
      </c>
      <c r="AL19" s="37">
        <f t="shared" ca="1" si="156"/>
        <v>2.5822214117332294</v>
      </c>
      <c r="AM19" s="37">
        <f t="shared" ca="1" si="157"/>
        <v>2.550054724891889</v>
      </c>
      <c r="AN19" s="37">
        <f t="shared" ca="1" si="158"/>
        <v>0.7389243710337523</v>
      </c>
      <c r="AO19" s="37">
        <f t="shared" ca="1" si="159"/>
        <v>0.69831268777078248</v>
      </c>
      <c r="AP19" s="37">
        <f t="shared" ca="1" si="160"/>
        <v>0.92466814478510873</v>
      </c>
      <c r="AQ19" s="37">
        <f t="shared" ca="1" si="161"/>
        <v>2.0342699185272388</v>
      </c>
      <c r="AR19" s="37">
        <f t="shared" ca="1" si="162"/>
        <v>0.46233407239255436</v>
      </c>
      <c r="AS19" s="37">
        <f t="shared" ca="1" si="163"/>
        <v>2.2889138099153428</v>
      </c>
      <c r="AT19" s="37">
        <f t="shared" ca="1" si="164"/>
        <v>0.70521058822986704</v>
      </c>
      <c r="AU19" s="37">
        <f t="shared" ca="1" si="165"/>
        <v>1.8921861719334694</v>
      </c>
      <c r="AV19" s="37">
        <f t="shared" ca="1" si="166"/>
        <v>0.35260529411493352</v>
      </c>
      <c r="AW19" s="37">
        <f t="shared" ca="1" si="167"/>
        <v>0.64726770134957601</v>
      </c>
      <c r="AX19" s="37">
        <f t="shared" ca="1" si="168"/>
        <v>1.3698787330149758</v>
      </c>
      <c r="AY19" s="37">
        <f t="shared" ca="1" si="169"/>
        <v>0.323633850674788</v>
      </c>
      <c r="AZ19" s="37">
        <f t="shared" ca="1" si="170"/>
        <v>2.4246968325374394</v>
      </c>
      <c r="BA19" s="37">
        <f t="shared" ca="1" si="171"/>
        <v>1.3724482986319722</v>
      </c>
      <c r="BB19" s="37">
        <f t="shared" ca="1" si="172"/>
        <v>3.3565079547281291</v>
      </c>
      <c r="BC19" s="37">
        <f t="shared" ca="1" si="173"/>
        <v>0.68622414931598608</v>
      </c>
      <c r="BD19" s="37">
        <f t="shared" ca="1" si="174"/>
        <v>0.99658677826839481</v>
      </c>
      <c r="BE19" s="37">
        <f t="shared" ca="1" si="175"/>
        <v>1.1917944977230288</v>
      </c>
      <c r="BF19" s="37">
        <f t="shared" ca="1" si="176"/>
        <v>2.1361579094654841</v>
      </c>
      <c r="BG19" s="37">
        <f t="shared" ca="1" si="177"/>
        <v>4.8225554841257834</v>
      </c>
      <c r="BH19" s="37">
        <f t="shared" ca="1" si="178"/>
        <v>1.3073519366415227</v>
      </c>
      <c r="BI19" s="37">
        <f t="shared" ca="1" si="179"/>
        <v>1.6609779637806581</v>
      </c>
      <c r="BJ19" s="37">
        <f t="shared" ca="1" si="180"/>
        <v>0.90411996378988402</v>
      </c>
      <c r="BK19" s="37">
        <f t="shared" ca="1" si="181"/>
        <v>0.92380949319676442</v>
      </c>
      <c r="BL19" s="37">
        <f t="shared" ca="1" si="182"/>
        <v>4.7411850316377215</v>
      </c>
      <c r="BM19" s="37">
        <f t="shared" ca="1" si="183"/>
        <v>0.28208423529194682</v>
      </c>
      <c r="BN19" s="37">
        <f t="shared" ca="1" si="184"/>
        <v>0.61644542985673911</v>
      </c>
      <c r="BO19" s="37">
        <f t="shared" ca="1" si="185"/>
        <v>0.2328793846125459</v>
      </c>
      <c r="BP19" s="37">
        <f t="shared" ca="1" si="186"/>
        <v>0.73953253392391904</v>
      </c>
      <c r="BQ19" s="37">
        <f t="shared" ca="1" si="187"/>
        <v>6.9761601266431459</v>
      </c>
      <c r="BR19" s="37">
        <f t="shared" ca="1" si="188"/>
        <v>0.73233407239255432</v>
      </c>
      <c r="BS19" s="37">
        <f t="shared" ca="1" si="189"/>
        <v>0.97261390044063267</v>
      </c>
      <c r="BT19" s="37">
        <f t="shared" ca="1" si="190"/>
        <v>0.83562602713913514</v>
      </c>
      <c r="BU19" s="37">
        <f t="shared" ca="1" si="191"/>
        <v>1.5299837013311244</v>
      </c>
      <c r="BV19" s="37">
        <f t="shared" ca="1" si="192"/>
        <v>4.8551036651210078</v>
      </c>
      <c r="BW19" s="37">
        <f t="shared" ca="1" si="193"/>
        <v>0.80285513121554097</v>
      </c>
      <c r="BX19" s="37">
        <f t="shared" ca="1" si="194"/>
        <v>0.98442691401020044</v>
      </c>
      <c r="BY19" s="37">
        <f t="shared" ca="1" si="195"/>
        <v>3.0485170497520055</v>
      </c>
      <c r="BZ19" s="37">
        <f t="shared" ca="1" si="196"/>
        <v>7.1284586334371554</v>
      </c>
      <c r="CA19" s="37">
        <f t="shared" ca="1" si="197"/>
        <v>3.0485170497520055</v>
      </c>
      <c r="CB19" s="37">
        <f t="shared" ca="1" si="198"/>
        <v>4.0830861266708247</v>
      </c>
      <c r="CC19" s="37">
        <f t="shared" ca="1" si="199"/>
        <v>9.1764099637437546</v>
      </c>
      <c r="CD19" s="37">
        <f t="shared" ca="1" si="200"/>
        <v>4.0830861266708247</v>
      </c>
      <c r="CE19" s="37">
        <f t="shared" ca="1" si="201"/>
        <v>0.60617420813435985</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4" t="s">
        <v>203</v>
      </c>
      <c r="B1" s="234"/>
      <c r="C1" s="234"/>
      <c r="D1" s="234"/>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5" t="s">
        <v>204</v>
      </c>
      <c r="B2" s="236" t="s">
        <v>205</v>
      </c>
      <c r="C2" s="236" t="s">
        <v>206</v>
      </c>
      <c r="D2" s="236"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5"/>
      <c r="B3" s="236"/>
      <c r="C3" s="236"/>
      <c r="D3" s="236"/>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0"/>
  <sheetViews>
    <sheetView zoomScaleNormal="100" workbookViewId="0">
      <selection activeCell="Y2" sqref="Y2"/>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7"/>
      <c r="U1" s="237"/>
      <c r="V1" s="237"/>
      <c r="W1" s="139"/>
      <c r="X1" s="237" t="s">
        <v>169</v>
      </c>
      <c r="Y1" s="237"/>
      <c r="Z1" s="114">
        <f>T2+U2+V2+W2+X2+Y2+Z2</f>
        <v>44</v>
      </c>
      <c r="AA1" s="32">
        <f>Z1/16</f>
        <v>2.75</v>
      </c>
      <c r="AC1" s="65"/>
      <c r="AD1" s="65"/>
      <c r="AE1" s="65"/>
      <c r="AF1" s="65"/>
      <c r="AG1" s="65"/>
      <c r="AH1" s="65"/>
      <c r="AI1" s="65"/>
      <c r="AJ1" s="65"/>
    </row>
    <row r="2" spans="1:36" x14ac:dyDescent="0.25">
      <c r="A2" s="140"/>
      <c r="B2" s="140"/>
      <c r="C2" s="141"/>
      <c r="D2" s="142">
        <f ca="1">TODAY()</f>
        <v>43115</v>
      </c>
      <c r="G2" s="65"/>
      <c r="H2" s="143"/>
      <c r="I2" s="143"/>
      <c r="J2" s="144"/>
      <c r="K2" s="144"/>
      <c r="L2" s="143"/>
      <c r="M2" s="145"/>
      <c r="N2" s="143"/>
      <c r="O2" s="143"/>
      <c r="P2" s="143"/>
      <c r="Q2" s="143"/>
      <c r="R2" s="143"/>
      <c r="S2" s="143"/>
      <c r="T2" s="148">
        <v>0</v>
      </c>
      <c r="U2" s="149">
        <v>0</v>
      </c>
      <c r="V2" s="149">
        <v>0</v>
      </c>
      <c r="W2" s="148">
        <v>29</v>
      </c>
      <c r="X2" s="150">
        <v>0</v>
      </c>
      <c r="Y2" s="150">
        <v>15</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10.803571428571429</v>
      </c>
      <c r="D4" s="28" t="str">
        <f>PLANTILLA!D4</f>
        <v>Alberto Ercilla</v>
      </c>
      <c r="E4" s="16">
        <f>PLANTILLA!E4</f>
        <v>22</v>
      </c>
      <c r="F4" s="17">
        <f ca="1">PLANTILLA!F4</f>
        <v>22</v>
      </c>
      <c r="G4" s="18" t="str">
        <f>PLANTILLA!G4</f>
        <v>IMP</v>
      </c>
      <c r="H4" s="4">
        <f>PLANTILLA!H4</f>
        <v>4</v>
      </c>
      <c r="I4" s="27">
        <f>PLANTILLA!I4</f>
        <v>2.2999999999999998</v>
      </c>
      <c r="J4" s="19">
        <f>PLANTILLA!O4</f>
        <v>6.7</v>
      </c>
      <c r="K4" s="6">
        <f t="shared" ref="K4" si="0">(H4)*(H4)*(I4)</f>
        <v>36.799999999999997</v>
      </c>
      <c r="L4" s="6">
        <f t="shared" ref="L4" si="1">(H4+1)*(H4+1)*I4</f>
        <v>57.499999999999993</v>
      </c>
      <c r="M4" s="21">
        <f>PLANTILLA!X4</f>
        <v>0</v>
      </c>
      <c r="N4" s="21">
        <f>PLANTILLA!Y4</f>
        <v>7</v>
      </c>
      <c r="O4" s="21">
        <f>PLANTILLA!Z4</f>
        <v>2</v>
      </c>
      <c r="P4" s="21">
        <f>PLANTILLA!AA4</f>
        <v>5</v>
      </c>
      <c r="Q4" s="21">
        <f>PLANTILLA!AB4</f>
        <v>7</v>
      </c>
      <c r="R4" s="21">
        <f>PLANTILLA!AC4</f>
        <v>5.0952380952380949</v>
      </c>
      <c r="S4" s="21">
        <f>PLANTILLA!AD4</f>
        <v>4</v>
      </c>
      <c r="T4" s="155">
        <v>0</v>
      </c>
      <c r="U4" s="155">
        <v>0</v>
      </c>
      <c r="V4" s="155">
        <v>0</v>
      </c>
      <c r="W4" s="155">
        <v>0.13</v>
      </c>
      <c r="X4" s="155">
        <v>0</v>
      </c>
      <c r="Y4" s="155">
        <f t="shared" ref="Y4:Y17" si="2">0.17</f>
        <v>0.17</v>
      </c>
      <c r="Z4" s="155">
        <v>0</v>
      </c>
      <c r="AA4" s="153">
        <v>20</v>
      </c>
      <c r="AB4" s="154">
        <v>56</v>
      </c>
      <c r="AC4" s="25">
        <f t="shared" ref="AC4:AC17" si="3">I4+$AC$2</f>
        <v>2.2999999999999998</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15.321428571428571</v>
      </c>
      <c r="D5" s="28" t="str">
        <f>PLANTILLA!D5</f>
        <v>Marc Dolz</v>
      </c>
      <c r="E5" s="16">
        <f>PLANTILLA!E5</f>
        <v>17</v>
      </c>
      <c r="F5" s="17">
        <f ca="1">PLANTILLA!F5</f>
        <v>76</v>
      </c>
      <c r="G5" s="18" t="str">
        <f>PLANTILLA!G5</f>
        <v>POT</v>
      </c>
      <c r="H5" s="4">
        <f>PLANTILLA!H5</f>
        <v>3</v>
      </c>
      <c r="I5" s="27">
        <f>PLANTILLA!I5</f>
        <v>1</v>
      </c>
      <c r="J5" s="19">
        <f>PLANTILLA!O5</f>
        <v>4.3</v>
      </c>
      <c r="K5" s="6">
        <f t="shared" ref="K5:K17" si="4">(H5)*(H5)*(I5)</f>
        <v>9</v>
      </c>
      <c r="L5" s="6">
        <f t="shared" ref="L5:L17" si="5">(H5+1)*(H5+1)*I5</f>
        <v>16</v>
      </c>
      <c r="M5" s="21">
        <f>PLANTILLA!X5</f>
        <v>0</v>
      </c>
      <c r="N5" s="21">
        <f>PLANTILLA!Y5</f>
        <v>4</v>
      </c>
      <c r="O5" s="21">
        <f>PLANTILLA!Z5</f>
        <v>4</v>
      </c>
      <c r="P5" s="21">
        <f>PLANTILLA!AA5</f>
        <v>3</v>
      </c>
      <c r="Q5" s="21">
        <f>PLANTILLA!AB5</f>
        <v>4.2526666666666664</v>
      </c>
      <c r="R5" s="21">
        <f>PLANTILLA!AC5</f>
        <v>3.0666666666666669</v>
      </c>
      <c r="S5" s="21">
        <f>PLANTILLA!AD5</f>
        <v>0.4</v>
      </c>
      <c r="T5" s="155">
        <v>0</v>
      </c>
      <c r="U5" s="155">
        <v>0</v>
      </c>
      <c r="V5" s="155">
        <v>0</v>
      </c>
      <c r="W5" s="155">
        <v>1</v>
      </c>
      <c r="X5" s="155">
        <v>0</v>
      </c>
      <c r="Y5" s="155">
        <v>1</v>
      </c>
      <c r="Z5" s="155">
        <v>0</v>
      </c>
      <c r="AA5" s="153">
        <v>20</v>
      </c>
      <c r="AB5" s="154">
        <v>59</v>
      </c>
      <c r="AC5" s="25">
        <f t="shared" si="3"/>
        <v>1</v>
      </c>
      <c r="AD5" s="156">
        <f t="shared" ref="AD5:AD17" si="6">M5</f>
        <v>0</v>
      </c>
      <c r="AE5" s="156">
        <f t="shared" ref="AE5:AE17" si="7">N5</f>
        <v>4</v>
      </c>
      <c r="AF5" s="156">
        <f t="shared" ref="AF5:AF17"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15.794642857142858</v>
      </c>
      <c r="D6" s="28" t="str">
        <f>PLANTILLA!D6</f>
        <v>Manuel Parejo</v>
      </c>
      <c r="E6" s="16">
        <f>PLANTILLA!E6</f>
        <v>17</v>
      </c>
      <c r="F6" s="17">
        <f ca="1">PLANTILLA!F6</f>
        <v>23</v>
      </c>
      <c r="G6" s="18">
        <f>PLANTILLA!G6</f>
        <v>0</v>
      </c>
      <c r="H6" s="4">
        <f>PLANTILLA!H6</f>
        <v>1</v>
      </c>
      <c r="I6" s="27">
        <f>PLANTILLA!I6</f>
        <v>1.1000000000000001</v>
      </c>
      <c r="J6" s="19">
        <f>PLANTILLA!O6</f>
        <v>3.8</v>
      </c>
      <c r="K6" s="6">
        <f t="shared" si="4"/>
        <v>1.1000000000000001</v>
      </c>
      <c r="L6" s="6">
        <f t="shared" si="5"/>
        <v>4.4000000000000004</v>
      </c>
      <c r="M6" s="21">
        <f>PLANTILLA!X6</f>
        <v>0</v>
      </c>
      <c r="N6" s="21">
        <f>PLANTILLA!Y6</f>
        <v>5</v>
      </c>
      <c r="O6" s="21">
        <f>PLANTILLA!Z6</f>
        <v>6.7</v>
      </c>
      <c r="P6" s="21">
        <f>PLANTILLA!AA6</f>
        <v>3</v>
      </c>
      <c r="Q6" s="21">
        <f>PLANTILLA!AB6</f>
        <v>2</v>
      </c>
      <c r="R6" s="21">
        <f>PLANTILLA!AC6</f>
        <v>3.1333333333333337</v>
      </c>
      <c r="S6" s="21">
        <f>PLANTILLA!AD6</f>
        <v>2</v>
      </c>
      <c r="T6" s="155">
        <v>0</v>
      </c>
      <c r="U6" s="155">
        <v>0</v>
      </c>
      <c r="V6" s="155">
        <v>0</v>
      </c>
      <c r="W6" s="155">
        <v>1</v>
      </c>
      <c r="X6" s="155">
        <v>0</v>
      </c>
      <c r="Y6" s="155">
        <v>1</v>
      </c>
      <c r="Z6" s="155">
        <v>0</v>
      </c>
      <c r="AA6" s="153">
        <v>20</v>
      </c>
      <c r="AB6" s="154">
        <v>69</v>
      </c>
      <c r="AC6" s="25">
        <f t="shared" si="3"/>
        <v>1.1000000000000001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15.294642857142858</v>
      </c>
      <c r="D7" s="28" t="str">
        <f>PLANTILLA!D7</f>
        <v>Valeri Gomis</v>
      </c>
      <c r="E7" s="16">
        <f>PLANTILLA!E7</f>
        <v>17</v>
      </c>
      <c r="F7" s="17">
        <f ca="1">PLANTILLA!F7</f>
        <v>79</v>
      </c>
      <c r="G7" s="18" t="str">
        <f>PLANTILLA!G7</f>
        <v>IMP</v>
      </c>
      <c r="H7" s="4">
        <f>PLANTILLA!H7</f>
        <v>6</v>
      </c>
      <c r="I7" s="27">
        <f>PLANTILLA!I7</f>
        <v>1.4</v>
      </c>
      <c r="J7" s="19">
        <f>PLANTILLA!O7</f>
        <v>5.3</v>
      </c>
      <c r="K7" s="6">
        <f t="shared" si="4"/>
        <v>50.4</v>
      </c>
      <c r="L7" s="6">
        <f t="shared" si="5"/>
        <v>68.599999999999994</v>
      </c>
      <c r="M7" s="21">
        <f>PLANTILLA!X7</f>
        <v>0</v>
      </c>
      <c r="N7" s="21">
        <f>PLANTILLA!Y7</f>
        <v>6</v>
      </c>
      <c r="O7" s="21">
        <f>PLANTILLA!Z7</f>
        <v>3</v>
      </c>
      <c r="P7" s="21">
        <f>PLANTILLA!AA7</f>
        <v>3</v>
      </c>
      <c r="Q7" s="21">
        <f>PLANTILLA!AB7</f>
        <v>5.4</v>
      </c>
      <c r="R7" s="21">
        <f>PLANTILLA!AC7</f>
        <v>4</v>
      </c>
      <c r="S7" s="21">
        <f>PLANTILLA!AD7</f>
        <v>3</v>
      </c>
      <c r="T7" s="155">
        <v>0</v>
      </c>
      <c r="U7" s="155">
        <v>0</v>
      </c>
      <c r="V7" s="155">
        <v>0</v>
      </c>
      <c r="W7" s="155">
        <v>0.13</v>
      </c>
      <c r="X7" s="155">
        <v>0</v>
      </c>
      <c r="Y7" s="155">
        <v>0.17</v>
      </c>
      <c r="Z7" s="155">
        <v>0</v>
      </c>
      <c r="AA7" s="153">
        <v>20</v>
      </c>
      <c r="AB7" s="154">
        <v>103</v>
      </c>
      <c r="AC7" s="25">
        <f t="shared" si="3"/>
        <v>1.4</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15.205357142857142</v>
      </c>
      <c r="D8" s="28" t="str">
        <f>PLANTILLA!D8</f>
        <v>J. G. de Minaya</v>
      </c>
      <c r="E8" s="16">
        <f>PLANTILLA!E8</f>
        <v>17</v>
      </c>
      <c r="F8" s="17">
        <f ca="1">PLANTILLA!F8</f>
        <v>89</v>
      </c>
      <c r="G8" s="18" t="str">
        <f>PLANTILLA!G8</f>
        <v>TEC</v>
      </c>
      <c r="H8" s="4">
        <f>PLANTILLA!H8</f>
        <v>0</v>
      </c>
      <c r="I8" s="27">
        <f>PLANTILLA!I8</f>
        <v>1.5</v>
      </c>
      <c r="J8" s="19">
        <f>PLANTILLA!O8</f>
        <v>3.5</v>
      </c>
      <c r="K8" s="6">
        <f t="shared" si="4"/>
        <v>0</v>
      </c>
      <c r="L8" s="6">
        <f t="shared" si="5"/>
        <v>1.5</v>
      </c>
      <c r="M8" s="21">
        <f>PLANTILLA!X8</f>
        <v>0</v>
      </c>
      <c r="N8" s="21">
        <f>PLANTILLA!Y8</f>
        <v>6</v>
      </c>
      <c r="O8" s="21">
        <f>PLANTILLA!Z8</f>
        <v>5</v>
      </c>
      <c r="P8" s="21">
        <f>PLANTILLA!AA8</f>
        <v>6</v>
      </c>
      <c r="Q8" s="21">
        <f>PLANTILLA!AB8</f>
        <v>6</v>
      </c>
      <c r="R8" s="21">
        <f>PLANTILLA!AC8</f>
        <v>5.66</v>
      </c>
      <c r="S8" s="21">
        <f>PLANTILLA!AD8</f>
        <v>0</v>
      </c>
      <c r="T8" s="155">
        <v>0</v>
      </c>
      <c r="U8" s="155">
        <v>0</v>
      </c>
      <c r="V8" s="155">
        <v>0</v>
      </c>
      <c r="W8" s="155">
        <v>0.13</v>
      </c>
      <c r="X8" s="155">
        <v>0</v>
      </c>
      <c r="Y8" s="155">
        <f t="shared" si="2"/>
        <v>0.17</v>
      </c>
      <c r="Z8" s="155">
        <v>0</v>
      </c>
      <c r="AA8" s="153">
        <v>20</v>
      </c>
      <c r="AB8" s="154">
        <v>55</v>
      </c>
      <c r="AC8" s="25">
        <f t="shared" si="3"/>
        <v>1.5</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14.901785714285714</v>
      </c>
      <c r="D9" s="28" t="str">
        <f>PLANTILLA!D9</f>
        <v>Roberto Montero</v>
      </c>
      <c r="E9" s="16">
        <f>PLANTILLA!E9</f>
        <v>18</v>
      </c>
      <c r="F9" s="17">
        <f ca="1">PLANTILLA!F9</f>
        <v>11</v>
      </c>
      <c r="G9" s="18" t="str">
        <f>PLANTILLA!G9</f>
        <v>TEC</v>
      </c>
      <c r="H9" s="4">
        <f>PLANTILLA!H9</f>
        <v>2</v>
      </c>
      <c r="I9" s="27">
        <f>PLANTILLA!I9</f>
        <v>0.5</v>
      </c>
      <c r="J9" s="19">
        <f>PLANTILLA!O9</f>
        <v>6</v>
      </c>
      <c r="K9" s="6">
        <f t="shared" si="4"/>
        <v>2</v>
      </c>
      <c r="L9" s="6">
        <f t="shared" si="5"/>
        <v>4.5</v>
      </c>
      <c r="M9" s="21">
        <f>PLANTILLA!X9</f>
        <v>0</v>
      </c>
      <c r="N9" s="21">
        <f>PLANTILLA!Y9</f>
        <v>6</v>
      </c>
      <c r="O9" s="21">
        <f>PLANTILLA!Z9</f>
        <v>4</v>
      </c>
      <c r="P9" s="21">
        <f>PLANTILLA!AA9</f>
        <v>4</v>
      </c>
      <c r="Q9" s="21">
        <f>PLANTILLA!AB9</f>
        <v>3.3028</v>
      </c>
      <c r="R9" s="21">
        <f>PLANTILLA!AC9</f>
        <v>3.5300000000000007</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15.330357142857142</v>
      </c>
      <c r="D10" s="28" t="str">
        <f>PLANTILLA!D10</f>
        <v>Eckardt Hägerling</v>
      </c>
      <c r="E10" s="16">
        <f>PLANTILLA!E10</f>
        <v>17</v>
      </c>
      <c r="F10" s="17">
        <f ca="1">PLANTILLA!F10</f>
        <v>75</v>
      </c>
      <c r="G10" s="18" t="str">
        <f>PLANTILLA!G10</f>
        <v>IMP</v>
      </c>
      <c r="H10" s="4">
        <f>PLANTILLA!H10</f>
        <v>3</v>
      </c>
      <c r="I10" s="27">
        <f>PLANTILLA!I10</f>
        <v>1.3</v>
      </c>
      <c r="J10" s="19">
        <f>PLANTILLA!O10</f>
        <v>5.6</v>
      </c>
      <c r="K10" s="6">
        <f t="shared" si="4"/>
        <v>11.700000000000001</v>
      </c>
      <c r="L10" s="6">
        <f t="shared" si="5"/>
        <v>20.8</v>
      </c>
      <c r="M10" s="21">
        <f>PLANTILLA!X10</f>
        <v>0</v>
      </c>
      <c r="N10" s="21">
        <f>PLANTILLA!Y10</f>
        <v>5</v>
      </c>
      <c r="O10" s="21">
        <f>PLANTILLA!Z10</f>
        <v>3</v>
      </c>
      <c r="P10" s="21">
        <f>PLANTILLA!AA10</f>
        <v>4</v>
      </c>
      <c r="Q10" s="21">
        <f>PLANTILLA!AB10</f>
        <v>2.4356</v>
      </c>
      <c r="R10" s="21">
        <f>PLANTILLA!AC10</f>
        <v>3.9966666666666675</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PLANTILLA!A11</f>
        <v>#7</v>
      </c>
      <c r="B11" s="15" t="str">
        <f>PLANTILLA!B11</f>
        <v>LAT</v>
      </c>
      <c r="C11" s="121">
        <f ca="1">PLANTILLA!C11</f>
        <v>15.517857142857142</v>
      </c>
      <c r="D11" s="28" t="str">
        <f>PLANTILLA!D11</f>
        <v>Raul Riquelme</v>
      </c>
      <c r="E11" s="16">
        <f>PLANTILLA!E11</f>
        <v>17</v>
      </c>
      <c r="F11" s="17">
        <f ca="1">PLANTILLA!F11</f>
        <v>54</v>
      </c>
      <c r="G11" s="18" t="str">
        <f>PLANTILLA!G11</f>
        <v>RAP</v>
      </c>
      <c r="H11" s="4">
        <f>PLANTILLA!H11</f>
        <v>6</v>
      </c>
      <c r="I11" s="27">
        <f>PLANTILLA!I11</f>
        <v>1.1000000000000001</v>
      </c>
      <c r="J11" s="19">
        <f>PLANTILLA!O11</f>
        <v>3.8</v>
      </c>
      <c r="K11" s="6">
        <f t="shared" si="4"/>
        <v>39.6</v>
      </c>
      <c r="L11" s="6">
        <f t="shared" si="5"/>
        <v>53.900000000000006</v>
      </c>
      <c r="M11" s="21">
        <f>PLANTILLA!X11</f>
        <v>0</v>
      </c>
      <c r="N11" s="21">
        <f>PLANTILLA!Y11</f>
        <v>6</v>
      </c>
      <c r="O11" s="21">
        <f>PLANTILLA!Z11</f>
        <v>3</v>
      </c>
      <c r="P11" s="21">
        <f>PLANTILLA!AA11</f>
        <v>3</v>
      </c>
      <c r="Q11" s="21">
        <f>PLANTILLA!AB11</f>
        <v>3</v>
      </c>
      <c r="R11" s="21">
        <f>PLANTILLA!AC11</f>
        <v>5.25</v>
      </c>
      <c r="S11" s="21">
        <f>PLANTILLA!AD11</f>
        <v>4</v>
      </c>
      <c r="T11" s="155">
        <v>0</v>
      </c>
      <c r="U11" s="155">
        <v>0</v>
      </c>
      <c r="V11" s="155">
        <v>0</v>
      </c>
      <c r="W11" s="155">
        <v>0.13</v>
      </c>
      <c r="X11" s="155">
        <v>0</v>
      </c>
      <c r="Y11" s="155">
        <f t="shared" si="2"/>
        <v>0.17</v>
      </c>
      <c r="Z11" s="155">
        <v>0</v>
      </c>
      <c r="AA11" s="153">
        <v>20</v>
      </c>
      <c r="AB11" s="154">
        <v>54</v>
      </c>
      <c r="AC11" s="25">
        <f t="shared" si="3"/>
        <v>1.1000000000000001</v>
      </c>
      <c r="AD11" s="156">
        <f t="shared" si="6"/>
        <v>0</v>
      </c>
      <c r="AE11" s="156">
        <f t="shared" si="7"/>
        <v>6</v>
      </c>
      <c r="AF11" s="156">
        <f t="shared" si="8"/>
        <v>3</v>
      </c>
      <c r="AG11" s="156">
        <f>5+14/18</f>
        <v>5.7777777777777777</v>
      </c>
      <c r="AH11" s="156">
        <f>Q11+(X$2/9)</f>
        <v>3</v>
      </c>
      <c r="AI11" s="156">
        <f>5+2/20</f>
        <v>5.0999999999999996</v>
      </c>
      <c r="AJ11" s="156">
        <f>S11+(Z$2/3)</f>
        <v>4</v>
      </c>
    </row>
    <row r="12" spans="1:36" ht="16.5" customHeight="1" x14ac:dyDescent="0.25">
      <c r="A12" s="15" t="str">
        <f>PLANTILLA!A12</f>
        <v>#21</v>
      </c>
      <c r="B12" s="15" t="str">
        <f>PLANTILLA!B12</f>
        <v>MED</v>
      </c>
      <c r="C12" s="121">
        <f ca="1">PLANTILLA!C12</f>
        <v>14.964285714285714</v>
      </c>
      <c r="D12" s="28" t="str">
        <f>PLANTILLA!D12</f>
        <v>Fernando Gazón</v>
      </c>
      <c r="E12" s="16">
        <f>PLANTILLA!E12</f>
        <v>18</v>
      </c>
      <c r="F12" s="17">
        <f ca="1">PLANTILLA!F12</f>
        <v>4</v>
      </c>
      <c r="G12" s="18" t="str">
        <f>PLANTILLA!G12</f>
        <v>IMP</v>
      </c>
      <c r="H12" s="4">
        <f>PLANTILLA!H12</f>
        <v>3</v>
      </c>
      <c r="I12" s="27">
        <f>PLANTILLA!I12</f>
        <v>0.5</v>
      </c>
      <c r="J12" s="19">
        <f>PLANTILLA!O12</f>
        <v>5.7</v>
      </c>
      <c r="K12" s="6">
        <f t="shared" si="4"/>
        <v>4.5</v>
      </c>
      <c r="L12" s="6">
        <f t="shared" si="5"/>
        <v>8</v>
      </c>
      <c r="M12" s="21">
        <f>PLANTILLA!X12</f>
        <v>0</v>
      </c>
      <c r="N12" s="21">
        <f>PLANTILLA!Y12</f>
        <v>3</v>
      </c>
      <c r="O12" s="21">
        <f>PLANTILLA!Z12</f>
        <v>6</v>
      </c>
      <c r="P12" s="21">
        <f>PLANTILLA!AA12</f>
        <v>3</v>
      </c>
      <c r="Q12" s="21">
        <f>PLANTILLA!AB12</f>
        <v>4</v>
      </c>
      <c r="R12" s="21">
        <f>PLANTILLA!AC12</f>
        <v>4.9976470588235289</v>
      </c>
      <c r="S12" s="21">
        <f>PLANTILLA!AD12</f>
        <v>3</v>
      </c>
      <c r="T12" s="155">
        <v>0</v>
      </c>
      <c r="U12" s="155">
        <v>0</v>
      </c>
      <c r="V12" s="155">
        <v>0</v>
      </c>
      <c r="W12" s="155">
        <v>1</v>
      </c>
      <c r="X12" s="155">
        <v>0</v>
      </c>
      <c r="Y12" s="155">
        <v>1</v>
      </c>
      <c r="Z12" s="155">
        <v>0</v>
      </c>
      <c r="AA12" s="153">
        <v>20</v>
      </c>
      <c r="AB12" s="154">
        <v>55</v>
      </c>
      <c r="AC12" s="25">
        <f t="shared" si="3"/>
        <v>0.5</v>
      </c>
      <c r="AD12" s="156">
        <f t="shared" si="6"/>
        <v>0</v>
      </c>
      <c r="AE12" s="156">
        <f t="shared" si="7"/>
        <v>3</v>
      </c>
      <c r="AF12" s="156">
        <f t="shared" si="8"/>
        <v>6</v>
      </c>
      <c r="AG12" s="156">
        <f>12+5/6</f>
        <v>12.833333333333334</v>
      </c>
      <c r="AH12" s="156">
        <f>Q12+(X$2/6)</f>
        <v>4</v>
      </c>
      <c r="AI12" s="156">
        <f>8+2/4</f>
        <v>8.5</v>
      </c>
      <c r="AJ12" s="156">
        <f>S12+(Z$2/2.5)</f>
        <v>3</v>
      </c>
    </row>
    <row r="13" spans="1:36" ht="16.5" customHeight="1" x14ac:dyDescent="0.25">
      <c r="A13" s="15" t="str">
        <f>PLANTILLA!A13</f>
        <v>#26</v>
      </c>
      <c r="B13" s="15" t="str">
        <f>PLANTILLA!B13</f>
        <v>MED</v>
      </c>
      <c r="C13" s="121">
        <f ca="1">PLANTILLA!C13</f>
        <v>15.071428571428571</v>
      </c>
      <c r="D13" s="28" t="str">
        <f>PLANTILLA!D13</f>
        <v>Roberto Abenoza</v>
      </c>
      <c r="E13" s="16">
        <f>PLANTILLA!E13</f>
        <v>17</v>
      </c>
      <c r="F13" s="17">
        <f ca="1">PLANTILLA!F13</f>
        <v>104</v>
      </c>
      <c r="G13" s="18" t="str">
        <f>PLANTILLA!G13</f>
        <v>CAB</v>
      </c>
      <c r="H13" s="4">
        <f>PLANTILLA!H13</f>
        <v>4</v>
      </c>
      <c r="I13" s="27">
        <f>PLANTILLA!I13</f>
        <v>0.5</v>
      </c>
      <c r="J13" s="19">
        <f>PLANTILLA!O13</f>
        <v>5.4</v>
      </c>
      <c r="K13" s="6">
        <f t="shared" si="4"/>
        <v>8</v>
      </c>
      <c r="L13" s="6">
        <f t="shared" si="5"/>
        <v>12.5</v>
      </c>
      <c r="M13" s="21">
        <f>PLANTILLA!X13</f>
        <v>0</v>
      </c>
      <c r="N13" s="21">
        <f>PLANTILLA!Y13</f>
        <v>2</v>
      </c>
      <c r="O13" s="21">
        <f>PLANTILLA!Z13</f>
        <v>5</v>
      </c>
      <c r="P13" s="21">
        <f>PLANTILLA!AA13</f>
        <v>3</v>
      </c>
      <c r="Q13" s="21">
        <f>PLANTILLA!AB13</f>
        <v>2.1583999999999999</v>
      </c>
      <c r="R13" s="21">
        <f>PLANTILLA!AC13</f>
        <v>5.1999999999999993</v>
      </c>
      <c r="S13" s="21">
        <f>PLANTILLA!AD13</f>
        <v>5</v>
      </c>
      <c r="T13" s="155">
        <v>0</v>
      </c>
      <c r="U13" s="155">
        <v>0</v>
      </c>
      <c r="V13" s="155">
        <v>0</v>
      </c>
      <c r="W13" s="155">
        <v>1</v>
      </c>
      <c r="X13" s="155">
        <v>0</v>
      </c>
      <c r="Y13" s="155">
        <v>1</v>
      </c>
      <c r="Z13" s="155">
        <v>0</v>
      </c>
      <c r="AA13" s="153">
        <v>20</v>
      </c>
      <c r="AB13" s="154">
        <v>55</v>
      </c>
      <c r="AC13" s="25">
        <f t="shared" si="3"/>
        <v>0.5</v>
      </c>
      <c r="AD13" s="156">
        <f t="shared" si="6"/>
        <v>0</v>
      </c>
      <c r="AE13" s="156">
        <f t="shared" si="7"/>
        <v>2</v>
      </c>
      <c r="AF13" s="156">
        <f t="shared" si="8"/>
        <v>5</v>
      </c>
      <c r="AG13" s="156">
        <f>12+3/6</f>
        <v>12.5</v>
      </c>
      <c r="AH13" s="156">
        <f>Q13+(X$2/16)</f>
        <v>2.1583999999999999</v>
      </c>
      <c r="AI13" s="156">
        <f>8+2/4</f>
        <v>8.5</v>
      </c>
      <c r="AJ13" s="156">
        <f>S13+(Z$2/2)</f>
        <v>5</v>
      </c>
    </row>
    <row r="14" spans="1:36" ht="16.5" customHeight="1" x14ac:dyDescent="0.25">
      <c r="A14" s="15" t="str">
        <f>PLANTILLA!A14</f>
        <v>#29</v>
      </c>
      <c r="B14" s="15" t="str">
        <f>PLANTILLA!B14</f>
        <v>MED</v>
      </c>
      <c r="C14" s="121">
        <f ca="1">PLANTILLA!C14</f>
        <v>15.339285714285714</v>
      </c>
      <c r="D14" s="28" t="str">
        <f>PLANTILLA!D14</f>
        <v>Julio Calle</v>
      </c>
      <c r="E14" s="16">
        <f>PLANTILLA!E14</f>
        <v>17</v>
      </c>
      <c r="F14" s="17">
        <f ca="1">PLANTILLA!F14</f>
        <v>74</v>
      </c>
      <c r="G14" s="18" t="str">
        <f>PLANTILLA!G14</f>
        <v>POT</v>
      </c>
      <c r="H14" s="4">
        <f>PLANTILLA!H14</f>
        <v>3</v>
      </c>
      <c r="I14" s="27">
        <f>PLANTILLA!I14</f>
        <v>0.5</v>
      </c>
      <c r="J14" s="19">
        <f>PLANTILLA!O14</f>
        <v>4.3</v>
      </c>
      <c r="K14" s="6">
        <f t="shared" si="4"/>
        <v>4.5</v>
      </c>
      <c r="L14" s="6">
        <f t="shared" si="5"/>
        <v>8</v>
      </c>
      <c r="M14" s="21">
        <f>PLANTILLA!X14</f>
        <v>0</v>
      </c>
      <c r="N14" s="21">
        <f>PLANTILLA!Y14</f>
        <v>3</v>
      </c>
      <c r="O14" s="21">
        <f>PLANTILLA!Z14</f>
        <v>4</v>
      </c>
      <c r="P14" s="21">
        <f>PLANTILLA!AA14</f>
        <v>4</v>
      </c>
      <c r="Q14" s="21">
        <f>PLANTILLA!AB14</f>
        <v>3.0151111111111111</v>
      </c>
      <c r="R14" s="21">
        <f>PLANTILLA!AC14</f>
        <v>4.0588235294117645</v>
      </c>
      <c r="S14" s="21">
        <f>PLANTILLA!AD14</f>
        <v>1.3</v>
      </c>
      <c r="T14" s="155">
        <v>0</v>
      </c>
      <c r="U14" s="155">
        <v>0</v>
      </c>
      <c r="V14" s="155">
        <v>0</v>
      </c>
      <c r="W14" s="155">
        <v>0.13</v>
      </c>
      <c r="X14" s="155">
        <v>0</v>
      </c>
      <c r="Y14" s="155">
        <f t="shared" si="2"/>
        <v>0.17</v>
      </c>
      <c r="Z14" s="155">
        <v>0</v>
      </c>
      <c r="AA14" s="153">
        <v>20</v>
      </c>
      <c r="AB14" s="154">
        <v>63</v>
      </c>
      <c r="AC14" s="25">
        <f t="shared" si="3"/>
        <v>0.5</v>
      </c>
      <c r="AD14" s="156">
        <f t="shared" si="6"/>
        <v>0</v>
      </c>
      <c r="AE14" s="156">
        <f t="shared" si="7"/>
        <v>3</v>
      </c>
      <c r="AF14" s="156">
        <f t="shared" si="8"/>
        <v>4</v>
      </c>
      <c r="AG14" s="156">
        <f>6+11/20</f>
        <v>6.55</v>
      </c>
      <c r="AH14" s="156">
        <f>Q14+(X$2/12)</f>
        <v>3.0151111111111111</v>
      </c>
      <c r="AI14" s="156">
        <f>5+2/20</f>
        <v>5.0999999999999996</v>
      </c>
      <c r="AJ14" s="156">
        <f>S14+(Z$2/2)</f>
        <v>1.3</v>
      </c>
    </row>
    <row r="15" spans="1:36" ht="16.5" customHeight="1" x14ac:dyDescent="0.25">
      <c r="A15" s="15" t="str">
        <f>PLANTILLA!A16</f>
        <v>#8</v>
      </c>
      <c r="B15" s="15" t="str">
        <f>PLANTILLA!B16</f>
        <v>EXT</v>
      </c>
      <c r="C15" s="121">
        <f ca="1">PLANTILLA!C16</f>
        <v>15.330357142857142</v>
      </c>
      <c r="D15" s="28" t="str">
        <f>PLANTILLA!D16</f>
        <v>Enrique Cubas</v>
      </c>
      <c r="E15" s="16">
        <f>PLANTILLA!E16</f>
        <v>17</v>
      </c>
      <c r="F15" s="17">
        <f ca="1">PLANTILLA!F16</f>
        <v>75</v>
      </c>
      <c r="G15" s="18" t="str">
        <f>PLANTILLA!G16</f>
        <v>RAP</v>
      </c>
      <c r="H15" s="4">
        <f>PLANTILLA!H16</f>
        <v>1</v>
      </c>
      <c r="I15" s="27">
        <f>PLANTILLA!I16</f>
        <v>1.4</v>
      </c>
      <c r="J15" s="19">
        <f>PLANTILLA!O16</f>
        <v>5.6</v>
      </c>
      <c r="K15" s="6">
        <f t="shared" si="4"/>
        <v>1.4</v>
      </c>
      <c r="L15" s="6">
        <f t="shared" si="5"/>
        <v>5.6</v>
      </c>
      <c r="M15" s="21">
        <f>PLANTILLA!X16</f>
        <v>0</v>
      </c>
      <c r="N15" s="21">
        <f>PLANTILLA!Y16</f>
        <v>2</v>
      </c>
      <c r="O15" s="21">
        <f>PLANTILLA!Z16</f>
        <v>5.7</v>
      </c>
      <c r="P15" s="21">
        <f>PLANTILLA!AA16</f>
        <v>5.5</v>
      </c>
      <c r="Q15" s="21">
        <f>PLANTILLA!AB16</f>
        <v>5.5</v>
      </c>
      <c r="R15" s="21">
        <f>PLANTILLA!AC16</f>
        <v>4.66</v>
      </c>
      <c r="S15" s="21">
        <f>PLANTILLA!AD16</f>
        <v>5</v>
      </c>
      <c r="T15" s="155">
        <v>0</v>
      </c>
      <c r="U15" s="155">
        <v>0</v>
      </c>
      <c r="V15" s="155">
        <v>0</v>
      </c>
      <c r="W15" s="155">
        <v>0.5</v>
      </c>
      <c r="X15" s="155">
        <v>0</v>
      </c>
      <c r="Y15" s="155">
        <f t="shared" si="2"/>
        <v>0.17</v>
      </c>
      <c r="Z15" s="155">
        <v>0</v>
      </c>
      <c r="AA15" s="153">
        <v>20</v>
      </c>
      <c r="AB15" s="154">
        <v>53</v>
      </c>
      <c r="AC15" s="25">
        <f t="shared" si="3"/>
        <v>1.4</v>
      </c>
      <c r="AD15" s="156">
        <f t="shared" si="6"/>
        <v>0</v>
      </c>
      <c r="AE15" s="156">
        <f t="shared" si="7"/>
        <v>2</v>
      </c>
      <c r="AF15" s="156">
        <f t="shared" si="8"/>
        <v>5.7</v>
      </c>
      <c r="AG15" s="156">
        <f>5</f>
        <v>5</v>
      </c>
      <c r="AH15" s="156">
        <f>Q15+(X$2/13)</f>
        <v>5.5</v>
      </c>
      <c r="AI15" s="156">
        <f>5+19/20</f>
        <v>5.95</v>
      </c>
      <c r="AJ15" s="156">
        <f>S15+(Z$2/3)</f>
        <v>5</v>
      </c>
    </row>
    <row r="16" spans="1:36" ht="16.5" customHeight="1" x14ac:dyDescent="0.25">
      <c r="A16" s="15" t="str">
        <f>PLANTILLA!A17</f>
        <v>#11</v>
      </c>
      <c r="B16" s="15" t="str">
        <f>PLANTILLA!B17</f>
        <v>EXT</v>
      </c>
      <c r="C16" s="121">
        <f ca="1">PLANTILLA!C17</f>
        <v>15.330357142857142</v>
      </c>
      <c r="D16" s="28" t="str">
        <f>PLANTILLA!D17</f>
        <v>J. G. Peñuela</v>
      </c>
      <c r="E16" s="16">
        <f>PLANTILLA!E17</f>
        <v>17</v>
      </c>
      <c r="F16" s="17">
        <f ca="1">PLANTILLA!F17</f>
        <v>75</v>
      </c>
      <c r="G16" s="18" t="str">
        <f>PLANTILLA!G17</f>
        <v>IMP</v>
      </c>
      <c r="H16" s="4">
        <f>PLANTILLA!H17</f>
        <v>6</v>
      </c>
      <c r="I16" s="27">
        <f>PLANTILLA!I17</f>
        <v>1.2</v>
      </c>
      <c r="J16" s="19">
        <f>PLANTILLA!O17</f>
        <v>5.0999999999999996</v>
      </c>
      <c r="K16" s="6">
        <f t="shared" si="4"/>
        <v>43.199999999999996</v>
      </c>
      <c r="L16" s="6">
        <f t="shared" si="5"/>
        <v>58.8</v>
      </c>
      <c r="M16" s="21">
        <f>PLANTILLA!X17</f>
        <v>0</v>
      </c>
      <c r="N16" s="21">
        <f>PLANTILLA!Y17</f>
        <v>3</v>
      </c>
      <c r="O16" s="21">
        <f>PLANTILLA!Z17</f>
        <v>5</v>
      </c>
      <c r="P16" s="21">
        <f>PLANTILLA!AA17</f>
        <v>4</v>
      </c>
      <c r="Q16" s="21">
        <f>PLANTILLA!AB17</f>
        <v>4.25</v>
      </c>
      <c r="R16" s="21">
        <f>PLANTILLA!AC17</f>
        <v>5</v>
      </c>
      <c r="S16" s="21">
        <f>PLANTILLA!AD17</f>
        <v>3</v>
      </c>
      <c r="T16" s="155">
        <v>0</v>
      </c>
      <c r="U16" s="155">
        <v>0</v>
      </c>
      <c r="V16" s="155">
        <v>0</v>
      </c>
      <c r="W16" s="155">
        <v>0.5</v>
      </c>
      <c r="X16" s="155">
        <v>0</v>
      </c>
      <c r="Y16" s="155">
        <f t="shared" si="2"/>
        <v>0.17</v>
      </c>
      <c r="Z16" s="155">
        <v>0</v>
      </c>
      <c r="AA16" s="153">
        <v>20</v>
      </c>
      <c r="AB16" s="154">
        <v>96</v>
      </c>
      <c r="AC16" s="25">
        <f t="shared" si="3"/>
        <v>1.2</v>
      </c>
      <c r="AD16" s="156">
        <f t="shared" si="6"/>
        <v>0</v>
      </c>
      <c r="AE16" s="156">
        <f t="shared" si="7"/>
        <v>3</v>
      </c>
      <c r="AF16" s="156">
        <f t="shared" si="8"/>
        <v>5</v>
      </c>
      <c r="AG16" s="156">
        <f>5</f>
        <v>5</v>
      </c>
      <c r="AH16" s="156">
        <f>Q16+(X$2/13)</f>
        <v>4.25</v>
      </c>
      <c r="AI16" s="156">
        <f>6+19/23</f>
        <v>6.8260869565217392</v>
      </c>
      <c r="AJ16" s="156">
        <f>S16+(Z$2/3)</f>
        <v>3</v>
      </c>
    </row>
    <row r="17" spans="1:36" ht="16.5" customHeight="1" x14ac:dyDescent="0.25">
      <c r="A17" s="15" t="str">
        <f>PLANTILLA!A18</f>
        <v>#24</v>
      </c>
      <c r="B17" s="15" t="str">
        <f>PLANTILLA!B18</f>
        <v>EXT</v>
      </c>
      <c r="C17" s="121">
        <f ca="1">PLANTILLA!C18</f>
        <v>15.258928571428571</v>
      </c>
      <c r="D17" s="28" t="str">
        <f>PLANTILLA!D18</f>
        <v>Paulo Beltrán</v>
      </c>
      <c r="E17" s="16">
        <f>PLANTILLA!E18</f>
        <v>17</v>
      </c>
      <c r="F17" s="17">
        <f ca="1">PLANTILLA!F18</f>
        <v>83</v>
      </c>
      <c r="G17" s="18" t="str">
        <f>PLANTILLA!G18</f>
        <v>RAP</v>
      </c>
      <c r="H17" s="4">
        <f>PLANTILLA!H18</f>
        <v>3</v>
      </c>
      <c r="I17" s="27">
        <f>PLANTILLA!I18</f>
        <v>1.1000000000000001</v>
      </c>
      <c r="J17" s="19">
        <f>PLANTILLA!O18</f>
        <v>5.3</v>
      </c>
      <c r="K17" s="6">
        <f t="shared" si="4"/>
        <v>9.9</v>
      </c>
      <c r="L17" s="6">
        <f t="shared" si="5"/>
        <v>17.600000000000001</v>
      </c>
      <c r="M17" s="21">
        <f>PLANTILLA!X18</f>
        <v>0</v>
      </c>
      <c r="N17" s="21">
        <f>PLANTILLA!Y18</f>
        <v>4</v>
      </c>
      <c r="O17" s="21">
        <f>PLANTILLA!Z18</f>
        <v>2</v>
      </c>
      <c r="P17" s="21">
        <f>PLANTILLA!AA18</f>
        <v>5</v>
      </c>
      <c r="Q17" s="21">
        <f>PLANTILLA!AB18</f>
        <v>4</v>
      </c>
      <c r="R17" s="21">
        <f>PLANTILLA!AC18</f>
        <v>4.1843137254901954</v>
      </c>
      <c r="S17" s="21">
        <f>PLANTILLA!AD18</f>
        <v>4</v>
      </c>
      <c r="T17" s="155">
        <v>0</v>
      </c>
      <c r="U17" s="155">
        <v>0</v>
      </c>
      <c r="V17" s="155">
        <v>0</v>
      </c>
      <c r="W17" s="155">
        <v>0.13</v>
      </c>
      <c r="X17" s="155">
        <v>0</v>
      </c>
      <c r="Y17" s="155">
        <f t="shared" si="2"/>
        <v>0.17</v>
      </c>
      <c r="Z17" s="155">
        <v>0</v>
      </c>
      <c r="AA17" s="153">
        <v>20</v>
      </c>
      <c r="AB17" s="154">
        <v>52</v>
      </c>
      <c r="AC17" s="25">
        <f t="shared" si="3"/>
        <v>1.1000000000000001</v>
      </c>
      <c r="AD17" s="156">
        <f t="shared" si="6"/>
        <v>0</v>
      </c>
      <c r="AE17" s="156">
        <f t="shared" si="7"/>
        <v>4</v>
      </c>
      <c r="AF17" s="156">
        <f t="shared" si="8"/>
        <v>2</v>
      </c>
      <c r="AG17" s="156">
        <f>4+4/15</f>
        <v>4.2666666666666666</v>
      </c>
      <c r="AH17" s="156">
        <f>Q17+(X$2/13)</f>
        <v>4</v>
      </c>
      <c r="AI17" s="156">
        <f>5+19/20</f>
        <v>5.95</v>
      </c>
      <c r="AJ17" s="156">
        <f>S17+(Z$2/3)</f>
        <v>4</v>
      </c>
    </row>
    <row r="18" spans="1:36" ht="16.5" customHeight="1" x14ac:dyDescent="0.25">
      <c r="A18" s="15" t="str">
        <f>PLANTILLA!A19</f>
        <v>#22</v>
      </c>
      <c r="B18" s="15" t="str">
        <f>PLANTILLA!B19</f>
        <v>DAV</v>
      </c>
      <c r="C18" s="121">
        <f ca="1">PLANTILLA!C19</f>
        <v>15.348214285714286</v>
      </c>
      <c r="D18" s="28" t="str">
        <f>PLANTILLA!D19</f>
        <v>Santiago Serra</v>
      </c>
      <c r="E18" s="16">
        <f>PLANTILLA!E19</f>
        <v>17</v>
      </c>
      <c r="F18" s="17">
        <f ca="1">PLANTILLA!F19</f>
        <v>73</v>
      </c>
      <c r="G18" s="18"/>
      <c r="H18" s="4">
        <f>PLANTILLA!H19</f>
        <v>4</v>
      </c>
      <c r="I18" s="27">
        <f>PLANTILLA!I19</f>
        <v>1.1000000000000001</v>
      </c>
      <c r="J18" s="19">
        <f>PLANTILLA!O19</f>
        <v>5.4</v>
      </c>
      <c r="K18" s="6">
        <f t="shared" ref="K18" si="9">(H18)*(H18)*(I18)</f>
        <v>17.600000000000001</v>
      </c>
      <c r="L18" s="6">
        <f t="shared" ref="L18" si="10">(H18+1)*(H18+1)*I18</f>
        <v>27.500000000000004</v>
      </c>
      <c r="M18" s="21">
        <f>PLANTILLA!X19</f>
        <v>1</v>
      </c>
      <c r="N18" s="21">
        <f>PLANTILLA!Y19</f>
        <v>4</v>
      </c>
      <c r="O18" s="21">
        <f>PLANTILLA!Z19</f>
        <v>2</v>
      </c>
      <c r="P18" s="21">
        <f>PLANTILLA!AA19</f>
        <v>3</v>
      </c>
      <c r="Q18" s="21">
        <f>PLANTILLA!AB19</f>
        <v>4.5</v>
      </c>
      <c r="R18" s="21">
        <f>PLANTILLA!AC19</f>
        <v>5.1527777777777777</v>
      </c>
      <c r="S18" s="21">
        <f>PLANTILLA!AD19</f>
        <v>6</v>
      </c>
      <c r="T18" s="155">
        <v>0</v>
      </c>
      <c r="U18" s="155">
        <v>0</v>
      </c>
      <c r="V18" s="155">
        <v>0</v>
      </c>
      <c r="W18" s="155">
        <v>0.5</v>
      </c>
      <c r="X18" s="155">
        <v>0</v>
      </c>
      <c r="Y18" s="155">
        <v>1</v>
      </c>
      <c r="Z18" s="155">
        <v>0</v>
      </c>
      <c r="AA18" s="153">
        <v>20</v>
      </c>
      <c r="AB18" s="154">
        <v>53</v>
      </c>
      <c r="AC18" s="25">
        <f t="shared" ref="AC18" si="11">I18+$AC$2</f>
        <v>1.1000000000000001</v>
      </c>
      <c r="AD18" s="156">
        <f t="shared" ref="AD18" si="12">M18</f>
        <v>1</v>
      </c>
      <c r="AE18" s="156">
        <f t="shared" ref="AE18" si="13">N18</f>
        <v>4</v>
      </c>
      <c r="AF18" s="156">
        <f t="shared" ref="AF18" si="14">O18</f>
        <v>2</v>
      </c>
      <c r="AG18" s="156">
        <v>10</v>
      </c>
      <c r="AH18" s="156">
        <f>Q18+(X$2/13)</f>
        <v>4.5</v>
      </c>
      <c r="AI18" s="156">
        <v>10</v>
      </c>
      <c r="AJ18" s="156">
        <f>S18+(Z$2/3)</f>
        <v>6</v>
      </c>
    </row>
    <row r="19" spans="1:36" ht="16.5" customHeight="1" x14ac:dyDescent="0.25">
      <c r="A19" s="15" t="str">
        <f>PLANTILLA!A20</f>
        <v>#25</v>
      </c>
      <c r="B19" s="15" t="str">
        <f>PLANTILLA!B20</f>
        <v>DAV</v>
      </c>
      <c r="C19" s="121">
        <f ca="1">PLANTILLA!C20</f>
        <v>14.964285714285714</v>
      </c>
      <c r="D19" s="28" t="str">
        <f>PLANTILLA!D20</f>
        <v>Nicolás Eans</v>
      </c>
      <c r="E19" s="16">
        <f>PLANTILLA!E20</f>
        <v>18</v>
      </c>
      <c r="F19" s="17">
        <f ca="1">PLANTILLA!F20</f>
        <v>4</v>
      </c>
      <c r="G19" s="18"/>
      <c r="H19" s="4">
        <f>PLANTILLA!H20</f>
        <v>3</v>
      </c>
      <c r="I19" s="27">
        <f>PLANTILLA!I20</f>
        <v>0.5</v>
      </c>
      <c r="J19" s="19">
        <f>PLANTILLA!O20</f>
        <v>5.6</v>
      </c>
      <c r="K19" s="6">
        <f t="shared" ref="K19:K21" si="15">(H19)*(H19)*(I19)</f>
        <v>4.5</v>
      </c>
      <c r="L19" s="6">
        <f t="shared" ref="L19:L21" si="16">(H19+1)*(H19+1)*I19</f>
        <v>8</v>
      </c>
      <c r="M19" s="21">
        <f>PLANTILLA!X20</f>
        <v>0</v>
      </c>
      <c r="N19" s="21">
        <f>PLANTILLA!Y20</f>
        <v>5</v>
      </c>
      <c r="O19" s="21">
        <f>PLANTILLA!Z20</f>
        <v>2</v>
      </c>
      <c r="P19" s="21">
        <f>PLANTILLA!AA20</f>
        <v>3</v>
      </c>
      <c r="Q19" s="21">
        <f>PLANTILLA!AB20</f>
        <v>4.75</v>
      </c>
      <c r="R19" s="21">
        <f>PLANTILLA!AC20</f>
        <v>6.1739130434782616</v>
      </c>
      <c r="S19" s="21">
        <f>PLANTILLA!AD20</f>
        <v>3</v>
      </c>
      <c r="T19" s="155">
        <v>0</v>
      </c>
      <c r="U19" s="155">
        <v>0</v>
      </c>
      <c r="V19" s="155">
        <v>0</v>
      </c>
      <c r="W19" s="155">
        <v>0.5</v>
      </c>
      <c r="X19" s="155">
        <v>0</v>
      </c>
      <c r="Y19" s="155">
        <v>1</v>
      </c>
      <c r="Z19" s="155">
        <v>0</v>
      </c>
      <c r="AA19" s="153">
        <v>20</v>
      </c>
      <c r="AB19" s="154">
        <v>54</v>
      </c>
      <c r="AC19" s="25">
        <f t="shared" ref="AC19:AC21" si="17">I19+$AC$2</f>
        <v>0.5</v>
      </c>
      <c r="AD19" s="156">
        <f t="shared" ref="AD19:AD21" si="18">M19</f>
        <v>0</v>
      </c>
      <c r="AE19" s="156">
        <f t="shared" ref="AE19:AE21" si="19">N19</f>
        <v>5</v>
      </c>
      <c r="AF19" s="156">
        <f t="shared" ref="AF19:AF21" si="20">O19</f>
        <v>2</v>
      </c>
      <c r="AG19" s="156">
        <v>11</v>
      </c>
      <c r="AH19" s="156">
        <f t="shared" ref="AH19:AH21" si="21">Q19+(X$2/13)</f>
        <v>4.75</v>
      </c>
      <c r="AI19" s="156">
        <v>11</v>
      </c>
      <c r="AJ19" s="156">
        <f t="shared" ref="AJ19:AJ21" si="22">S19+(Z$2/3)</f>
        <v>3</v>
      </c>
    </row>
    <row r="20" spans="1:36" ht="16.5" customHeight="1" x14ac:dyDescent="0.25">
      <c r="A20" s="15" t="str">
        <f>PLANTILLA!A21</f>
        <v>#27</v>
      </c>
      <c r="B20" s="15" t="str">
        <f>PLANTILLA!B21</f>
        <v>DAV</v>
      </c>
      <c r="C20" s="121">
        <f ca="1">PLANTILLA!C21</f>
        <v>15.357142857142858</v>
      </c>
      <c r="D20" s="28" t="str">
        <f>PLANTILLA!D21</f>
        <v>Noel Fuster</v>
      </c>
      <c r="E20" s="16">
        <f>PLANTILLA!E21</f>
        <v>17</v>
      </c>
      <c r="F20" s="17">
        <f ca="1">PLANTILLA!F21</f>
        <v>72</v>
      </c>
      <c r="G20" s="18"/>
      <c r="H20" s="4">
        <f>PLANTILLA!H21</f>
        <v>4</v>
      </c>
      <c r="I20" s="27">
        <f>PLANTILLA!I21</f>
        <v>0.5</v>
      </c>
      <c r="J20" s="19">
        <f>PLANTILLA!O21</f>
        <v>5</v>
      </c>
      <c r="K20" s="6">
        <f t="shared" si="15"/>
        <v>8</v>
      </c>
      <c r="L20" s="6">
        <f t="shared" si="16"/>
        <v>12.5</v>
      </c>
      <c r="M20" s="21">
        <f>PLANTILLA!X21</f>
        <v>0</v>
      </c>
      <c r="N20" s="21">
        <f>PLANTILLA!Y21</f>
        <v>4</v>
      </c>
      <c r="O20" s="21">
        <f>PLANTILLA!Z21</f>
        <v>2</v>
      </c>
      <c r="P20" s="21">
        <f>PLANTILLA!AA21</f>
        <v>2</v>
      </c>
      <c r="Q20" s="21">
        <f>PLANTILLA!AB21</f>
        <v>3.0496666666666665</v>
      </c>
      <c r="R20" s="21">
        <f>PLANTILLA!AC21</f>
        <v>5.1027777777777779</v>
      </c>
      <c r="S20" s="21">
        <f>PLANTILLA!AD21</f>
        <v>2.5</v>
      </c>
      <c r="T20" s="155">
        <v>0</v>
      </c>
      <c r="U20" s="155">
        <v>0</v>
      </c>
      <c r="V20" s="155">
        <v>0</v>
      </c>
      <c r="W20" s="155">
        <v>0.5</v>
      </c>
      <c r="X20" s="155">
        <v>0</v>
      </c>
      <c r="Y20" s="155">
        <v>1</v>
      </c>
      <c r="Z20" s="155">
        <v>0</v>
      </c>
      <c r="AA20" s="153">
        <v>20</v>
      </c>
      <c r="AB20" s="154">
        <v>55</v>
      </c>
      <c r="AC20" s="25">
        <f t="shared" si="17"/>
        <v>0.5</v>
      </c>
      <c r="AD20" s="156">
        <f t="shared" si="18"/>
        <v>0</v>
      </c>
      <c r="AE20" s="156">
        <f t="shared" si="19"/>
        <v>4</v>
      </c>
      <c r="AF20" s="156">
        <f t="shared" si="20"/>
        <v>2</v>
      </c>
      <c r="AG20" s="156">
        <v>12</v>
      </c>
      <c r="AH20" s="156">
        <f t="shared" si="21"/>
        <v>3.0496666666666665</v>
      </c>
      <c r="AI20" s="156">
        <v>12</v>
      </c>
      <c r="AJ20" s="156">
        <f t="shared" si="22"/>
        <v>2.5</v>
      </c>
    </row>
    <row r="21" spans="1:36" ht="16.5" customHeight="1" x14ac:dyDescent="0.25">
      <c r="A21" s="15" t="str">
        <f>PLANTILLA!A22</f>
        <v>#9</v>
      </c>
      <c r="B21" s="15" t="str">
        <f>PLANTILLA!B22</f>
        <v>DAV</v>
      </c>
      <c r="C21" s="121">
        <f ca="1">PLANTILLA!C22</f>
        <v>15.678571428571429</v>
      </c>
      <c r="D21" s="28" t="str">
        <f>PLANTILLA!D22</f>
        <v>Casildo Abraldes</v>
      </c>
      <c r="E21" s="16">
        <f>PLANTILLA!E22</f>
        <v>17</v>
      </c>
      <c r="F21" s="17">
        <f ca="1">PLANTILLA!F22</f>
        <v>36</v>
      </c>
      <c r="G21" s="18"/>
      <c r="H21" s="4">
        <f>PLANTILLA!H22</f>
        <v>0</v>
      </c>
      <c r="I21" s="27">
        <f>PLANTILLA!I22</f>
        <v>1.3</v>
      </c>
      <c r="J21" s="19">
        <f>PLANTILLA!O22</f>
        <v>3.5</v>
      </c>
      <c r="K21" s="6">
        <f t="shared" si="15"/>
        <v>0</v>
      </c>
      <c r="L21" s="6">
        <f t="shared" si="16"/>
        <v>1.3</v>
      </c>
      <c r="M21" s="21">
        <f>PLANTILLA!X22</f>
        <v>0</v>
      </c>
      <c r="N21" s="21">
        <f>PLANTILLA!Y22</f>
        <v>3</v>
      </c>
      <c r="O21" s="21">
        <f>PLANTILLA!Z22</f>
        <v>2</v>
      </c>
      <c r="P21" s="21">
        <f>PLANTILLA!AA22</f>
        <v>5</v>
      </c>
      <c r="Q21" s="21">
        <f>PLANTILLA!AB22</f>
        <v>5</v>
      </c>
      <c r="R21" s="21">
        <f>PLANTILLA!AC22</f>
        <v>6.75</v>
      </c>
      <c r="S21" s="21">
        <f>PLANTILLA!AD22</f>
        <v>4</v>
      </c>
      <c r="T21" s="155">
        <v>0</v>
      </c>
      <c r="U21" s="155">
        <v>0</v>
      </c>
      <c r="V21" s="155">
        <v>0</v>
      </c>
      <c r="W21" s="155">
        <v>0.5</v>
      </c>
      <c r="X21" s="155">
        <v>0</v>
      </c>
      <c r="Y21" s="155">
        <v>1</v>
      </c>
      <c r="Z21" s="155">
        <v>0</v>
      </c>
      <c r="AA21" s="153">
        <v>20</v>
      </c>
      <c r="AB21" s="154">
        <v>56</v>
      </c>
      <c r="AC21" s="25">
        <f t="shared" si="17"/>
        <v>1.3</v>
      </c>
      <c r="AD21" s="156">
        <f t="shared" si="18"/>
        <v>0</v>
      </c>
      <c r="AE21" s="156">
        <f t="shared" si="19"/>
        <v>3</v>
      </c>
      <c r="AF21" s="156">
        <f t="shared" si="20"/>
        <v>2</v>
      </c>
      <c r="AG21" s="156">
        <v>13</v>
      </c>
      <c r="AH21" s="156">
        <f t="shared" si="21"/>
        <v>5</v>
      </c>
      <c r="AI21" s="156">
        <v>13</v>
      </c>
      <c r="AJ21" s="156">
        <f t="shared" si="22"/>
        <v>4</v>
      </c>
    </row>
    <row r="22" spans="1:36" ht="16.5" customHeight="1" x14ac:dyDescent="0.25">
      <c r="A22" s="15">
        <f>PLANTILLA!A23</f>
        <v>0</v>
      </c>
      <c r="B22" s="15">
        <f>PLANTILLA!B23</f>
        <v>0</v>
      </c>
      <c r="C22" s="121">
        <f>PLANTILLA!C23</f>
        <v>0</v>
      </c>
      <c r="D22" s="28" t="str">
        <f>PLANTILLA!D23</f>
        <v>A. Ilisie</v>
      </c>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65"/>
      <c r="AE22" s="65"/>
      <c r="AF22" s="65"/>
      <c r="AG22" s="65"/>
      <c r="AH22" s="65"/>
      <c r="AI22" s="65"/>
      <c r="AJ22" s="65"/>
    </row>
    <row r="23" spans="1:36" x14ac:dyDescent="0.25">
      <c r="C23" s="137"/>
      <c r="D23" s="110"/>
      <c r="G23" s="65"/>
      <c r="H23" s="52"/>
      <c r="J23" s="65"/>
      <c r="K23" s="65"/>
      <c r="M23" s="138"/>
      <c r="T23" s="65"/>
      <c r="U23" s="65"/>
      <c r="V23" s="65"/>
      <c r="W23" s="65"/>
      <c r="X23" s="65"/>
      <c r="Y23" s="65"/>
      <c r="Z23" s="65"/>
      <c r="AA23" s="65"/>
      <c r="AB23" s="65"/>
      <c r="AC23" s="65"/>
      <c r="AD23" s="46"/>
      <c r="AE23" s="46"/>
      <c r="AF23" s="46"/>
      <c r="AG23" s="46"/>
      <c r="AH23" s="46"/>
      <c r="AI23" s="46"/>
      <c r="AJ23" s="46"/>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65"/>
      <c r="AE29" s="65"/>
      <c r="AF29" s="65"/>
      <c r="AG29" s="65"/>
      <c r="AH29" s="65"/>
      <c r="AI29" s="65"/>
      <c r="AJ29" s="65"/>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sheetData>
  <mergeCells count="2">
    <mergeCell ref="T1:V1"/>
    <mergeCell ref="X1:Y1"/>
  </mergeCells>
  <conditionalFormatting sqref="T4:Z21">
    <cfRule type="cellIs" dxfId="5" priority="57" operator="lessThan">
      <formula>0.2</formula>
    </cfRule>
    <cfRule type="cellIs" dxfId="4" priority="58" operator="greaterThan">
      <formula>0.9</formula>
    </cfRule>
  </conditionalFormatting>
  <conditionalFormatting sqref="I4:I21">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1">
    <cfRule type="cellIs" dxfId="0" priority="4966" operator="greaterThan">
      <formula>8</formula>
    </cfRule>
    <cfRule type="colorScale" priority="4967">
      <colorScale>
        <cfvo type="min"/>
        <cfvo type="max"/>
        <color rgb="FFFFEF9C"/>
        <color rgb="FFFF7128"/>
      </colorScale>
    </cfRule>
  </conditionalFormatting>
  <conditionalFormatting sqref="AD4:AJ21">
    <cfRule type="colorScale" priority="4968">
      <colorScale>
        <cfvo type="min"/>
        <cfvo type="max"/>
        <color rgb="FFFFEF9C"/>
        <color rgb="FF63BE7B"/>
      </colorScale>
    </cfRule>
  </conditionalFormatting>
  <conditionalFormatting sqref="C4:C22">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Abraldes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2018-01-15T14:50:29Z</dcterms:modified>
</cp:coreProperties>
</file>