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filterPrivacy="1" codeName="ThisWorkbook" defaultThemeVersion="124226"/>
  <xr:revisionPtr revIDLastSave="0" documentId="13_ncr:1_{A9F2FCF5-211F-4230-9E17-A435BB059C08}" xr6:coauthVersionLast="33" xr6:coauthVersionMax="33" xr10:uidLastSave="{00000000-0000-0000-0000-000000000000}"/>
  <bookViews>
    <workbookView xWindow="240" yWindow="105" windowWidth="14805" windowHeight="8010" activeTab="7" xr2:uid="{00000000-000D-0000-FFFF-FFFF00000000}"/>
  </bookViews>
  <sheets>
    <sheet name="Resistencia" sheetId="6" r:id="rId1"/>
    <sheet name="TL_v1" sheetId="7" r:id="rId2"/>
    <sheet name="CA_v1" sheetId="14" r:id="rId3"/>
    <sheet name="CA_v2" sheetId="23" r:id="rId4"/>
    <sheet name="CambioENTRENADOR" sheetId="9" r:id="rId5"/>
    <sheet name="Planning_Entrenador" sheetId="11" r:id="rId6"/>
    <sheet name="Hall_of_Fame" sheetId="22" r:id="rId7"/>
    <sheet name="PLANTILLA" sheetId="1" r:id="rId8"/>
    <sheet name="CAPITAN" sheetId="12" r:id="rId9"/>
    <sheet name="Evaluacion Jugadores" sheetId="3" r:id="rId10"/>
    <sheet name="Rendimiento_ENTRENAMIENTO" sheetId="10" r:id="rId11"/>
    <sheet name="Calculador de Sueldo" sheetId="2" r:id="rId12"/>
    <sheet name="Empleados" sheetId="4" r:id="rId13"/>
  </sheets>
  <calcPr calcId="179017"/>
</workbook>
</file>

<file path=xl/calcChain.xml><?xml version="1.0" encoding="utf-8"?>
<calcChain xmlns="http://schemas.openxmlformats.org/spreadsheetml/2006/main">
  <c r="Z59" i="23" l="1"/>
  <c r="Z57" i="23"/>
  <c r="Z54" i="23"/>
  <c r="Z53" i="23"/>
  <c r="Z52" i="23"/>
  <c r="Z51" i="23"/>
  <c r="Z50" i="23"/>
  <c r="Z49" i="23"/>
  <c r="Z47" i="23"/>
  <c r="AH59" i="23"/>
  <c r="AH58" i="23"/>
  <c r="AH57" i="23"/>
  <c r="AH54" i="23"/>
  <c r="AH53" i="23"/>
  <c r="AH52" i="23"/>
  <c r="AH51" i="23"/>
  <c r="AH50" i="23"/>
  <c r="AH49" i="23"/>
  <c r="AH48" i="23"/>
  <c r="AH47" i="23"/>
  <c r="Z41" i="23"/>
  <c r="Z39" i="23"/>
  <c r="Z36" i="23"/>
  <c r="Z35" i="23"/>
  <c r="Z34" i="23"/>
  <c r="Z33" i="23"/>
  <c r="Z32" i="23"/>
  <c r="Z31" i="23"/>
  <c r="Z30" i="23"/>
  <c r="Z29" i="23"/>
  <c r="AH41" i="23"/>
  <c r="AB41" i="23"/>
  <c r="AH40" i="23"/>
  <c r="AH39" i="23"/>
  <c r="AB39" i="23"/>
  <c r="AH36" i="23"/>
  <c r="AH35" i="23"/>
  <c r="AB35" i="23"/>
  <c r="AH34" i="23"/>
  <c r="AH33" i="23"/>
  <c r="AH32" i="23"/>
  <c r="AB34" i="23"/>
  <c r="AB33" i="23"/>
  <c r="AB32" i="23"/>
  <c r="AH31" i="23"/>
  <c r="AB31" i="23"/>
  <c r="AH30" i="23"/>
  <c r="AH29" i="23"/>
  <c r="AR33" i="23"/>
  <c r="AH23" i="23"/>
  <c r="AH22" i="23"/>
  <c r="AH21" i="23"/>
  <c r="AH18" i="23"/>
  <c r="AH17" i="23"/>
  <c r="AH12" i="23"/>
  <c r="AD23" i="23"/>
  <c r="AD22" i="23"/>
  <c r="AL21" i="23"/>
  <c r="AD21" i="23"/>
  <c r="AD12" i="23"/>
  <c r="AM49" i="23" l="1"/>
  <c r="AM50" i="23"/>
  <c r="AM51" i="23"/>
  <c r="AM52" i="23"/>
  <c r="AM53" i="23"/>
  <c r="AM54" i="23"/>
  <c r="AM57" i="23"/>
  <c r="AM58" i="23"/>
  <c r="AM59" i="23"/>
  <c r="AM48" i="23"/>
  <c r="AO47" i="23"/>
  <c r="AO48" i="23"/>
  <c r="AO49" i="23"/>
  <c r="AO50" i="23"/>
  <c r="AO51" i="23"/>
  <c r="AO52" i="23"/>
  <c r="AO53" i="23"/>
  <c r="AO54" i="23"/>
  <c r="AO57" i="23"/>
  <c r="AO58" i="23"/>
  <c r="AO59" i="23"/>
  <c r="AA48" i="23"/>
  <c r="AC48" i="23"/>
  <c r="AF48" i="23"/>
  <c r="AI48" i="23"/>
  <c r="AK48" i="23"/>
  <c r="AN48" i="23"/>
  <c r="AA49" i="23"/>
  <c r="AC49" i="23"/>
  <c r="AD49" i="23"/>
  <c r="AF49" i="23"/>
  <c r="AI49" i="23"/>
  <c r="AK49" i="23"/>
  <c r="AL49" i="23"/>
  <c r="AN49" i="23"/>
  <c r="AA50" i="23"/>
  <c r="AC50" i="23"/>
  <c r="AD50" i="23"/>
  <c r="AF50" i="23"/>
  <c r="AI50" i="23"/>
  <c r="AK50" i="23"/>
  <c r="AL50" i="23"/>
  <c r="AN50" i="23"/>
  <c r="AA51" i="23"/>
  <c r="AC51" i="23"/>
  <c r="AD51" i="23"/>
  <c r="AF51" i="23"/>
  <c r="AI51" i="23"/>
  <c r="AK51" i="23"/>
  <c r="AL51" i="23"/>
  <c r="AN51" i="23"/>
  <c r="AA52" i="23"/>
  <c r="AC52" i="23"/>
  <c r="AD52" i="23"/>
  <c r="AF52" i="23"/>
  <c r="AI52" i="23"/>
  <c r="AK52" i="23"/>
  <c r="AL52" i="23"/>
  <c r="AN52" i="23"/>
  <c r="AA53" i="23"/>
  <c r="AC53" i="23"/>
  <c r="AF53" i="23"/>
  <c r="AI53" i="23"/>
  <c r="AK53" i="23"/>
  <c r="AN53" i="23"/>
  <c r="AA54" i="23"/>
  <c r="AC54" i="23"/>
  <c r="AF54" i="23"/>
  <c r="AI54" i="23"/>
  <c r="AK54" i="23"/>
  <c r="AN54" i="23"/>
  <c r="AA57" i="23"/>
  <c r="AC57" i="23"/>
  <c r="AF57" i="23"/>
  <c r="AI57" i="23"/>
  <c r="AK57" i="23"/>
  <c r="AN57" i="23"/>
  <c r="AA58" i="23"/>
  <c r="AC58" i="23"/>
  <c r="AF58" i="23"/>
  <c r="AI58" i="23"/>
  <c r="AK58" i="23"/>
  <c r="AN58" i="23"/>
  <c r="AA59" i="23"/>
  <c r="AC59" i="23"/>
  <c r="AF59" i="23"/>
  <c r="AI59" i="23"/>
  <c r="AK59" i="23"/>
  <c r="AN59" i="23"/>
  <c r="AK47" i="23"/>
  <c r="AL47" i="23"/>
  <c r="AM47" i="23"/>
  <c r="AN47" i="23"/>
  <c r="AC47" i="23"/>
  <c r="AD47" i="23"/>
  <c r="AE47" i="23"/>
  <c r="AF47" i="23"/>
  <c r="O48" i="23"/>
  <c r="Q48" i="23"/>
  <c r="S48" i="23"/>
  <c r="T48" i="23"/>
  <c r="U48" i="23"/>
  <c r="O49" i="23"/>
  <c r="Q49" i="23"/>
  <c r="R49" i="23"/>
  <c r="S49" i="23"/>
  <c r="T49" i="23"/>
  <c r="U49" i="23"/>
  <c r="O50" i="23"/>
  <c r="Q50" i="23"/>
  <c r="R50" i="23"/>
  <c r="S50" i="23"/>
  <c r="T50" i="23"/>
  <c r="U50" i="23"/>
  <c r="O51" i="23"/>
  <c r="Q51" i="23"/>
  <c r="R51" i="23"/>
  <c r="S51" i="23"/>
  <c r="T51" i="23"/>
  <c r="U51" i="23"/>
  <c r="O52" i="23"/>
  <c r="Q52" i="23"/>
  <c r="R52" i="23"/>
  <c r="S52" i="23"/>
  <c r="T52" i="23"/>
  <c r="U52" i="23"/>
  <c r="O53" i="23"/>
  <c r="Q53" i="23"/>
  <c r="S53" i="23"/>
  <c r="T53" i="23"/>
  <c r="U53" i="23"/>
  <c r="O54" i="23"/>
  <c r="Q54" i="23"/>
  <c r="S54" i="23"/>
  <c r="T54" i="23"/>
  <c r="U54" i="23"/>
  <c r="O57" i="23"/>
  <c r="Q57" i="23"/>
  <c r="S57" i="23"/>
  <c r="T57" i="23"/>
  <c r="U57" i="23"/>
  <c r="O58" i="23"/>
  <c r="Q58" i="23"/>
  <c r="S58" i="23"/>
  <c r="T58" i="23"/>
  <c r="U58" i="23"/>
  <c r="O59" i="23"/>
  <c r="Q59" i="23"/>
  <c r="S59" i="23"/>
  <c r="T59" i="23"/>
  <c r="U59" i="23"/>
  <c r="Q47" i="23"/>
  <c r="R47" i="23"/>
  <c r="S47" i="23"/>
  <c r="T47" i="23"/>
  <c r="U47" i="23"/>
  <c r="O47" i="23"/>
  <c r="N48" i="23"/>
  <c r="N49" i="23"/>
  <c r="N50" i="23"/>
  <c r="N51" i="23"/>
  <c r="N52" i="23"/>
  <c r="N53" i="23"/>
  <c r="N54" i="23"/>
  <c r="N57" i="23"/>
  <c r="N58" i="23"/>
  <c r="N59" i="23"/>
  <c r="N47" i="23"/>
  <c r="G48" i="23"/>
  <c r="H48" i="23"/>
  <c r="AB48" i="23" s="1"/>
  <c r="I48" i="23"/>
  <c r="K48" i="23"/>
  <c r="L48" i="23"/>
  <c r="M48" i="23"/>
  <c r="G49" i="23"/>
  <c r="H49" i="23"/>
  <c r="AB49" i="23" s="1"/>
  <c r="I49" i="23"/>
  <c r="J49" i="23"/>
  <c r="K49" i="23"/>
  <c r="L49" i="23"/>
  <c r="M49" i="23"/>
  <c r="G50" i="23"/>
  <c r="H50" i="23"/>
  <c r="AB50" i="23" s="1"/>
  <c r="I50" i="23"/>
  <c r="J50" i="23"/>
  <c r="K50" i="23"/>
  <c r="L50" i="23"/>
  <c r="M50" i="23"/>
  <c r="G51" i="23"/>
  <c r="H51" i="23"/>
  <c r="AB51" i="23" s="1"/>
  <c r="I51" i="23"/>
  <c r="J51" i="23"/>
  <c r="K51" i="23"/>
  <c r="L51" i="23"/>
  <c r="M51" i="23"/>
  <c r="G52" i="23"/>
  <c r="H52" i="23"/>
  <c r="AB52" i="23" s="1"/>
  <c r="I52" i="23"/>
  <c r="J52" i="23"/>
  <c r="K52" i="23"/>
  <c r="L52" i="23"/>
  <c r="M52" i="23"/>
  <c r="G53" i="23"/>
  <c r="H53" i="23"/>
  <c r="AB53" i="23" s="1"/>
  <c r="I53" i="23"/>
  <c r="K53" i="23"/>
  <c r="L53" i="23"/>
  <c r="M53" i="23"/>
  <c r="G54" i="23"/>
  <c r="H54" i="23"/>
  <c r="AB54" i="23" s="1"/>
  <c r="I54" i="23"/>
  <c r="K54" i="23"/>
  <c r="L54" i="23"/>
  <c r="M54" i="23"/>
  <c r="G57" i="23"/>
  <c r="H57" i="23"/>
  <c r="AB57" i="23" s="1"/>
  <c r="I57" i="23"/>
  <c r="K57" i="23"/>
  <c r="L57" i="23"/>
  <c r="M57" i="23"/>
  <c r="G58" i="23"/>
  <c r="I58" i="23"/>
  <c r="K58" i="23"/>
  <c r="L58" i="23"/>
  <c r="M58" i="23"/>
  <c r="G59" i="23"/>
  <c r="H59" i="23"/>
  <c r="AB59" i="23" s="1"/>
  <c r="I59" i="23"/>
  <c r="K59" i="23"/>
  <c r="L59" i="23"/>
  <c r="M59" i="23"/>
  <c r="H47" i="23"/>
  <c r="AB47" i="23" s="1"/>
  <c r="I47" i="23"/>
  <c r="J47" i="23"/>
  <c r="K47" i="23"/>
  <c r="L47" i="23"/>
  <c r="M47" i="23"/>
  <c r="G47" i="23"/>
  <c r="C48" i="23"/>
  <c r="C49" i="23"/>
  <c r="C50" i="23"/>
  <c r="C51" i="23"/>
  <c r="C52" i="23"/>
  <c r="C53" i="23"/>
  <c r="C54" i="23"/>
  <c r="C57" i="23"/>
  <c r="C58" i="23"/>
  <c r="C59" i="23"/>
  <c r="D48" i="23"/>
  <c r="D49" i="23"/>
  <c r="D50" i="23"/>
  <c r="D51" i="23"/>
  <c r="D52" i="23"/>
  <c r="D53" i="23"/>
  <c r="D54" i="23"/>
  <c r="D57" i="23"/>
  <c r="D58" i="23"/>
  <c r="D59" i="23"/>
  <c r="D47" i="23"/>
  <c r="E48" i="23"/>
  <c r="E49" i="23"/>
  <c r="E50" i="23"/>
  <c r="E51" i="23"/>
  <c r="E52" i="23"/>
  <c r="E53" i="23"/>
  <c r="E54" i="23"/>
  <c r="E57" i="23"/>
  <c r="E58" i="23"/>
  <c r="E59" i="23"/>
  <c r="AB36" i="23"/>
  <c r="AB40" i="23" s="1"/>
  <c r="H58" i="23" s="1"/>
  <c r="AB58" i="23" s="1"/>
  <c r="N34" i="23"/>
  <c r="N33" i="23"/>
  <c r="N32" i="23"/>
  <c r="N31" i="23"/>
  <c r="N29" i="23"/>
  <c r="N30" i="23"/>
  <c r="N35" i="23"/>
  <c r="N36" i="23"/>
  <c r="N39" i="23"/>
  <c r="N40" i="23"/>
  <c r="N41" i="23"/>
  <c r="AJ41" i="23" l="1"/>
  <c r="P59" i="23" s="1"/>
  <c r="AJ59" i="23" s="1"/>
  <c r="AJ40" i="23"/>
  <c r="P58" i="23" s="1"/>
  <c r="AJ58" i="23" s="1"/>
  <c r="AJ39" i="23"/>
  <c r="P57" i="23" s="1"/>
  <c r="AJ57" i="23" s="1"/>
  <c r="AJ36" i="23"/>
  <c r="P54" i="23" s="1"/>
  <c r="AJ54" i="23" s="1"/>
  <c r="AJ35" i="23"/>
  <c r="P53" i="23" s="1"/>
  <c r="AJ53" i="23" s="1"/>
  <c r="AJ34" i="23"/>
  <c r="P52" i="23" s="1"/>
  <c r="AJ52" i="23" s="1"/>
  <c r="AJ33" i="23"/>
  <c r="P51" i="23" s="1"/>
  <c r="AJ51" i="23" s="1"/>
  <c r="AJ32" i="23"/>
  <c r="P50" i="23" s="1"/>
  <c r="AJ50" i="23" s="1"/>
  <c r="AJ31" i="23"/>
  <c r="P49" i="23" s="1"/>
  <c r="AJ49" i="23" s="1"/>
  <c r="AJ30" i="23"/>
  <c r="P48" i="23" s="1"/>
  <c r="AJ48" i="23" s="1"/>
  <c r="AJ29" i="23"/>
  <c r="P47" i="23" s="1"/>
  <c r="AJ47" i="23" s="1"/>
  <c r="AI30" i="23"/>
  <c r="AK30" i="23"/>
  <c r="AM30" i="23"/>
  <c r="AN30" i="23"/>
  <c r="AO30" i="23"/>
  <c r="AI31" i="23"/>
  <c r="AK31" i="23"/>
  <c r="AL31" i="23"/>
  <c r="AM31" i="23"/>
  <c r="AN31" i="23"/>
  <c r="AO31" i="23"/>
  <c r="AI32" i="23"/>
  <c r="AK32" i="23"/>
  <c r="AL32" i="23"/>
  <c r="AM32" i="23"/>
  <c r="AN32" i="23"/>
  <c r="AO32" i="23"/>
  <c r="AI33" i="23"/>
  <c r="AK33" i="23"/>
  <c r="AL33" i="23"/>
  <c r="AM33" i="23"/>
  <c r="AN33" i="23"/>
  <c r="AO33" i="23"/>
  <c r="AI34" i="23"/>
  <c r="AK34" i="23"/>
  <c r="AL34" i="23"/>
  <c r="AM34" i="23"/>
  <c r="AN34" i="23"/>
  <c r="AO34" i="23"/>
  <c r="AI35" i="23"/>
  <c r="AK35" i="23"/>
  <c r="AM35" i="23"/>
  <c r="AN35" i="23"/>
  <c r="AO35" i="23"/>
  <c r="AI36" i="23"/>
  <c r="AK36" i="23"/>
  <c r="AM36" i="23"/>
  <c r="AN36" i="23"/>
  <c r="AO36" i="23"/>
  <c r="AI37" i="23"/>
  <c r="AJ37" i="23"/>
  <c r="AK37" i="23"/>
  <c r="AL37" i="23"/>
  <c r="AM37" i="23"/>
  <c r="AN37" i="23"/>
  <c r="AO37" i="23"/>
  <c r="AI38" i="23"/>
  <c r="AJ38" i="23"/>
  <c r="AK38" i="23"/>
  <c r="AL38" i="23"/>
  <c r="AM38" i="23"/>
  <c r="AN38" i="23"/>
  <c r="AO38" i="23"/>
  <c r="AI39" i="23"/>
  <c r="AK39" i="23"/>
  <c r="AM39" i="23"/>
  <c r="AN39" i="23"/>
  <c r="AO39" i="23"/>
  <c r="AI40" i="23"/>
  <c r="AK40" i="23"/>
  <c r="AM40" i="23"/>
  <c r="AN40" i="23"/>
  <c r="AO40" i="23"/>
  <c r="AI41" i="23"/>
  <c r="AK41" i="23"/>
  <c r="AM41" i="23"/>
  <c r="AN41" i="23"/>
  <c r="AO41" i="23"/>
  <c r="AI42" i="23"/>
  <c r="AJ42" i="23"/>
  <c r="AK42" i="23"/>
  <c r="AL42" i="23"/>
  <c r="AM42" i="23"/>
  <c r="AN42" i="23"/>
  <c r="AO42" i="23"/>
  <c r="AI43" i="23"/>
  <c r="AJ43" i="23"/>
  <c r="AK43" i="23"/>
  <c r="AL43" i="23"/>
  <c r="AM43" i="23"/>
  <c r="AN43" i="23"/>
  <c r="AO43" i="23"/>
  <c r="AI44" i="23"/>
  <c r="AJ44" i="23"/>
  <c r="AK44" i="23"/>
  <c r="AL44" i="23"/>
  <c r="AM44" i="23"/>
  <c r="AN44" i="23"/>
  <c r="AO44" i="23"/>
  <c r="AK29" i="23"/>
  <c r="AL29" i="23"/>
  <c r="AM29" i="23"/>
  <c r="AN29" i="23"/>
  <c r="AO29" i="23"/>
  <c r="U34" i="23"/>
  <c r="R34" i="23"/>
  <c r="O34" i="23"/>
  <c r="U33" i="23"/>
  <c r="R33" i="23"/>
  <c r="O33" i="23"/>
  <c r="U32" i="23"/>
  <c r="R32" i="23"/>
  <c r="O32" i="23"/>
  <c r="M34" i="23"/>
  <c r="J34" i="23"/>
  <c r="G34" i="23"/>
  <c r="M33" i="23"/>
  <c r="J33" i="23"/>
  <c r="G33" i="23"/>
  <c r="M32" i="23"/>
  <c r="J32" i="23"/>
  <c r="G32" i="23"/>
  <c r="O30" i="23"/>
  <c r="P30" i="23"/>
  <c r="Q30" i="23"/>
  <c r="R30" i="23"/>
  <c r="AL30" i="23" s="1"/>
  <c r="R48" i="23" s="1"/>
  <c r="AL48" i="23" s="1"/>
  <c r="S30" i="23"/>
  <c r="T30" i="23"/>
  <c r="U30" i="23"/>
  <c r="O31" i="23"/>
  <c r="R31" i="23"/>
  <c r="U31" i="23"/>
  <c r="O35" i="23"/>
  <c r="P35" i="23"/>
  <c r="Q35" i="23"/>
  <c r="R35" i="23"/>
  <c r="AL35" i="23" s="1"/>
  <c r="R53" i="23" s="1"/>
  <c r="AL53" i="23" s="1"/>
  <c r="S35" i="23"/>
  <c r="T35" i="23"/>
  <c r="U35" i="23"/>
  <c r="O36" i="23"/>
  <c r="P36" i="23"/>
  <c r="Q36" i="23"/>
  <c r="R36" i="23"/>
  <c r="AL36" i="23" s="1"/>
  <c r="R54" i="23" s="1"/>
  <c r="AL54" i="23" s="1"/>
  <c r="S36" i="23"/>
  <c r="T36" i="23"/>
  <c r="U36" i="23"/>
  <c r="O37" i="23"/>
  <c r="P37" i="23"/>
  <c r="Q37" i="23"/>
  <c r="R37" i="23"/>
  <c r="S37" i="23"/>
  <c r="T37" i="23"/>
  <c r="U37" i="23"/>
  <c r="O38" i="23"/>
  <c r="P38" i="23"/>
  <c r="Q38" i="23"/>
  <c r="R38" i="23"/>
  <c r="S38" i="23"/>
  <c r="T38" i="23"/>
  <c r="U38" i="23"/>
  <c r="O39" i="23"/>
  <c r="P39" i="23"/>
  <c r="Q39" i="23"/>
  <c r="R39" i="23"/>
  <c r="AL39" i="23" s="1"/>
  <c r="R57" i="23" s="1"/>
  <c r="AL57" i="23" s="1"/>
  <c r="S39" i="23"/>
  <c r="T39" i="23"/>
  <c r="U39" i="23"/>
  <c r="O40" i="23"/>
  <c r="P40" i="23"/>
  <c r="Q40" i="23"/>
  <c r="R40" i="23"/>
  <c r="AL40" i="23" s="1"/>
  <c r="R58" i="23" s="1"/>
  <c r="AL58" i="23" s="1"/>
  <c r="S40" i="23"/>
  <c r="T40" i="23"/>
  <c r="U40" i="23"/>
  <c r="O41" i="23"/>
  <c r="P41" i="23"/>
  <c r="Q41" i="23"/>
  <c r="R41" i="23"/>
  <c r="AL41" i="23" s="1"/>
  <c r="R59" i="23" s="1"/>
  <c r="AL59" i="23" s="1"/>
  <c r="S41" i="23"/>
  <c r="T41" i="23"/>
  <c r="U41" i="23"/>
  <c r="O42" i="23"/>
  <c r="P42" i="23"/>
  <c r="Q42" i="23"/>
  <c r="R42" i="23"/>
  <c r="S42" i="23"/>
  <c r="T42" i="23"/>
  <c r="U42" i="23"/>
  <c r="O43" i="23"/>
  <c r="P43" i="23"/>
  <c r="Q43" i="23"/>
  <c r="R43" i="23"/>
  <c r="S43" i="23"/>
  <c r="T43" i="23"/>
  <c r="U43" i="23"/>
  <c r="O44" i="23"/>
  <c r="P44" i="23"/>
  <c r="Q44" i="23"/>
  <c r="R44" i="23"/>
  <c r="S44" i="23"/>
  <c r="T44" i="23"/>
  <c r="U44" i="23"/>
  <c r="Q29" i="23"/>
  <c r="R29" i="23"/>
  <c r="S29" i="23"/>
  <c r="T29" i="23"/>
  <c r="G30" i="23"/>
  <c r="H30" i="23"/>
  <c r="I30" i="23"/>
  <c r="J30" i="23"/>
  <c r="K30" i="23"/>
  <c r="L30" i="23"/>
  <c r="M30" i="23"/>
  <c r="G31" i="23"/>
  <c r="J31" i="23"/>
  <c r="M31" i="23"/>
  <c r="G35" i="23"/>
  <c r="H35" i="23"/>
  <c r="I35" i="23"/>
  <c r="J35" i="23"/>
  <c r="K35" i="23"/>
  <c r="L35" i="23"/>
  <c r="M35" i="23"/>
  <c r="G36" i="23"/>
  <c r="H36" i="23"/>
  <c r="I36" i="23"/>
  <c r="J36" i="23"/>
  <c r="K36" i="23"/>
  <c r="L36" i="23"/>
  <c r="M36" i="23"/>
  <c r="G37" i="23"/>
  <c r="H37" i="23"/>
  <c r="I37" i="23"/>
  <c r="J37" i="23"/>
  <c r="K37" i="23"/>
  <c r="L37" i="23"/>
  <c r="M37" i="23"/>
  <c r="G38" i="23"/>
  <c r="H38" i="23"/>
  <c r="I38" i="23"/>
  <c r="J38" i="23"/>
  <c r="K38" i="23"/>
  <c r="L38" i="23"/>
  <c r="M38" i="23"/>
  <c r="G39" i="23"/>
  <c r="H39" i="23"/>
  <c r="I39" i="23"/>
  <c r="J39" i="23"/>
  <c r="K39" i="23"/>
  <c r="L39" i="23"/>
  <c r="M39" i="23"/>
  <c r="G40" i="23"/>
  <c r="H40" i="23"/>
  <c r="I40" i="23"/>
  <c r="J40" i="23"/>
  <c r="K40" i="23"/>
  <c r="L40" i="23"/>
  <c r="M40" i="23"/>
  <c r="G41" i="23"/>
  <c r="H41" i="23"/>
  <c r="I41" i="23"/>
  <c r="J41" i="23"/>
  <c r="K41" i="23"/>
  <c r="L41" i="23"/>
  <c r="M41" i="23"/>
  <c r="G42" i="23"/>
  <c r="H42" i="23"/>
  <c r="I42" i="23"/>
  <c r="J42" i="23"/>
  <c r="K42" i="23"/>
  <c r="L42" i="23"/>
  <c r="M42" i="23"/>
  <c r="G43" i="23"/>
  <c r="H43" i="23"/>
  <c r="I43" i="23"/>
  <c r="J43" i="23"/>
  <c r="K43" i="23"/>
  <c r="L43" i="23"/>
  <c r="M43" i="23"/>
  <c r="G44" i="23"/>
  <c r="H44" i="23"/>
  <c r="I44" i="23"/>
  <c r="J44" i="23"/>
  <c r="K44" i="23"/>
  <c r="L44" i="23"/>
  <c r="M44" i="23"/>
  <c r="I29" i="23"/>
  <c r="J29" i="23"/>
  <c r="K29" i="23"/>
  <c r="L29" i="23"/>
  <c r="E30" i="23"/>
  <c r="E35" i="23"/>
  <c r="E36" i="23"/>
  <c r="E39" i="23"/>
  <c r="E40" i="23"/>
  <c r="E41" i="23"/>
  <c r="AI12" i="23"/>
  <c r="AJ12" i="23"/>
  <c r="AK12" i="23"/>
  <c r="AM12" i="23"/>
  <c r="AN12" i="23"/>
  <c r="AO12" i="23"/>
  <c r="AI13" i="23"/>
  <c r="AJ13" i="23"/>
  <c r="AK13" i="23"/>
  <c r="AL13" i="23"/>
  <c r="AM13" i="23"/>
  <c r="AN13" i="23"/>
  <c r="AO13" i="23"/>
  <c r="AI14" i="23"/>
  <c r="AJ14" i="23"/>
  <c r="AK14" i="23"/>
  <c r="AL14" i="23"/>
  <c r="AM14" i="23"/>
  <c r="AN14" i="23"/>
  <c r="AO14" i="23"/>
  <c r="AI15" i="23"/>
  <c r="AJ15" i="23"/>
  <c r="AK15" i="23"/>
  <c r="AL15" i="23"/>
  <c r="AM15" i="23"/>
  <c r="AN15" i="23"/>
  <c r="AO15" i="23"/>
  <c r="AI16" i="23"/>
  <c r="AJ16" i="23"/>
  <c r="AK16" i="23"/>
  <c r="AL16" i="23"/>
  <c r="AM16" i="23"/>
  <c r="AN16" i="23"/>
  <c r="AO16" i="23"/>
  <c r="AI17" i="23"/>
  <c r="AJ17" i="23"/>
  <c r="AK17" i="23"/>
  <c r="AM17" i="23"/>
  <c r="AN17" i="23"/>
  <c r="AO17" i="23"/>
  <c r="AI18" i="23"/>
  <c r="AJ18" i="23"/>
  <c r="AK18" i="23"/>
  <c r="AM18" i="23"/>
  <c r="AN18" i="23"/>
  <c r="AO18" i="23"/>
  <c r="AI19" i="23"/>
  <c r="AJ19" i="23"/>
  <c r="AK19" i="23"/>
  <c r="AL19" i="23"/>
  <c r="AM19" i="23"/>
  <c r="AN19" i="23"/>
  <c r="AO19" i="23"/>
  <c r="AI20" i="23"/>
  <c r="AJ20" i="23"/>
  <c r="AK20" i="23"/>
  <c r="AL20" i="23"/>
  <c r="AM20" i="23"/>
  <c r="AN20" i="23"/>
  <c r="AO20" i="23"/>
  <c r="AI21" i="23"/>
  <c r="AJ21" i="23"/>
  <c r="AK21" i="23"/>
  <c r="AM21" i="23"/>
  <c r="AN21" i="23"/>
  <c r="AO21" i="23"/>
  <c r="AI22" i="23"/>
  <c r="AJ22" i="23"/>
  <c r="AK22" i="23"/>
  <c r="AM22" i="23"/>
  <c r="AN22" i="23"/>
  <c r="AO22" i="23"/>
  <c r="AI23" i="23"/>
  <c r="AJ23" i="23"/>
  <c r="AK23" i="23"/>
  <c r="AM23" i="23"/>
  <c r="AN23" i="23"/>
  <c r="AO23" i="23"/>
  <c r="AI24" i="23"/>
  <c r="AJ24" i="23"/>
  <c r="AK24" i="23"/>
  <c r="AL24" i="23"/>
  <c r="AM24" i="23"/>
  <c r="AN24" i="23"/>
  <c r="AO24" i="23"/>
  <c r="AI25" i="23"/>
  <c r="AJ25" i="23"/>
  <c r="AK25" i="23"/>
  <c r="AL25" i="23"/>
  <c r="AM25" i="23"/>
  <c r="AN25" i="23"/>
  <c r="AO25" i="23"/>
  <c r="AI26" i="23"/>
  <c r="AJ26" i="23"/>
  <c r="AK26" i="23"/>
  <c r="AL26" i="23"/>
  <c r="AM26" i="23"/>
  <c r="AN26" i="23"/>
  <c r="AO26" i="23"/>
  <c r="AA12" i="23"/>
  <c r="AB12" i="23"/>
  <c r="AC12" i="23"/>
  <c r="AE12" i="23"/>
  <c r="AF12" i="23"/>
  <c r="AG12" i="23"/>
  <c r="AA13" i="23"/>
  <c r="AB13" i="23"/>
  <c r="AC13" i="23"/>
  <c r="AD13" i="23"/>
  <c r="AE13" i="23"/>
  <c r="AF13" i="23"/>
  <c r="AG13" i="23"/>
  <c r="AA14" i="23"/>
  <c r="AB14" i="23"/>
  <c r="AC14" i="23"/>
  <c r="AD14" i="23"/>
  <c r="AE14" i="23"/>
  <c r="AF14" i="23"/>
  <c r="AG14" i="23"/>
  <c r="AA15" i="23"/>
  <c r="AB15" i="23"/>
  <c r="AC15" i="23"/>
  <c r="AD15" i="23"/>
  <c r="AE15" i="23"/>
  <c r="AF15" i="23"/>
  <c r="AG15" i="23"/>
  <c r="AA16" i="23"/>
  <c r="AB16" i="23"/>
  <c r="AC16" i="23"/>
  <c r="AD16" i="23"/>
  <c r="AE16" i="23"/>
  <c r="AF16" i="23"/>
  <c r="AG16" i="23"/>
  <c r="AA17" i="23"/>
  <c r="AB17" i="23"/>
  <c r="AC17" i="23"/>
  <c r="AE17" i="23"/>
  <c r="AF17" i="23"/>
  <c r="AG17" i="23"/>
  <c r="AA18" i="23"/>
  <c r="AB18" i="23"/>
  <c r="AC18" i="23"/>
  <c r="AE18" i="23"/>
  <c r="AF18" i="23"/>
  <c r="AG18" i="23"/>
  <c r="AA19" i="23"/>
  <c r="AB19" i="23"/>
  <c r="AC19" i="23"/>
  <c r="AD19" i="23"/>
  <c r="AE19" i="23"/>
  <c r="AF19" i="23"/>
  <c r="AG19" i="23"/>
  <c r="AA20" i="23"/>
  <c r="AB20" i="23"/>
  <c r="AC20" i="23"/>
  <c r="AD20" i="23"/>
  <c r="AE20" i="23"/>
  <c r="AF20" i="23"/>
  <c r="AG20" i="23"/>
  <c r="AA21" i="23"/>
  <c r="AB21" i="23"/>
  <c r="AC21" i="23"/>
  <c r="AE21" i="23"/>
  <c r="AF21" i="23"/>
  <c r="AG21" i="23"/>
  <c r="AA22" i="23"/>
  <c r="AB22" i="23"/>
  <c r="AC22" i="23"/>
  <c r="AE22" i="23"/>
  <c r="AF22" i="23"/>
  <c r="AG22" i="23"/>
  <c r="AA23" i="23"/>
  <c r="AB23" i="23"/>
  <c r="AC23" i="23"/>
  <c r="AE23" i="23"/>
  <c r="AF23" i="23"/>
  <c r="AG23" i="23"/>
  <c r="AA24" i="23"/>
  <c r="AB24" i="23"/>
  <c r="AC24" i="23"/>
  <c r="AD24" i="23"/>
  <c r="AE24" i="23"/>
  <c r="AF24" i="23"/>
  <c r="AG24" i="23"/>
  <c r="AA25" i="23"/>
  <c r="AB25" i="23"/>
  <c r="AC25" i="23"/>
  <c r="AD25" i="23"/>
  <c r="AE25" i="23"/>
  <c r="AF25" i="23"/>
  <c r="AG25" i="23"/>
  <c r="AA26" i="23"/>
  <c r="AB26" i="23"/>
  <c r="AC26" i="23"/>
  <c r="AD26" i="23"/>
  <c r="AE26" i="23"/>
  <c r="AF26" i="23"/>
  <c r="AG26" i="23"/>
  <c r="B60" i="23" l="1"/>
  <c r="AS52" i="23"/>
  <c r="AH45" i="23"/>
  <c r="E47" i="23"/>
  <c r="Y46" i="23"/>
  <c r="B62" i="23"/>
  <c r="AG43" i="23"/>
  <c r="B61" i="23"/>
  <c r="AA42" i="23"/>
  <c r="B59" i="23"/>
  <c r="AG40" i="23"/>
  <c r="AF40" i="23"/>
  <c r="AD40" i="23"/>
  <c r="J58" i="23" s="1"/>
  <c r="AD58" i="23" s="1"/>
  <c r="B58" i="23"/>
  <c r="B57" i="23"/>
  <c r="AA38" i="23"/>
  <c r="B56" i="23"/>
  <c r="AD37" i="23"/>
  <c r="AC37" i="23"/>
  <c r="AB37" i="23"/>
  <c r="AA37" i="23"/>
  <c r="B55" i="23"/>
  <c r="AE35" i="23"/>
  <c r="AD35" i="23"/>
  <c r="J53" i="23" s="1"/>
  <c r="AD53" i="23" s="1"/>
  <c r="AC35" i="23"/>
  <c r="AA35" i="23"/>
  <c r="B53" i="23"/>
  <c r="AE34" i="23"/>
  <c r="AD34" i="23"/>
  <c r="AC34" i="23"/>
  <c r="F52" i="23"/>
  <c r="AF34" i="23"/>
  <c r="AA34" i="23"/>
  <c r="B52" i="23"/>
  <c r="AS33" i="23"/>
  <c r="AE33" i="23"/>
  <c r="AD33" i="23"/>
  <c r="AC33" i="23"/>
  <c r="F51" i="23"/>
  <c r="B51" i="23"/>
  <c r="AE32" i="23"/>
  <c r="AD32" i="23"/>
  <c r="AC32" i="23"/>
  <c r="F50" i="23"/>
  <c r="AG32" i="23"/>
  <c r="B50" i="23"/>
  <c r="AE31" i="23"/>
  <c r="AD31" i="23"/>
  <c r="AC31" i="23"/>
  <c r="F49" i="23"/>
  <c r="B49" i="23"/>
  <c r="AG30" i="23"/>
  <c r="AF30" i="23"/>
  <c r="B48" i="23"/>
  <c r="AI29" i="23"/>
  <c r="AE29" i="23"/>
  <c r="AA29" i="23"/>
  <c r="AA47" i="23" s="1"/>
  <c r="F47" i="23"/>
  <c r="AF29" i="23"/>
  <c r="B47" i="23"/>
  <c r="Z28" i="23"/>
  <c r="Z46" i="23" s="1"/>
  <c r="Y28" i="23"/>
  <c r="F28" i="23"/>
  <c r="F46" i="23" s="1"/>
  <c r="E28" i="23"/>
  <c r="E46" i="23" s="1"/>
  <c r="D28" i="23"/>
  <c r="D46" i="23" s="1"/>
  <c r="AG44" i="23"/>
  <c r="AF44" i="23"/>
  <c r="AE44" i="23"/>
  <c r="AD44" i="23"/>
  <c r="AC44" i="23"/>
  <c r="AB44" i="23"/>
  <c r="AA44" i="23"/>
  <c r="V26" i="23"/>
  <c r="AF43" i="23"/>
  <c r="AE43" i="23"/>
  <c r="AD43" i="23"/>
  <c r="AC43" i="23"/>
  <c r="AB43" i="23"/>
  <c r="AA43" i="23"/>
  <c r="V25" i="23"/>
  <c r="AG42" i="23"/>
  <c r="AF42" i="23"/>
  <c r="AE42" i="23"/>
  <c r="AD42" i="23"/>
  <c r="AC42" i="23"/>
  <c r="AB42" i="23"/>
  <c r="V24" i="23"/>
  <c r="AG41" i="23"/>
  <c r="AF41" i="23"/>
  <c r="AE41" i="23"/>
  <c r="AD41" i="23"/>
  <c r="J59" i="23" s="1"/>
  <c r="AD59" i="23" s="1"/>
  <c r="AC41" i="23"/>
  <c r="AA41" i="23"/>
  <c r="V23" i="23"/>
  <c r="AE40" i="23"/>
  <c r="AC40" i="23"/>
  <c r="AA40" i="23"/>
  <c r="V22" i="23"/>
  <c r="AG39" i="23"/>
  <c r="AF39" i="23"/>
  <c r="AE39" i="23"/>
  <c r="AD39" i="23"/>
  <c r="J57" i="23" s="1"/>
  <c r="AD57" i="23" s="1"/>
  <c r="AC39" i="23"/>
  <c r="AA39" i="23"/>
  <c r="V21" i="23"/>
  <c r="AG38" i="23"/>
  <c r="AF38" i="23"/>
  <c r="AE38" i="23"/>
  <c r="AD38" i="23"/>
  <c r="AC38" i="23"/>
  <c r="AB38" i="23"/>
  <c r="V20" i="23"/>
  <c r="AP19" i="23"/>
  <c r="AG37" i="23"/>
  <c r="AF37" i="23"/>
  <c r="AE37" i="23"/>
  <c r="V19" i="23"/>
  <c r="AR18" i="23"/>
  <c r="AG36" i="23"/>
  <c r="AF36" i="23"/>
  <c r="AE36" i="23"/>
  <c r="AD36" i="23"/>
  <c r="J54" i="23" s="1"/>
  <c r="AD54" i="23" s="1"/>
  <c r="AC36" i="23"/>
  <c r="AA36" i="23"/>
  <c r="V18" i="23"/>
  <c r="AS17" i="23"/>
  <c r="AS18" i="23" s="1"/>
  <c r="AG35" i="23"/>
  <c r="AF35" i="23"/>
  <c r="V17" i="23"/>
  <c r="AG34" i="23"/>
  <c r="V16" i="23"/>
  <c r="AP15" i="23"/>
  <c r="AG33" i="23"/>
  <c r="AF33" i="23"/>
  <c r="AA33" i="23"/>
  <c r="V15" i="23"/>
  <c r="AF32" i="23"/>
  <c r="AA32" i="23"/>
  <c r="V14" i="23"/>
  <c r="V31" i="23"/>
  <c r="AG31" i="23"/>
  <c r="AF31" i="23"/>
  <c r="AA31" i="23"/>
  <c r="V13" i="23"/>
  <c r="AE30" i="23"/>
  <c r="AD30" i="23"/>
  <c r="J48" i="23" s="1"/>
  <c r="AD48" i="23" s="1"/>
  <c r="AC30" i="23"/>
  <c r="AA30" i="23"/>
  <c r="V12" i="23"/>
  <c r="AO11" i="23"/>
  <c r="AN11" i="23"/>
  <c r="AM11" i="23"/>
  <c r="AL11" i="23"/>
  <c r="AK11" i="23"/>
  <c r="AJ11" i="23"/>
  <c r="AI11" i="23"/>
  <c r="AG11" i="23"/>
  <c r="AG29" i="23" s="1"/>
  <c r="AF11" i="23"/>
  <c r="AE11" i="23"/>
  <c r="AD11" i="23"/>
  <c r="AD29" i="23" s="1"/>
  <c r="AC11" i="23"/>
  <c r="AC29" i="23" s="1"/>
  <c r="AB11" i="23"/>
  <c r="AA11" i="23"/>
  <c r="V11" i="23"/>
  <c r="Z18" i="23" l="1"/>
  <c r="F36" i="23" s="1"/>
  <c r="F54" i="23" s="1"/>
  <c r="Z23" i="23"/>
  <c r="F41" i="23" s="1"/>
  <c r="F59" i="23" s="1"/>
  <c r="Z17" i="23"/>
  <c r="F35" i="23" s="1"/>
  <c r="F53" i="23" s="1"/>
  <c r="Z22" i="23"/>
  <c r="F40" i="23" s="1"/>
  <c r="Z40" i="23" s="1"/>
  <c r="F58" i="23" s="1"/>
  <c r="Z58" i="23" s="1"/>
  <c r="Z21" i="23"/>
  <c r="F39" i="23" s="1"/>
  <c r="F57" i="23" s="1"/>
  <c r="Z12" i="23"/>
  <c r="F30" i="23" s="1"/>
  <c r="F48" i="23" s="1"/>
  <c r="Z48" i="23" s="1"/>
  <c r="N45" i="23"/>
  <c r="V49" i="23"/>
  <c r="AR3" i="23"/>
  <c r="AS3" i="23" s="1"/>
  <c r="AP17" i="23"/>
  <c r="AH9" i="23"/>
  <c r="AP23" i="23"/>
  <c r="V40" i="23"/>
  <c r="V30" i="23"/>
  <c r="V43" i="23"/>
  <c r="AP42" i="23"/>
  <c r="V42" i="23"/>
  <c r="AP20" i="23"/>
  <c r="N9" i="23"/>
  <c r="AP22" i="23"/>
  <c r="N27" i="23"/>
  <c r="V44" i="23"/>
  <c r="V41" i="23"/>
  <c r="V38" i="23"/>
  <c r="AP50" i="23"/>
  <c r="V50" i="23"/>
  <c r="AP35" i="23"/>
  <c r="AP21" i="23"/>
  <c r="AP32" i="23"/>
  <c r="AP18" i="23"/>
  <c r="V32" i="23"/>
  <c r="AP37" i="23"/>
  <c r="V34" i="23"/>
  <c r="V35" i="23"/>
  <c r="AP12" i="23"/>
  <c r="V36" i="23"/>
  <c r="AP26" i="23"/>
  <c r="V29" i="23"/>
  <c r="AP11" i="23"/>
  <c r="AP13" i="23"/>
  <c r="AP25" i="23"/>
  <c r="AH27" i="23"/>
  <c r="V33" i="23"/>
  <c r="AP44" i="23"/>
  <c r="AP14" i="23"/>
  <c r="AP16" i="23"/>
  <c r="AP24" i="23"/>
  <c r="AI47" i="23"/>
  <c r="AG13" i="10"/>
  <c r="AG12" i="10"/>
  <c r="AG7" i="10"/>
  <c r="AG20" i="10"/>
  <c r="AG21" i="10"/>
  <c r="AG11" i="10"/>
  <c r="AD5" i="10"/>
  <c r="AE5" i="10"/>
  <c r="AF5" i="10"/>
  <c r="AG5" i="10"/>
  <c r="AH5" i="10"/>
  <c r="AI5" i="10"/>
  <c r="AJ5" i="10"/>
  <c r="AD6" i="10"/>
  <c r="AE6" i="10"/>
  <c r="AF6" i="10"/>
  <c r="AG6" i="10"/>
  <c r="AH6" i="10"/>
  <c r="AI6" i="10"/>
  <c r="AJ6" i="10"/>
  <c r="AD7" i="10"/>
  <c r="AE7" i="10"/>
  <c r="AF7" i="10"/>
  <c r="AH7" i="10"/>
  <c r="AI7" i="10"/>
  <c r="AJ7" i="10"/>
  <c r="AD8" i="10"/>
  <c r="AE8" i="10"/>
  <c r="AF8" i="10"/>
  <c r="AG8" i="10"/>
  <c r="AH8" i="10"/>
  <c r="AI8" i="10"/>
  <c r="AJ8" i="10"/>
  <c r="AD9" i="10"/>
  <c r="AE9" i="10"/>
  <c r="AF9" i="10"/>
  <c r="AH9" i="10"/>
  <c r="AI9" i="10"/>
  <c r="AJ9" i="10"/>
  <c r="AD10" i="10"/>
  <c r="AE10" i="10"/>
  <c r="AF10" i="10"/>
  <c r="AH10" i="10"/>
  <c r="AI10" i="10"/>
  <c r="AJ10" i="10"/>
  <c r="AD11" i="10"/>
  <c r="AE11" i="10"/>
  <c r="AF11" i="10"/>
  <c r="AH11" i="10"/>
  <c r="AI11" i="10"/>
  <c r="AJ11" i="10"/>
  <c r="AD12" i="10"/>
  <c r="AE12" i="10"/>
  <c r="AF12" i="10"/>
  <c r="AH12" i="10"/>
  <c r="AI12" i="10"/>
  <c r="AJ12" i="10"/>
  <c r="AD13" i="10"/>
  <c r="AE13" i="10"/>
  <c r="AF13" i="10"/>
  <c r="AH13" i="10"/>
  <c r="AI13" i="10"/>
  <c r="AJ13" i="10"/>
  <c r="AD14" i="10"/>
  <c r="AE14" i="10"/>
  <c r="AF14" i="10"/>
  <c r="AG14" i="10"/>
  <c r="AH14" i="10"/>
  <c r="AI14" i="10"/>
  <c r="AJ14" i="10"/>
  <c r="AD15" i="10"/>
  <c r="AE15" i="10"/>
  <c r="AF15" i="10"/>
  <c r="AG15" i="10"/>
  <c r="AH15" i="10"/>
  <c r="AI15" i="10"/>
  <c r="AJ15" i="10"/>
  <c r="AD16" i="10"/>
  <c r="AE16" i="10"/>
  <c r="AF16" i="10"/>
  <c r="AG16" i="10"/>
  <c r="AH16" i="10"/>
  <c r="AI16" i="10"/>
  <c r="AJ16" i="10"/>
  <c r="AD17" i="10"/>
  <c r="AE17" i="10"/>
  <c r="AF17" i="10"/>
  <c r="AG17" i="10"/>
  <c r="AH17" i="10"/>
  <c r="AI17" i="10"/>
  <c r="AJ17" i="10"/>
  <c r="AD18" i="10"/>
  <c r="AE18" i="10"/>
  <c r="AF18" i="10"/>
  <c r="AG18" i="10"/>
  <c r="AH18" i="10"/>
  <c r="AI18" i="10"/>
  <c r="AJ18" i="10"/>
  <c r="AD19" i="10"/>
  <c r="AE19" i="10"/>
  <c r="AF19" i="10"/>
  <c r="AG19" i="10"/>
  <c r="AH19" i="10"/>
  <c r="AI19" i="10"/>
  <c r="AJ19" i="10"/>
  <c r="AD20" i="10"/>
  <c r="AE20" i="10"/>
  <c r="AF20" i="10"/>
  <c r="AH20" i="10"/>
  <c r="AI20" i="10"/>
  <c r="AJ20" i="10"/>
  <c r="AD21" i="10"/>
  <c r="AE21" i="10"/>
  <c r="AF21" i="10"/>
  <c r="AH21" i="10"/>
  <c r="AI21" i="10"/>
  <c r="AJ21" i="10"/>
  <c r="AD22" i="10"/>
  <c r="AE22" i="10"/>
  <c r="AF22" i="10"/>
  <c r="AH22" i="10"/>
  <c r="AI22" i="10"/>
  <c r="AJ22" i="10"/>
  <c r="AD23" i="10"/>
  <c r="AE23" i="10"/>
  <c r="AF23" i="10"/>
  <c r="AG23" i="10"/>
  <c r="AH23" i="10"/>
  <c r="AI23" i="10"/>
  <c r="AJ23" i="10"/>
  <c r="AE4" i="10"/>
  <c r="AF4" i="10"/>
  <c r="AG4" i="10"/>
  <c r="AH4" i="10"/>
  <c r="AI4" i="10"/>
  <c r="AJ4" i="10"/>
  <c r="AB23" i="10"/>
  <c r="AA7" i="10"/>
  <c r="AA22" i="10"/>
  <c r="AA23" i="10"/>
  <c r="A7" i="10"/>
  <c r="B7" i="10"/>
  <c r="D7" i="10"/>
  <c r="E7" i="10"/>
  <c r="H7" i="10"/>
  <c r="I7" i="10"/>
  <c r="K7" i="10" s="1"/>
  <c r="J7" i="10"/>
  <c r="M7" i="10"/>
  <c r="N7" i="10"/>
  <c r="O7" i="10"/>
  <c r="P7" i="10"/>
  <c r="Q7" i="10"/>
  <c r="R7" i="10"/>
  <c r="S7" i="10"/>
  <c r="A8" i="10"/>
  <c r="B8" i="10"/>
  <c r="D8" i="10"/>
  <c r="E8" i="10"/>
  <c r="H8" i="10"/>
  <c r="I8" i="10"/>
  <c r="K8" i="10" s="1"/>
  <c r="J8" i="10"/>
  <c r="M8" i="10"/>
  <c r="N8" i="10"/>
  <c r="O8" i="10"/>
  <c r="P8" i="10"/>
  <c r="Q8" i="10"/>
  <c r="R8" i="10"/>
  <c r="S8" i="10"/>
  <c r="A9" i="10"/>
  <c r="B9" i="10"/>
  <c r="D9" i="10"/>
  <c r="E9" i="10"/>
  <c r="H9" i="10"/>
  <c r="I9" i="10"/>
  <c r="K9" i="10" s="1"/>
  <c r="J9" i="10"/>
  <c r="M9" i="10"/>
  <c r="N9" i="10"/>
  <c r="O9" i="10"/>
  <c r="P9" i="10"/>
  <c r="Q9" i="10"/>
  <c r="R9" i="10"/>
  <c r="S9" i="10"/>
  <c r="A10" i="10"/>
  <c r="B10" i="10"/>
  <c r="D10" i="10"/>
  <c r="E10" i="10"/>
  <c r="H10" i="10"/>
  <c r="I10" i="10"/>
  <c r="K10" i="10" s="1"/>
  <c r="J10" i="10"/>
  <c r="M10" i="10"/>
  <c r="N10" i="10"/>
  <c r="O10" i="10"/>
  <c r="P10" i="10"/>
  <c r="Q10" i="10"/>
  <c r="R10" i="10"/>
  <c r="S10" i="10"/>
  <c r="A11" i="10"/>
  <c r="B11" i="10"/>
  <c r="D11" i="10"/>
  <c r="E11" i="10"/>
  <c r="H11" i="10"/>
  <c r="I11" i="10"/>
  <c r="K11" i="10" s="1"/>
  <c r="J11" i="10"/>
  <c r="M11" i="10"/>
  <c r="N11" i="10"/>
  <c r="O11" i="10"/>
  <c r="P11" i="10"/>
  <c r="Q11" i="10"/>
  <c r="R11" i="10"/>
  <c r="S11" i="10"/>
  <c r="A12" i="10"/>
  <c r="B12" i="10"/>
  <c r="D12" i="10"/>
  <c r="E12" i="10"/>
  <c r="H12" i="10"/>
  <c r="I12" i="10"/>
  <c r="J12" i="10"/>
  <c r="M12" i="10"/>
  <c r="N12" i="10"/>
  <c r="O12" i="10"/>
  <c r="P12" i="10"/>
  <c r="Q12" i="10"/>
  <c r="R12" i="10"/>
  <c r="S12" i="10"/>
  <c r="A13" i="10"/>
  <c r="B13" i="10"/>
  <c r="D13" i="10"/>
  <c r="E13" i="10"/>
  <c r="H13" i="10"/>
  <c r="I13" i="10"/>
  <c r="K13" i="10" s="1"/>
  <c r="J13" i="10"/>
  <c r="M13" i="10"/>
  <c r="N13" i="10"/>
  <c r="O13" i="10"/>
  <c r="P13" i="10"/>
  <c r="Q13" i="10"/>
  <c r="R13" i="10"/>
  <c r="S13" i="10"/>
  <c r="A14" i="10"/>
  <c r="B14" i="10"/>
  <c r="D14" i="10"/>
  <c r="E14" i="10"/>
  <c r="H14" i="10"/>
  <c r="I14" i="10"/>
  <c r="J14" i="10"/>
  <c r="M14" i="10"/>
  <c r="N14" i="10"/>
  <c r="O14" i="10"/>
  <c r="P14" i="10"/>
  <c r="Q14" i="10"/>
  <c r="R14" i="10"/>
  <c r="S14" i="10"/>
  <c r="A15" i="10"/>
  <c r="B15" i="10"/>
  <c r="D15" i="10"/>
  <c r="E15" i="10"/>
  <c r="H15" i="10"/>
  <c r="I15" i="10"/>
  <c r="K15" i="10" s="1"/>
  <c r="J15" i="10"/>
  <c r="M15" i="10"/>
  <c r="N15" i="10"/>
  <c r="O15" i="10"/>
  <c r="P15" i="10"/>
  <c r="Q15" i="10"/>
  <c r="R15" i="10"/>
  <c r="S15" i="10"/>
  <c r="A16" i="10"/>
  <c r="B16" i="10"/>
  <c r="D16" i="10"/>
  <c r="E16" i="10"/>
  <c r="H16" i="10"/>
  <c r="I16" i="10"/>
  <c r="K16" i="10" s="1"/>
  <c r="J16" i="10"/>
  <c r="M16" i="10"/>
  <c r="N16" i="10"/>
  <c r="O16" i="10"/>
  <c r="P16" i="10"/>
  <c r="Q16" i="10"/>
  <c r="R16" i="10"/>
  <c r="S16" i="10"/>
  <c r="A17" i="10"/>
  <c r="B17" i="10"/>
  <c r="D17" i="10"/>
  <c r="E17" i="10"/>
  <c r="H17" i="10"/>
  <c r="I17" i="10"/>
  <c r="K17" i="10" s="1"/>
  <c r="J17" i="10"/>
  <c r="M17" i="10"/>
  <c r="N17" i="10"/>
  <c r="O17" i="10"/>
  <c r="P17" i="10"/>
  <c r="Q17" i="10"/>
  <c r="R17" i="10"/>
  <c r="S17" i="10"/>
  <c r="A18" i="10"/>
  <c r="B18" i="10"/>
  <c r="D18" i="10"/>
  <c r="E18" i="10"/>
  <c r="H18" i="10"/>
  <c r="I18" i="10"/>
  <c r="K18" i="10" s="1"/>
  <c r="J18" i="10"/>
  <c r="M18" i="10"/>
  <c r="N18" i="10"/>
  <c r="O18" i="10"/>
  <c r="P18" i="10"/>
  <c r="Q18" i="10"/>
  <c r="R18" i="10"/>
  <c r="S18" i="10"/>
  <c r="A19" i="10"/>
  <c r="B19" i="10"/>
  <c r="D19" i="10"/>
  <c r="E19" i="10"/>
  <c r="H19" i="10"/>
  <c r="I19" i="10"/>
  <c r="J19" i="10"/>
  <c r="M19" i="10"/>
  <c r="N19" i="10"/>
  <c r="O19" i="10"/>
  <c r="P19" i="10"/>
  <c r="Q19" i="10"/>
  <c r="R19" i="10"/>
  <c r="S19" i="10"/>
  <c r="A20" i="10"/>
  <c r="B20" i="10"/>
  <c r="D20" i="10"/>
  <c r="E20" i="10"/>
  <c r="H20" i="10"/>
  <c r="I20" i="10"/>
  <c r="K20" i="10" s="1"/>
  <c r="J20" i="10"/>
  <c r="M20" i="10"/>
  <c r="N20" i="10"/>
  <c r="O20" i="10"/>
  <c r="P20" i="10"/>
  <c r="Q20" i="10"/>
  <c r="R20" i="10"/>
  <c r="S20" i="10"/>
  <c r="A21" i="10"/>
  <c r="B21" i="10"/>
  <c r="D21" i="10"/>
  <c r="E21" i="10"/>
  <c r="H21" i="10"/>
  <c r="I21" i="10"/>
  <c r="K21" i="10" s="1"/>
  <c r="J21" i="10"/>
  <c r="M21" i="10"/>
  <c r="N21" i="10"/>
  <c r="O21" i="10"/>
  <c r="P21" i="10"/>
  <c r="Q21" i="10"/>
  <c r="R21" i="10"/>
  <c r="S21" i="10"/>
  <c r="A22" i="10"/>
  <c r="B22" i="10"/>
  <c r="D22" i="10"/>
  <c r="E22" i="10"/>
  <c r="H22" i="10"/>
  <c r="I22" i="10"/>
  <c r="K22" i="10" s="1"/>
  <c r="J22" i="10"/>
  <c r="M22" i="10"/>
  <c r="N22" i="10"/>
  <c r="O22" i="10"/>
  <c r="P22" i="10"/>
  <c r="AG22" i="10" s="1"/>
  <c r="Q22" i="10"/>
  <c r="R22" i="10"/>
  <c r="S22" i="10"/>
  <c r="A23" i="10"/>
  <c r="B23" i="10"/>
  <c r="C23" i="10"/>
  <c r="D23" i="10"/>
  <c r="E23" i="10"/>
  <c r="F23" i="10"/>
  <c r="H23" i="10"/>
  <c r="I23" i="10"/>
  <c r="K23" i="10" s="1"/>
  <c r="J23" i="10"/>
  <c r="M23" i="10"/>
  <c r="N23" i="10"/>
  <c r="O23" i="10"/>
  <c r="P23" i="10"/>
  <c r="Q23" i="10"/>
  <c r="R23" i="10"/>
  <c r="S23" i="10"/>
  <c r="A4" i="10"/>
  <c r="B4" i="10"/>
  <c r="D4" i="10"/>
  <c r="E4" i="10"/>
  <c r="H4" i="10"/>
  <c r="I4" i="10"/>
  <c r="J4" i="10"/>
  <c r="K4" i="10"/>
  <c r="L4" i="10"/>
  <c r="M4" i="10"/>
  <c r="N4" i="10"/>
  <c r="O4" i="10"/>
  <c r="P4" i="10"/>
  <c r="Q4" i="10"/>
  <c r="R4" i="10"/>
  <c r="S4" i="10"/>
  <c r="AC4" i="10"/>
  <c r="AD4" i="10"/>
  <c r="A5" i="10"/>
  <c r="B5" i="10"/>
  <c r="D5" i="10"/>
  <c r="E5" i="10"/>
  <c r="H5" i="10"/>
  <c r="L5" i="10" s="1"/>
  <c r="I5" i="10"/>
  <c r="J5" i="10"/>
  <c r="K5" i="10"/>
  <c r="M5" i="10"/>
  <c r="N5" i="10"/>
  <c r="O5" i="10"/>
  <c r="P5" i="10"/>
  <c r="Q5" i="10"/>
  <c r="R5" i="10"/>
  <c r="S5" i="10"/>
  <c r="AC5" i="10"/>
  <c r="CE19" i="3"/>
  <c r="CC19" i="3"/>
  <c r="CB19" i="3"/>
  <c r="BZ19" i="3"/>
  <c r="BY19" i="3"/>
  <c r="BX19" i="3"/>
  <c r="BW19" i="3"/>
  <c r="BV19" i="3"/>
  <c r="BU19" i="3"/>
  <c r="BT19" i="3"/>
  <c r="BS19" i="3"/>
  <c r="BR19" i="3"/>
  <c r="BQ19" i="3"/>
  <c r="BP19" i="3"/>
  <c r="BO19" i="3"/>
  <c r="BN19" i="3"/>
  <c r="BM19" i="3"/>
  <c r="BL19" i="3"/>
  <c r="BK19" i="3"/>
  <c r="BJ19" i="3"/>
  <c r="BI19" i="3"/>
  <c r="BH19" i="3"/>
  <c r="BG19" i="3"/>
  <c r="BF19" i="3"/>
  <c r="BE19" i="3"/>
  <c r="BD19" i="3"/>
  <c r="BB19" i="3"/>
  <c r="BA19" i="3"/>
  <c r="AZ19" i="3"/>
  <c r="AX19" i="3"/>
  <c r="AW19" i="3"/>
  <c r="AU19" i="3"/>
  <c r="AT19" i="3"/>
  <c r="AS19" i="3"/>
  <c r="AQ19" i="3"/>
  <c r="AP19" i="3"/>
  <c r="AO19" i="3"/>
  <c r="AN19" i="3"/>
  <c r="AM19" i="3"/>
  <c r="AL19" i="3"/>
  <c r="AK19" i="3"/>
  <c r="AJ19" i="3"/>
  <c r="AI19" i="3"/>
  <c r="AH19" i="3"/>
  <c r="AG19" i="3"/>
  <c r="AE19" i="3"/>
  <c r="AD19" i="3"/>
  <c r="AC19" i="3"/>
  <c r="AA19" i="3"/>
  <c r="Z19" i="3"/>
  <c r="A3" i="3"/>
  <c r="B3" i="3"/>
  <c r="E3" i="3"/>
  <c r="F3" i="3"/>
  <c r="G3" i="3" s="1"/>
  <c r="H3" i="3"/>
  <c r="I3" i="3"/>
  <c r="AA3" i="3" s="1"/>
  <c r="J3" i="3"/>
  <c r="K3" i="3"/>
  <c r="L3" i="3"/>
  <c r="M3" i="3"/>
  <c r="N3" i="3"/>
  <c r="O3" i="3"/>
  <c r="P3" i="3"/>
  <c r="Q3" i="3"/>
  <c r="T3" i="3" s="1"/>
  <c r="R3" i="3"/>
  <c r="A4" i="3"/>
  <c r="B4" i="3"/>
  <c r="E4" i="3"/>
  <c r="F4" i="3"/>
  <c r="G4" i="3"/>
  <c r="H4" i="3"/>
  <c r="J4" i="3"/>
  <c r="K4" i="3"/>
  <c r="L4" i="3"/>
  <c r="M4" i="3"/>
  <c r="N4" i="3"/>
  <c r="O4" i="3"/>
  <c r="R4" i="3" s="1"/>
  <c r="P4" i="3"/>
  <c r="S4" i="3" s="1"/>
  <c r="Q4" i="3"/>
  <c r="T4" i="3" s="1"/>
  <c r="A6" i="3"/>
  <c r="B6" i="3"/>
  <c r="E6" i="3"/>
  <c r="F6" i="3"/>
  <c r="G6" i="3" s="1"/>
  <c r="H6" i="3"/>
  <c r="I6" i="3"/>
  <c r="Z6" i="3" s="1"/>
  <c r="J6" i="3"/>
  <c r="K6" i="3"/>
  <c r="L6" i="3"/>
  <c r="M6" i="3"/>
  <c r="N6" i="3"/>
  <c r="O6" i="3"/>
  <c r="P6" i="3"/>
  <c r="Q6" i="3"/>
  <c r="T6" i="3" s="1"/>
  <c r="R6" i="3"/>
  <c r="A7" i="3"/>
  <c r="B7" i="3"/>
  <c r="E7" i="3"/>
  <c r="F7" i="3"/>
  <c r="H7" i="3" s="1"/>
  <c r="G7" i="3"/>
  <c r="J7" i="3"/>
  <c r="K7" i="3"/>
  <c r="L7" i="3"/>
  <c r="M7" i="3"/>
  <c r="N7" i="3"/>
  <c r="O7" i="3"/>
  <c r="R7" i="3" s="1"/>
  <c r="P7" i="3"/>
  <c r="Q7" i="3"/>
  <c r="S7" i="3" s="1"/>
  <c r="A8" i="3"/>
  <c r="B8" i="3"/>
  <c r="D8" i="3"/>
  <c r="E8" i="3"/>
  <c r="F8" i="3"/>
  <c r="G8" i="3" s="1"/>
  <c r="J8" i="3"/>
  <c r="K8" i="3"/>
  <c r="L8" i="3"/>
  <c r="M8" i="3"/>
  <c r="N8" i="3"/>
  <c r="O8" i="3"/>
  <c r="R8" i="3" s="1"/>
  <c r="P8" i="3"/>
  <c r="Q8" i="3"/>
  <c r="S8" i="3"/>
  <c r="T8" i="3"/>
  <c r="A9" i="3"/>
  <c r="B9" i="3"/>
  <c r="D9" i="3"/>
  <c r="E9" i="3"/>
  <c r="F9" i="3"/>
  <c r="G9" i="3" s="1"/>
  <c r="H9" i="3"/>
  <c r="I9" i="3"/>
  <c r="Z9" i="3" s="1"/>
  <c r="J9" i="3"/>
  <c r="K9" i="3"/>
  <c r="L9" i="3"/>
  <c r="M9" i="3"/>
  <c r="N9" i="3"/>
  <c r="O9" i="3"/>
  <c r="P9" i="3"/>
  <c r="Q9" i="3"/>
  <c r="A10" i="3"/>
  <c r="B10" i="3"/>
  <c r="D10" i="3"/>
  <c r="E10" i="3"/>
  <c r="F10" i="3"/>
  <c r="G10" i="3" s="1"/>
  <c r="J10" i="3"/>
  <c r="K10" i="3"/>
  <c r="L10" i="3"/>
  <c r="M10" i="3"/>
  <c r="N10" i="3"/>
  <c r="O10" i="3"/>
  <c r="P10" i="3"/>
  <c r="S10" i="3" s="1"/>
  <c r="Q10" i="3"/>
  <c r="A11" i="3"/>
  <c r="B11" i="3"/>
  <c r="D11" i="3"/>
  <c r="E11" i="3"/>
  <c r="F11" i="3"/>
  <c r="G11" i="3" s="1"/>
  <c r="J11" i="3"/>
  <c r="K11" i="3"/>
  <c r="L11" i="3"/>
  <c r="M11" i="3"/>
  <c r="N11" i="3"/>
  <c r="O11" i="3"/>
  <c r="R11" i="3" s="1"/>
  <c r="P11" i="3"/>
  <c r="Q11" i="3"/>
  <c r="T11" i="3" s="1"/>
  <c r="A12" i="3"/>
  <c r="B12" i="3"/>
  <c r="D12" i="3"/>
  <c r="E12" i="3"/>
  <c r="I12" i="3" s="1"/>
  <c r="Z12" i="3" s="1"/>
  <c r="F12" i="3"/>
  <c r="G12" i="3" s="1"/>
  <c r="J12" i="3"/>
  <c r="K12" i="3"/>
  <c r="L12" i="3"/>
  <c r="M12" i="3"/>
  <c r="N12" i="3"/>
  <c r="O12" i="3"/>
  <c r="P12" i="3"/>
  <c r="S12" i="3" s="1"/>
  <c r="Q12" i="3"/>
  <c r="A13" i="3"/>
  <c r="B13" i="3"/>
  <c r="D13" i="3"/>
  <c r="E13" i="3"/>
  <c r="F13" i="3"/>
  <c r="G13" i="3" s="1"/>
  <c r="J13" i="3"/>
  <c r="K13" i="3"/>
  <c r="L13" i="3"/>
  <c r="M13" i="3"/>
  <c r="N13" i="3"/>
  <c r="O13" i="3"/>
  <c r="P13" i="3"/>
  <c r="Q13" i="3"/>
  <c r="S13" i="3" s="1"/>
  <c r="A14" i="3"/>
  <c r="B14" i="3"/>
  <c r="D14" i="3"/>
  <c r="E14" i="3"/>
  <c r="F14" i="3"/>
  <c r="G14" i="3" s="1"/>
  <c r="J14" i="3"/>
  <c r="K14" i="3"/>
  <c r="L14" i="3"/>
  <c r="M14" i="3"/>
  <c r="N14" i="3"/>
  <c r="O14" i="3"/>
  <c r="R14" i="3" s="1"/>
  <c r="P14" i="3"/>
  <c r="Q14" i="3"/>
  <c r="T14" i="3"/>
  <c r="A15" i="3"/>
  <c r="B15" i="3"/>
  <c r="D15" i="3"/>
  <c r="E15" i="3"/>
  <c r="F15" i="3"/>
  <c r="H15" i="3" s="1"/>
  <c r="J15" i="3"/>
  <c r="K15" i="3"/>
  <c r="L15" i="3"/>
  <c r="M15" i="3"/>
  <c r="N15" i="3"/>
  <c r="O15" i="3"/>
  <c r="P15" i="3"/>
  <c r="S15" i="3" s="1"/>
  <c r="Q15" i="3"/>
  <c r="A16" i="3"/>
  <c r="B16" i="3"/>
  <c r="D16" i="3"/>
  <c r="E16" i="3"/>
  <c r="F16" i="3"/>
  <c r="H16" i="3" s="1"/>
  <c r="G16" i="3"/>
  <c r="I16" i="3"/>
  <c r="Z16" i="3" s="1"/>
  <c r="J16" i="3"/>
  <c r="K16" i="3"/>
  <c r="L16" i="3"/>
  <c r="M16" i="3"/>
  <c r="N16" i="3"/>
  <c r="O16" i="3"/>
  <c r="R16" i="3" s="1"/>
  <c r="P16" i="3"/>
  <c r="Q16" i="3"/>
  <c r="A17" i="3"/>
  <c r="B17" i="3"/>
  <c r="E17" i="3"/>
  <c r="F17" i="3"/>
  <c r="G17" i="3" s="1"/>
  <c r="J17" i="3"/>
  <c r="K17" i="3"/>
  <c r="L17" i="3"/>
  <c r="M17" i="3"/>
  <c r="N17" i="3"/>
  <c r="O17" i="3"/>
  <c r="P17" i="3"/>
  <c r="S17" i="3" s="1"/>
  <c r="Q17" i="3"/>
  <c r="A18" i="3"/>
  <c r="B18" i="3"/>
  <c r="D18" i="3"/>
  <c r="E18" i="3"/>
  <c r="F18" i="3"/>
  <c r="H18" i="3" s="1"/>
  <c r="J18" i="3"/>
  <c r="K18" i="3"/>
  <c r="L18" i="3"/>
  <c r="M18" i="3"/>
  <c r="N18" i="3"/>
  <c r="O18" i="3"/>
  <c r="P18" i="3"/>
  <c r="S18" i="3" s="1"/>
  <c r="Q18" i="3"/>
  <c r="A19" i="3"/>
  <c r="B19" i="3"/>
  <c r="D19" i="3"/>
  <c r="E19" i="3"/>
  <c r="F19" i="3"/>
  <c r="G19" i="3" s="1"/>
  <c r="J19" i="3"/>
  <c r="K19" i="3"/>
  <c r="X19" i="3" s="1"/>
  <c r="L19" i="3"/>
  <c r="M19" i="3"/>
  <c r="N19" i="3"/>
  <c r="O19" i="3"/>
  <c r="R19" i="3" s="1"/>
  <c r="P19" i="3"/>
  <c r="Q19" i="3"/>
  <c r="A20" i="3"/>
  <c r="B20" i="3"/>
  <c r="D20" i="3"/>
  <c r="E20" i="3"/>
  <c r="F20" i="3"/>
  <c r="H20" i="3" s="1"/>
  <c r="G20" i="3"/>
  <c r="I20" i="3"/>
  <c r="Z20" i="3" s="1"/>
  <c r="J20" i="3"/>
  <c r="K20" i="3"/>
  <c r="L20" i="3"/>
  <c r="M20" i="3"/>
  <c r="N20" i="3"/>
  <c r="O20" i="3"/>
  <c r="P20" i="3"/>
  <c r="S20" i="3" s="1"/>
  <c r="Q20" i="3"/>
  <c r="A21" i="3"/>
  <c r="B21" i="3"/>
  <c r="E21" i="3"/>
  <c r="F21" i="3"/>
  <c r="G21" i="3" s="1"/>
  <c r="J21" i="3"/>
  <c r="K21" i="3"/>
  <c r="L21" i="3"/>
  <c r="R21" i="3" s="1"/>
  <c r="M21" i="3"/>
  <c r="N21" i="3"/>
  <c r="O21" i="3"/>
  <c r="P21" i="3"/>
  <c r="S21" i="3" s="1"/>
  <c r="Q21" i="3"/>
  <c r="U19" i="3" l="1"/>
  <c r="V19" i="3" s="1"/>
  <c r="H13" i="3"/>
  <c r="AP29" i="23"/>
  <c r="AP31" i="23"/>
  <c r="AP49" i="23"/>
  <c r="AP36" i="23"/>
  <c r="AP38" i="23"/>
  <c r="AP43" i="23"/>
  <c r="V37" i="23"/>
  <c r="V62" i="23"/>
  <c r="AP62" i="23"/>
  <c r="AP41" i="23"/>
  <c r="AP30" i="23"/>
  <c r="AP47" i="23"/>
  <c r="V39" i="23"/>
  <c r="AP60" i="23"/>
  <c r="V60" i="23"/>
  <c r="V47" i="23"/>
  <c r="AP33" i="23"/>
  <c r="AP34" i="23"/>
  <c r="V53" i="23"/>
  <c r="AP53" i="23"/>
  <c r="V55" i="23"/>
  <c r="AP55" i="23"/>
  <c r="AP40" i="23"/>
  <c r="K12" i="10"/>
  <c r="K19" i="10"/>
  <c r="K14" i="10"/>
  <c r="AC23" i="10"/>
  <c r="L23" i="10"/>
  <c r="AC22" i="10"/>
  <c r="L22" i="10"/>
  <c r="AC21" i="10"/>
  <c r="L21" i="10"/>
  <c r="AC20" i="10"/>
  <c r="L20" i="10"/>
  <c r="AC19" i="10"/>
  <c r="L19" i="10"/>
  <c r="AC18" i="10"/>
  <c r="L18" i="10"/>
  <c r="AC17" i="10"/>
  <c r="L17" i="10"/>
  <c r="AC16" i="10"/>
  <c r="L16" i="10"/>
  <c r="AC15" i="10"/>
  <c r="L15" i="10"/>
  <c r="AC14" i="10"/>
  <c r="L14" i="10"/>
  <c r="AC13" i="10"/>
  <c r="L13" i="10"/>
  <c r="AC12" i="10"/>
  <c r="L12" i="10"/>
  <c r="AC11" i="10"/>
  <c r="L11" i="10"/>
  <c r="AC10" i="10"/>
  <c r="L10" i="10"/>
  <c r="AC9" i="10"/>
  <c r="L9" i="10"/>
  <c r="AC8" i="10"/>
  <c r="L8" i="10"/>
  <c r="AC7" i="10"/>
  <c r="L7" i="10"/>
  <c r="CE20" i="3"/>
  <c r="CE9" i="3"/>
  <c r="CE16" i="3"/>
  <c r="CE12" i="3"/>
  <c r="CE3" i="3"/>
  <c r="CE6" i="3"/>
  <c r="CC9" i="3"/>
  <c r="CC16" i="3"/>
  <c r="CC3" i="3"/>
  <c r="CC6" i="3"/>
  <c r="CC20" i="3"/>
  <c r="CC12" i="3"/>
  <c r="CB9" i="3"/>
  <c r="CD9" i="3" s="1"/>
  <c r="CB16" i="3"/>
  <c r="CD16" i="3" s="1"/>
  <c r="CB6" i="3"/>
  <c r="CD6" i="3" s="1"/>
  <c r="CB20" i="3"/>
  <c r="CD20" i="3" s="1"/>
  <c r="CB12" i="3"/>
  <c r="CD12" i="3" s="1"/>
  <c r="CB3" i="3"/>
  <c r="CD3" i="3" s="1"/>
  <c r="BZ9" i="3"/>
  <c r="BZ20" i="3"/>
  <c r="BZ16" i="3"/>
  <c r="BZ12" i="3"/>
  <c r="BY6" i="3"/>
  <c r="CA6" i="3" s="1"/>
  <c r="BZ3" i="3"/>
  <c r="BZ6" i="3"/>
  <c r="BX12" i="3"/>
  <c r="BY20" i="3"/>
  <c r="CA20" i="3" s="1"/>
  <c r="BY12" i="3"/>
  <c r="CA12" i="3" s="1"/>
  <c r="BY9" i="3"/>
  <c r="CA9" i="3" s="1"/>
  <c r="BY16" i="3"/>
  <c r="CA16" i="3" s="1"/>
  <c r="BY3" i="3"/>
  <c r="CA3" i="3" s="1"/>
  <c r="BX9" i="3"/>
  <c r="BX16" i="3"/>
  <c r="BX20" i="3"/>
  <c r="BX3" i="3"/>
  <c r="BX6" i="3"/>
  <c r="BW12" i="3"/>
  <c r="BW20" i="3"/>
  <c r="BW16" i="3"/>
  <c r="BW9" i="3"/>
  <c r="BW6" i="3"/>
  <c r="BW3" i="3"/>
  <c r="BV9" i="3"/>
  <c r="BV16" i="3"/>
  <c r="BV6" i="3"/>
  <c r="BV20" i="3"/>
  <c r="BV12" i="3"/>
  <c r="BV3" i="3"/>
  <c r="BU9" i="3"/>
  <c r="BU16" i="3"/>
  <c r="BU6" i="3"/>
  <c r="BU20" i="3"/>
  <c r="BU12" i="3"/>
  <c r="BU3" i="3"/>
  <c r="BT9" i="3"/>
  <c r="BT16" i="3"/>
  <c r="BT6" i="3"/>
  <c r="BT20" i="3"/>
  <c r="BT12" i="3"/>
  <c r="BT3" i="3"/>
  <c r="BS9" i="3"/>
  <c r="BR3" i="3"/>
  <c r="BS16" i="3"/>
  <c r="BS3" i="3"/>
  <c r="BS6" i="3"/>
  <c r="BS20" i="3"/>
  <c r="BS12" i="3"/>
  <c r="BR9" i="3"/>
  <c r="BR16" i="3"/>
  <c r="BR6" i="3"/>
  <c r="BR20" i="3"/>
  <c r="BR12" i="3"/>
  <c r="BQ9" i="3"/>
  <c r="BQ16" i="3"/>
  <c r="BQ6" i="3"/>
  <c r="BQ20" i="3"/>
  <c r="BQ12" i="3"/>
  <c r="BQ3" i="3"/>
  <c r="BP9" i="3"/>
  <c r="BP16" i="3"/>
  <c r="BP6" i="3"/>
  <c r="BP20" i="3"/>
  <c r="BP12" i="3"/>
  <c r="BP3" i="3"/>
  <c r="BO9" i="3"/>
  <c r="BO16" i="3"/>
  <c r="BO6" i="3"/>
  <c r="BO20" i="3"/>
  <c r="BO12" i="3"/>
  <c r="BO3" i="3"/>
  <c r="BN9" i="3"/>
  <c r="BN16" i="3"/>
  <c r="BN6" i="3"/>
  <c r="BN20" i="3"/>
  <c r="BN12" i="3"/>
  <c r="BM20" i="3"/>
  <c r="BM12" i="3"/>
  <c r="BN3" i="3"/>
  <c r="BM9" i="3"/>
  <c r="BM16" i="3"/>
  <c r="BM6" i="3"/>
  <c r="BL9" i="3"/>
  <c r="BM3" i="3"/>
  <c r="BL16" i="3"/>
  <c r="BL3" i="3"/>
  <c r="BL6" i="3"/>
  <c r="BL20" i="3"/>
  <c r="BL12" i="3"/>
  <c r="BK9" i="3"/>
  <c r="BK16" i="3"/>
  <c r="BK6" i="3"/>
  <c r="BK20" i="3"/>
  <c r="BK12" i="3"/>
  <c r="BK3" i="3"/>
  <c r="BJ9" i="3"/>
  <c r="BJ16" i="3"/>
  <c r="BI6" i="3"/>
  <c r="BJ6" i="3"/>
  <c r="BJ20" i="3"/>
  <c r="BJ12" i="3"/>
  <c r="BJ3" i="3"/>
  <c r="BI9" i="3"/>
  <c r="BI16" i="3"/>
  <c r="BI20" i="3"/>
  <c r="BI12" i="3"/>
  <c r="BH3" i="3"/>
  <c r="BH20" i="3"/>
  <c r="BH12" i="3"/>
  <c r="BH6" i="3"/>
  <c r="BI3" i="3"/>
  <c r="BH9" i="3"/>
  <c r="BH16" i="3"/>
  <c r="BG9" i="3"/>
  <c r="BG16" i="3"/>
  <c r="BG6" i="3"/>
  <c r="BG20" i="3"/>
  <c r="BG12" i="3"/>
  <c r="BG3" i="3"/>
  <c r="BF9" i="3"/>
  <c r="BF16" i="3"/>
  <c r="BF6" i="3"/>
  <c r="BF20" i="3"/>
  <c r="BF12" i="3"/>
  <c r="BF3" i="3"/>
  <c r="BE9" i="3"/>
  <c r="BE16" i="3"/>
  <c r="BE6" i="3"/>
  <c r="BE20" i="3"/>
  <c r="BE12" i="3"/>
  <c r="BE3" i="3"/>
  <c r="BD9" i="3"/>
  <c r="BD16" i="3"/>
  <c r="BD3" i="3"/>
  <c r="BD6" i="3"/>
  <c r="BD20" i="3"/>
  <c r="BD12" i="3"/>
  <c r="BB9" i="3"/>
  <c r="BB16" i="3"/>
  <c r="BB6" i="3"/>
  <c r="BB20" i="3"/>
  <c r="BB12" i="3"/>
  <c r="BB3" i="3"/>
  <c r="BA9" i="3"/>
  <c r="BC9" i="3" s="1"/>
  <c r="BA16" i="3"/>
  <c r="BC16" i="3" s="1"/>
  <c r="BA6" i="3"/>
  <c r="BC6" i="3" s="1"/>
  <c r="BA20" i="3"/>
  <c r="BC20" i="3" s="1"/>
  <c r="BA12" i="3"/>
  <c r="BC12" i="3" s="1"/>
  <c r="BA3" i="3"/>
  <c r="BC3" i="3" s="1"/>
  <c r="AZ9" i="3"/>
  <c r="AZ16" i="3"/>
  <c r="AZ3" i="3"/>
  <c r="AZ6" i="3"/>
  <c r="AZ20" i="3"/>
  <c r="AZ12" i="3"/>
  <c r="AX9" i="3"/>
  <c r="AX16" i="3"/>
  <c r="AX6" i="3"/>
  <c r="AX20" i="3"/>
  <c r="AX12" i="3"/>
  <c r="AX3" i="3"/>
  <c r="AW9" i="3"/>
  <c r="AY9" i="3" s="1"/>
  <c r="AW16" i="3"/>
  <c r="AY16" i="3" s="1"/>
  <c r="AW3" i="3"/>
  <c r="AY3" i="3" s="1"/>
  <c r="AW6" i="3"/>
  <c r="AY6" i="3" s="1"/>
  <c r="AW20" i="3"/>
  <c r="AY20" i="3" s="1"/>
  <c r="AW12" i="3"/>
  <c r="AY12" i="3" s="1"/>
  <c r="AU20" i="3"/>
  <c r="AU12" i="3"/>
  <c r="AU9" i="3"/>
  <c r="AU16" i="3"/>
  <c r="AU6" i="3"/>
  <c r="AU3" i="3"/>
  <c r="AT9" i="3"/>
  <c r="AV9" i="3" s="1"/>
  <c r="AT16" i="3"/>
  <c r="AV16" i="3" s="1"/>
  <c r="AS6" i="3"/>
  <c r="AT6" i="3"/>
  <c r="AV6" i="3" s="1"/>
  <c r="AT20" i="3"/>
  <c r="AV20" i="3" s="1"/>
  <c r="AT12" i="3"/>
  <c r="AV12" i="3" s="1"/>
  <c r="AT3" i="3"/>
  <c r="AV3" i="3" s="1"/>
  <c r="AS9" i="3"/>
  <c r="AS16" i="3"/>
  <c r="AS20" i="3"/>
  <c r="AS12" i="3"/>
  <c r="AQ16" i="3"/>
  <c r="AQ12" i="3"/>
  <c r="AS3" i="3"/>
  <c r="AQ9" i="3"/>
  <c r="AQ6" i="3"/>
  <c r="AQ20" i="3"/>
  <c r="AQ3" i="3"/>
  <c r="AP9" i="3"/>
  <c r="AR9" i="3" s="1"/>
  <c r="AP16" i="3"/>
  <c r="AR16" i="3" s="1"/>
  <c r="AO9" i="3"/>
  <c r="AP3" i="3"/>
  <c r="AR3" i="3" s="1"/>
  <c r="AP6" i="3"/>
  <c r="AR6" i="3" s="1"/>
  <c r="AP20" i="3"/>
  <c r="AR20" i="3" s="1"/>
  <c r="AP12" i="3"/>
  <c r="AR12" i="3" s="1"/>
  <c r="AO20" i="3"/>
  <c r="AO16" i="3"/>
  <c r="AN9" i="3"/>
  <c r="AO3" i="3"/>
  <c r="AO6" i="3"/>
  <c r="AO12" i="3"/>
  <c r="AN16" i="3"/>
  <c r="AN3" i="3"/>
  <c r="AN6" i="3"/>
  <c r="AN20" i="3"/>
  <c r="AN12" i="3"/>
  <c r="AM16" i="3"/>
  <c r="AM9" i="3"/>
  <c r="AM6" i="3"/>
  <c r="AM20" i="3"/>
  <c r="AM12" i="3"/>
  <c r="AM3" i="3"/>
  <c r="AL9" i="3"/>
  <c r="AL16" i="3"/>
  <c r="AL6" i="3"/>
  <c r="AL20" i="3"/>
  <c r="AL12" i="3"/>
  <c r="AL3" i="3"/>
  <c r="AK9" i="3"/>
  <c r="AK16" i="3"/>
  <c r="AJ12" i="3"/>
  <c r="AJ9" i="3"/>
  <c r="AK6" i="3"/>
  <c r="AK20" i="3"/>
  <c r="AK12" i="3"/>
  <c r="AJ20" i="3"/>
  <c r="AK3" i="3"/>
  <c r="AJ16" i="3"/>
  <c r="AJ3" i="3"/>
  <c r="AJ6" i="3"/>
  <c r="AI9" i="3"/>
  <c r="AI16" i="3"/>
  <c r="AH12" i="3"/>
  <c r="AI3" i="3"/>
  <c r="AI6" i="3"/>
  <c r="AI20" i="3"/>
  <c r="AI12" i="3"/>
  <c r="AH9" i="3"/>
  <c r="AH16" i="3"/>
  <c r="AH6" i="3"/>
  <c r="AH20" i="3"/>
  <c r="AH3" i="3"/>
  <c r="AG9" i="3"/>
  <c r="AG16" i="3"/>
  <c r="AG3" i="3"/>
  <c r="AG6" i="3"/>
  <c r="AG20" i="3"/>
  <c r="AG12" i="3"/>
  <c r="AE9" i="3"/>
  <c r="AE16" i="3"/>
  <c r="AE6" i="3"/>
  <c r="AE20" i="3"/>
  <c r="AE12" i="3"/>
  <c r="AE3" i="3"/>
  <c r="AD9" i="3"/>
  <c r="AF9" i="3" s="1"/>
  <c r="AD16" i="3"/>
  <c r="AF16" i="3" s="1"/>
  <c r="AD6" i="3"/>
  <c r="AF6" i="3" s="1"/>
  <c r="AD20" i="3"/>
  <c r="AF20" i="3" s="1"/>
  <c r="AD12" i="3"/>
  <c r="AF12" i="3" s="1"/>
  <c r="AD3" i="3"/>
  <c r="AF3" i="3" s="1"/>
  <c r="AC12" i="3"/>
  <c r="AC20" i="3"/>
  <c r="AC16" i="3"/>
  <c r="AC9" i="3"/>
  <c r="AC6" i="3"/>
  <c r="AA12" i="3"/>
  <c r="AA20" i="3"/>
  <c r="AC3" i="3"/>
  <c r="AA9" i="3"/>
  <c r="AA16" i="3"/>
  <c r="AA6" i="3"/>
  <c r="Z3" i="3"/>
  <c r="AB3" i="3" s="1"/>
  <c r="AB6" i="3"/>
  <c r="X3" i="3"/>
  <c r="W3" i="3"/>
  <c r="Y3" i="3" s="1"/>
  <c r="U3" i="3"/>
  <c r="V3" i="3" s="1"/>
  <c r="I4" i="3"/>
  <c r="CE4" i="3" s="1"/>
  <c r="S3" i="3"/>
  <c r="T20" i="3"/>
  <c r="U20" i="3"/>
  <c r="R15" i="3"/>
  <c r="R10" i="3"/>
  <c r="AF19" i="3"/>
  <c r="U12" i="3"/>
  <c r="H21" i="3"/>
  <c r="T18" i="3"/>
  <c r="I17" i="3"/>
  <c r="CE17" i="3" s="1"/>
  <c r="T15" i="3"/>
  <c r="I15" i="3"/>
  <c r="CE15" i="3" s="1"/>
  <c r="AB9" i="3"/>
  <c r="T21" i="3"/>
  <c r="G15" i="3"/>
  <c r="I14" i="3"/>
  <c r="CE14" i="3" s="1"/>
  <c r="T10" i="3"/>
  <c r="I8" i="3"/>
  <c r="CE8" i="3" s="1"/>
  <c r="I18" i="3"/>
  <c r="CE18" i="3" s="1"/>
  <c r="S16" i="3"/>
  <c r="U16" i="3"/>
  <c r="H14" i="3"/>
  <c r="H10" i="3"/>
  <c r="AY19" i="3"/>
  <c r="G18" i="3"/>
  <c r="T13" i="3"/>
  <c r="H11" i="3"/>
  <c r="W19" i="3"/>
  <c r="Y19" i="3" s="1"/>
  <c r="S9" i="3"/>
  <c r="U9" i="3"/>
  <c r="U6" i="3"/>
  <c r="X20" i="3"/>
  <c r="X12" i="3"/>
  <c r="X9" i="3"/>
  <c r="X16" i="3"/>
  <c r="X6" i="3"/>
  <c r="W20" i="3"/>
  <c r="Y20" i="3" s="1"/>
  <c r="W12" i="3"/>
  <c r="Y12" i="3" s="1"/>
  <c r="W9" i="3"/>
  <c r="Y9" i="3" s="1"/>
  <c r="W16" i="3"/>
  <c r="Y16" i="3" s="1"/>
  <c r="W6" i="3"/>
  <c r="Y6" i="3" s="1"/>
  <c r="V9" i="3"/>
  <c r="V6" i="3"/>
  <c r="V20" i="3"/>
  <c r="V16" i="3"/>
  <c r="V12" i="3"/>
  <c r="I21" i="3"/>
  <c r="CE21" i="3" s="1"/>
  <c r="R20" i="3"/>
  <c r="R9" i="3"/>
  <c r="AB20" i="3"/>
  <c r="CD19" i="3"/>
  <c r="AB19" i="3"/>
  <c r="H19" i="3"/>
  <c r="AB16" i="3"/>
  <c r="AV19" i="3"/>
  <c r="R13" i="3"/>
  <c r="R18" i="3"/>
  <c r="CA19" i="3"/>
  <c r="R17" i="3"/>
  <c r="T16" i="3"/>
  <c r="AR19" i="3"/>
  <c r="T19" i="3"/>
  <c r="T17" i="3"/>
  <c r="S14" i="3"/>
  <c r="AB12" i="3"/>
  <c r="T12" i="3"/>
  <c r="S19" i="3"/>
  <c r="H17" i="3"/>
  <c r="BC19" i="3"/>
  <c r="S6" i="3"/>
  <c r="I13" i="3"/>
  <c r="CE13" i="3" s="1"/>
  <c r="R12" i="3"/>
  <c r="S11" i="3"/>
  <c r="H12" i="3"/>
  <c r="I11" i="3"/>
  <c r="CE11" i="3" s="1"/>
  <c r="T9" i="3"/>
  <c r="I7" i="3"/>
  <c r="CE7" i="3" s="1"/>
  <c r="T7" i="3"/>
  <c r="H8" i="3"/>
  <c r="I10" i="3"/>
  <c r="CE10" i="3" s="1"/>
  <c r="A4" i="12"/>
  <c r="B4" i="12"/>
  <c r="C4" i="12"/>
  <c r="D4" i="12"/>
  <c r="E4" i="12"/>
  <c r="F4" i="12" s="1"/>
  <c r="G4" i="12"/>
  <c r="H4" i="12" s="1"/>
  <c r="J4" i="12" s="1"/>
  <c r="A5" i="12"/>
  <c r="B5" i="12"/>
  <c r="C5" i="12"/>
  <c r="D5" i="12"/>
  <c r="E5" i="12"/>
  <c r="F5" i="12"/>
  <c r="G5" i="12"/>
  <c r="H5" i="12" s="1"/>
  <c r="A6" i="12"/>
  <c r="B6" i="12"/>
  <c r="C6" i="12"/>
  <c r="G6" i="12" s="1"/>
  <c r="D6" i="12"/>
  <c r="E6" i="12" s="1"/>
  <c r="F6" i="12" s="1"/>
  <c r="A7" i="12"/>
  <c r="B7" i="12"/>
  <c r="C7" i="12"/>
  <c r="G7" i="12" s="1"/>
  <c r="H7" i="12" s="1"/>
  <c r="D7" i="12"/>
  <c r="E7" i="12" s="1"/>
  <c r="F7" i="12" s="1"/>
  <c r="A8" i="12"/>
  <c r="B8" i="12"/>
  <c r="C8" i="12"/>
  <c r="D8" i="12"/>
  <c r="E8" i="12" s="1"/>
  <c r="F8" i="12" s="1"/>
  <c r="G8" i="12"/>
  <c r="H8" i="12" s="1"/>
  <c r="A9" i="12"/>
  <c r="B9" i="12"/>
  <c r="C9" i="12"/>
  <c r="G9" i="12" s="1"/>
  <c r="D9" i="12"/>
  <c r="E9" i="12" s="1"/>
  <c r="F9" i="12" s="1"/>
  <c r="A10" i="12"/>
  <c r="B10" i="12"/>
  <c r="C10" i="12"/>
  <c r="G10" i="12" s="1"/>
  <c r="D10" i="12"/>
  <c r="E10" i="12" s="1"/>
  <c r="F10" i="12" s="1"/>
  <c r="A11" i="12"/>
  <c r="B11" i="12"/>
  <c r="C11" i="12"/>
  <c r="D11" i="12"/>
  <c r="E11" i="12" s="1"/>
  <c r="G11" i="12"/>
  <c r="H11" i="12" s="1"/>
  <c r="A12" i="12"/>
  <c r="B12" i="12"/>
  <c r="C12" i="12"/>
  <c r="D12" i="12"/>
  <c r="E12" i="12"/>
  <c r="F12" i="12" s="1"/>
  <c r="G12" i="12"/>
  <c r="H12" i="12" s="1"/>
  <c r="J12" i="12" s="1"/>
  <c r="A13" i="12"/>
  <c r="B13" i="12"/>
  <c r="C13" i="12"/>
  <c r="G13" i="12" s="1"/>
  <c r="D13" i="12"/>
  <c r="E13" i="12" s="1"/>
  <c r="F13" i="12" s="1"/>
  <c r="A14" i="12"/>
  <c r="B14" i="12"/>
  <c r="C14" i="12"/>
  <c r="G14" i="12" s="1"/>
  <c r="D14" i="12"/>
  <c r="E14" i="12" s="1"/>
  <c r="F14" i="12" s="1"/>
  <c r="A15" i="12"/>
  <c r="B15" i="12"/>
  <c r="C15" i="12"/>
  <c r="D15" i="12"/>
  <c r="E15" i="12" s="1"/>
  <c r="F15" i="12" s="1"/>
  <c r="G15" i="12"/>
  <c r="H15" i="12" s="1"/>
  <c r="A16" i="12"/>
  <c r="B16" i="12"/>
  <c r="C16" i="12"/>
  <c r="D16" i="12"/>
  <c r="E16" i="12" s="1"/>
  <c r="F16" i="12" s="1"/>
  <c r="G16" i="12"/>
  <c r="A17" i="12"/>
  <c r="B17" i="12"/>
  <c r="C17" i="12"/>
  <c r="G17" i="12" s="1"/>
  <c r="D17" i="12"/>
  <c r="E17" i="12" s="1"/>
  <c r="F17" i="12" s="1"/>
  <c r="A18" i="12"/>
  <c r="B18" i="12"/>
  <c r="C18" i="12"/>
  <c r="G18" i="12" s="1"/>
  <c r="D18" i="12"/>
  <c r="E18" i="12" s="1"/>
  <c r="F18" i="12" s="1"/>
  <c r="A19" i="12"/>
  <c r="B19" i="12"/>
  <c r="C19" i="12"/>
  <c r="D19" i="12"/>
  <c r="E19" i="12"/>
  <c r="F19" i="12" s="1"/>
  <c r="G19" i="12"/>
  <c r="H19" i="12" s="1"/>
  <c r="A20" i="12"/>
  <c r="B20" i="12"/>
  <c r="C20" i="12"/>
  <c r="D20" i="12"/>
  <c r="E20" i="12"/>
  <c r="F20" i="12" s="1"/>
  <c r="G20" i="12"/>
  <c r="I20" i="12" s="1"/>
  <c r="A21" i="12"/>
  <c r="B21" i="12"/>
  <c r="C21" i="12"/>
  <c r="G21" i="12" s="1"/>
  <c r="D21" i="12"/>
  <c r="E21" i="12" s="1"/>
  <c r="F21" i="12" s="1"/>
  <c r="A22" i="12"/>
  <c r="B22" i="12"/>
  <c r="C22" i="12"/>
  <c r="G22" i="12" s="1"/>
  <c r="D22" i="12"/>
  <c r="E22" i="12" s="1"/>
  <c r="F22" i="12" s="1"/>
  <c r="A23" i="12"/>
  <c r="B23" i="12"/>
  <c r="C23" i="12"/>
  <c r="D23" i="12"/>
  <c r="E23" i="12"/>
  <c r="F23" i="12" s="1"/>
  <c r="G23" i="12"/>
  <c r="H23" i="12" s="1"/>
  <c r="A24" i="12"/>
  <c r="B24" i="12"/>
  <c r="C24" i="12"/>
  <c r="D24" i="12"/>
  <c r="E24" i="12"/>
  <c r="F24" i="12" s="1"/>
  <c r="G24" i="12"/>
  <c r="I24" i="12" s="1"/>
  <c r="A25" i="12"/>
  <c r="B25" i="12"/>
  <c r="C25" i="12"/>
  <c r="G25" i="12" s="1"/>
  <c r="D25" i="12"/>
  <c r="E25" i="12" s="1"/>
  <c r="F25" i="12" s="1"/>
  <c r="A26" i="12"/>
  <c r="B26" i="12"/>
  <c r="C26" i="12"/>
  <c r="G26" i="12" s="1"/>
  <c r="D26" i="12"/>
  <c r="E26" i="12" s="1"/>
  <c r="F26" i="12" s="1"/>
  <c r="A27" i="12"/>
  <c r="B27" i="12"/>
  <c r="C27" i="12"/>
  <c r="D27" i="12"/>
  <c r="E27" i="12"/>
  <c r="F27" i="12" s="1"/>
  <c r="G27" i="12"/>
  <c r="H27" i="12" s="1"/>
  <c r="A28" i="12"/>
  <c r="B28" i="12"/>
  <c r="C28" i="12"/>
  <c r="D28" i="12"/>
  <c r="E28" i="12"/>
  <c r="F28" i="12" s="1"/>
  <c r="G28" i="12"/>
  <c r="I28" i="12" s="1"/>
  <c r="H28" i="12"/>
  <c r="A29" i="12"/>
  <c r="B29" i="12"/>
  <c r="C29" i="12"/>
  <c r="G29" i="12" s="1"/>
  <c r="D29" i="12"/>
  <c r="E29" i="12" s="1"/>
  <c r="F29" i="12" s="1"/>
  <c r="A30" i="12"/>
  <c r="B30" i="12"/>
  <c r="C30" i="12"/>
  <c r="G30" i="12" s="1"/>
  <c r="D30" i="12"/>
  <c r="E30" i="12" s="1"/>
  <c r="F30" i="12" s="1"/>
  <c r="A31" i="12"/>
  <c r="B31" i="12"/>
  <c r="C31" i="12"/>
  <c r="D31" i="12"/>
  <c r="E31" i="12"/>
  <c r="F31" i="12" s="1"/>
  <c r="G31" i="12"/>
  <c r="H31" i="12" s="1"/>
  <c r="J31" i="12" s="1"/>
  <c r="D3" i="12"/>
  <c r="C3" i="12"/>
  <c r="B3" i="12"/>
  <c r="A3" i="12"/>
  <c r="AE2" i="1"/>
  <c r="AD2" i="1"/>
  <c r="V2" i="1"/>
  <c r="T2" i="1"/>
  <c r="Q2" i="1"/>
  <c r="O2" i="1"/>
  <c r="I2" i="1"/>
  <c r="AP22" i="1"/>
  <c r="AG22" i="1"/>
  <c r="AH22" i="1"/>
  <c r="AI22" i="1"/>
  <c r="AJ22" i="1"/>
  <c r="AK22" i="1"/>
  <c r="AL22" i="1"/>
  <c r="AM22" i="1"/>
  <c r="AN22" i="1"/>
  <c r="AO22" i="1"/>
  <c r="U22" i="1"/>
  <c r="W22" i="1"/>
  <c r="R22" i="1"/>
  <c r="S22" i="1"/>
  <c r="P22" i="1"/>
  <c r="J22" i="1"/>
  <c r="K22" i="1"/>
  <c r="L22" i="1"/>
  <c r="AP8" i="1"/>
  <c r="AG8" i="1"/>
  <c r="AH8" i="1"/>
  <c r="AI8" i="1"/>
  <c r="AJ8" i="1"/>
  <c r="AK8" i="1"/>
  <c r="AL8" i="1"/>
  <c r="AM8" i="1"/>
  <c r="AN8" i="1"/>
  <c r="AO8" i="1"/>
  <c r="U8" i="1"/>
  <c r="W8" i="1"/>
  <c r="R8" i="1"/>
  <c r="S8" i="1"/>
  <c r="P8" i="1"/>
  <c r="J8" i="1"/>
  <c r="K8" i="1"/>
  <c r="L8" i="1"/>
  <c r="AP5" i="1"/>
  <c r="AG5" i="1"/>
  <c r="AH5" i="1"/>
  <c r="AI5" i="1"/>
  <c r="AJ5" i="1"/>
  <c r="AK5" i="1"/>
  <c r="AL5" i="1"/>
  <c r="AM5" i="1"/>
  <c r="AN5" i="1"/>
  <c r="AO5" i="1"/>
  <c r="U5" i="1"/>
  <c r="W5" i="1"/>
  <c r="R5" i="1"/>
  <c r="S5" i="1"/>
  <c r="P5" i="1"/>
  <c r="J5" i="1"/>
  <c r="K5" i="1"/>
  <c r="L5" i="1"/>
  <c r="J8" i="12" l="1"/>
  <c r="V52" i="23"/>
  <c r="AP52" i="23"/>
  <c r="AP39" i="23"/>
  <c r="AP58" i="23"/>
  <c r="V58" i="23"/>
  <c r="V51" i="23"/>
  <c r="AP51" i="23"/>
  <c r="AP61" i="23"/>
  <c r="V61" i="23"/>
  <c r="AP48" i="23"/>
  <c r="V48" i="23"/>
  <c r="AP56" i="23"/>
  <c r="V56" i="23"/>
  <c r="AP59" i="23"/>
  <c r="V59" i="23"/>
  <c r="AP54" i="23"/>
  <c r="V54" i="23"/>
  <c r="CB21" i="3"/>
  <c r="CD21" i="3" s="1"/>
  <c r="CC21" i="3"/>
  <c r="CB7" i="3"/>
  <c r="CD7" i="3" s="1"/>
  <c r="CC7" i="3"/>
  <c r="CB13" i="3"/>
  <c r="CD13" i="3" s="1"/>
  <c r="CC13" i="3"/>
  <c r="CB4" i="3"/>
  <c r="CD4" i="3" s="1"/>
  <c r="CC4" i="3"/>
  <c r="CB14" i="3"/>
  <c r="CD14" i="3" s="1"/>
  <c r="CC14" i="3"/>
  <c r="CB10" i="3"/>
  <c r="CD10" i="3" s="1"/>
  <c r="CC10" i="3"/>
  <c r="CB18" i="3"/>
  <c r="CD18" i="3" s="1"/>
  <c r="CC18" i="3"/>
  <c r="CB15" i="3"/>
  <c r="CD15" i="3" s="1"/>
  <c r="CC15" i="3"/>
  <c r="CB11" i="3"/>
  <c r="CD11" i="3" s="1"/>
  <c r="CC11" i="3"/>
  <c r="CB8" i="3"/>
  <c r="CD8" i="3" s="1"/>
  <c r="CC8" i="3"/>
  <c r="CB17" i="3"/>
  <c r="CD17" i="3" s="1"/>
  <c r="CC17" i="3"/>
  <c r="BZ21" i="3"/>
  <c r="BZ14" i="3"/>
  <c r="BZ17" i="3"/>
  <c r="BZ13" i="3"/>
  <c r="BZ10" i="3"/>
  <c r="BZ7" i="3"/>
  <c r="BZ18" i="3"/>
  <c r="BZ11" i="3"/>
  <c r="BZ8" i="3"/>
  <c r="BZ15" i="3"/>
  <c r="BZ4" i="3"/>
  <c r="BX14" i="3"/>
  <c r="BY14" i="3"/>
  <c r="CA14" i="3" s="1"/>
  <c r="BX17" i="3"/>
  <c r="BY17" i="3"/>
  <c r="CA17" i="3" s="1"/>
  <c r="BX4" i="3"/>
  <c r="BY4" i="3"/>
  <c r="CA4" i="3" s="1"/>
  <c r="BX11" i="3"/>
  <c r="BY11" i="3"/>
  <c r="CA11" i="3" s="1"/>
  <c r="BX21" i="3"/>
  <c r="BY21" i="3"/>
  <c r="CA21" i="3" s="1"/>
  <c r="BX18" i="3"/>
  <c r="BY18" i="3"/>
  <c r="CA18" i="3" s="1"/>
  <c r="BX13" i="3"/>
  <c r="BY13" i="3"/>
  <c r="CA13" i="3" s="1"/>
  <c r="BX10" i="3"/>
  <c r="BY10" i="3"/>
  <c r="CA10" i="3" s="1"/>
  <c r="BX7" i="3"/>
  <c r="BY7" i="3"/>
  <c r="CA7" i="3" s="1"/>
  <c r="BX8" i="3"/>
  <c r="BY8" i="3"/>
  <c r="CA8" i="3" s="1"/>
  <c r="BX15" i="3"/>
  <c r="BY15" i="3"/>
  <c r="CA15" i="3" s="1"/>
  <c r="BV13" i="3"/>
  <c r="BW13" i="3"/>
  <c r="BV14" i="3"/>
  <c r="BW14" i="3"/>
  <c r="BV15" i="3"/>
  <c r="BW15" i="3"/>
  <c r="BV11" i="3"/>
  <c r="BW11" i="3"/>
  <c r="BV17" i="3"/>
  <c r="BW17" i="3"/>
  <c r="BV21" i="3"/>
  <c r="BW21" i="3"/>
  <c r="BV10" i="3"/>
  <c r="BW10" i="3"/>
  <c r="BV18" i="3"/>
  <c r="BW18" i="3"/>
  <c r="BV4" i="3"/>
  <c r="BW4" i="3"/>
  <c r="BV7" i="3"/>
  <c r="BW7" i="3"/>
  <c r="BV8" i="3"/>
  <c r="BW8" i="3"/>
  <c r="BT18" i="3"/>
  <c r="BU18" i="3"/>
  <c r="BT17" i="3"/>
  <c r="BU17" i="3"/>
  <c r="BT13" i="3"/>
  <c r="BU13" i="3"/>
  <c r="BT8" i="3"/>
  <c r="BU8" i="3"/>
  <c r="BT11" i="3"/>
  <c r="BU11" i="3"/>
  <c r="BT7" i="3"/>
  <c r="BU7" i="3"/>
  <c r="BT10" i="3"/>
  <c r="BU10" i="3"/>
  <c r="BT14" i="3"/>
  <c r="BU14" i="3"/>
  <c r="BT15" i="3"/>
  <c r="BU15" i="3"/>
  <c r="BT4" i="3"/>
  <c r="BU4" i="3"/>
  <c r="BT21" i="3"/>
  <c r="BU21" i="3"/>
  <c r="BR13" i="3"/>
  <c r="BS13" i="3"/>
  <c r="BR8" i="3"/>
  <c r="BS8" i="3"/>
  <c r="BR4" i="3"/>
  <c r="BS4" i="3"/>
  <c r="BR10" i="3"/>
  <c r="BS10" i="3"/>
  <c r="BR17" i="3"/>
  <c r="BS17" i="3"/>
  <c r="BR7" i="3"/>
  <c r="BS7" i="3"/>
  <c r="BR21" i="3"/>
  <c r="BS21" i="3"/>
  <c r="BR14" i="3"/>
  <c r="BS14" i="3"/>
  <c r="BR15" i="3"/>
  <c r="BS15" i="3"/>
  <c r="BR11" i="3"/>
  <c r="BS11" i="3"/>
  <c r="BR18" i="3"/>
  <c r="BS18" i="3"/>
  <c r="BP11" i="3"/>
  <c r="BQ11" i="3"/>
  <c r="BP21" i="3"/>
  <c r="BQ21" i="3"/>
  <c r="BP14" i="3"/>
  <c r="BQ14" i="3"/>
  <c r="BP7" i="3"/>
  <c r="BQ7" i="3"/>
  <c r="BP18" i="3"/>
  <c r="BQ18" i="3"/>
  <c r="BP4" i="3"/>
  <c r="BQ4" i="3"/>
  <c r="BP15" i="3"/>
  <c r="BQ15" i="3"/>
  <c r="BP13" i="3"/>
  <c r="BQ13" i="3"/>
  <c r="BP8" i="3"/>
  <c r="BQ8" i="3"/>
  <c r="BP10" i="3"/>
  <c r="BQ10" i="3"/>
  <c r="BP17" i="3"/>
  <c r="BQ17" i="3"/>
  <c r="BN18" i="3"/>
  <c r="BO18" i="3"/>
  <c r="BN8" i="3"/>
  <c r="BO8" i="3"/>
  <c r="BN15" i="3"/>
  <c r="BO15" i="3"/>
  <c r="BN13" i="3"/>
  <c r="BO13" i="3"/>
  <c r="BN4" i="3"/>
  <c r="BO4" i="3"/>
  <c r="BN11" i="3"/>
  <c r="BO11" i="3"/>
  <c r="BN14" i="3"/>
  <c r="BO14" i="3"/>
  <c r="BN17" i="3"/>
  <c r="BO17" i="3"/>
  <c r="BN10" i="3"/>
  <c r="BO10" i="3"/>
  <c r="BN7" i="3"/>
  <c r="BO7" i="3"/>
  <c r="BN21" i="3"/>
  <c r="BO21" i="3"/>
  <c r="BL18" i="3"/>
  <c r="BM18" i="3"/>
  <c r="BL4" i="3"/>
  <c r="BM4" i="3"/>
  <c r="BL13" i="3"/>
  <c r="BM13" i="3"/>
  <c r="BL10" i="3"/>
  <c r="BM10" i="3"/>
  <c r="BL8" i="3"/>
  <c r="BM8" i="3"/>
  <c r="BL15" i="3"/>
  <c r="BM15" i="3"/>
  <c r="BL7" i="3"/>
  <c r="BM7" i="3"/>
  <c r="BL21" i="3"/>
  <c r="BM21" i="3"/>
  <c r="BL14" i="3"/>
  <c r="BM14" i="3"/>
  <c r="BL11" i="3"/>
  <c r="BM11" i="3"/>
  <c r="BL17" i="3"/>
  <c r="BM17" i="3"/>
  <c r="BJ10" i="3"/>
  <c r="BK10" i="3"/>
  <c r="BJ8" i="3"/>
  <c r="BK8" i="3"/>
  <c r="BJ4" i="3"/>
  <c r="BK4" i="3"/>
  <c r="BJ7" i="3"/>
  <c r="BK7" i="3"/>
  <c r="BJ15" i="3"/>
  <c r="BK15" i="3"/>
  <c r="BJ21" i="3"/>
  <c r="BK21" i="3"/>
  <c r="BJ11" i="3"/>
  <c r="BK11" i="3"/>
  <c r="BJ14" i="3"/>
  <c r="BK14" i="3"/>
  <c r="BJ17" i="3"/>
  <c r="BK17" i="3"/>
  <c r="BJ13" i="3"/>
  <c r="BK13" i="3"/>
  <c r="BJ18" i="3"/>
  <c r="BK18" i="3"/>
  <c r="BH14" i="3"/>
  <c r="BI14" i="3"/>
  <c r="BH11" i="3"/>
  <c r="BI11" i="3"/>
  <c r="BH15" i="3"/>
  <c r="BI15" i="3"/>
  <c r="BH18" i="3"/>
  <c r="BI18" i="3"/>
  <c r="BH17" i="3"/>
  <c r="BI17" i="3"/>
  <c r="BH4" i="3"/>
  <c r="BI4" i="3"/>
  <c r="BH10" i="3"/>
  <c r="BI10" i="3"/>
  <c r="BH7" i="3"/>
  <c r="BI7" i="3"/>
  <c r="BH21" i="3"/>
  <c r="BI21" i="3"/>
  <c r="BH8" i="3"/>
  <c r="BI8" i="3"/>
  <c r="BH13" i="3"/>
  <c r="BI13" i="3"/>
  <c r="BF14" i="3"/>
  <c r="BG14" i="3"/>
  <c r="BF13" i="3"/>
  <c r="BG13" i="3"/>
  <c r="BF11" i="3"/>
  <c r="BG11" i="3"/>
  <c r="BF18" i="3"/>
  <c r="BG18" i="3"/>
  <c r="BF15" i="3"/>
  <c r="BG15" i="3"/>
  <c r="BF10" i="3"/>
  <c r="BG10" i="3"/>
  <c r="BF7" i="3"/>
  <c r="BG7" i="3"/>
  <c r="BF21" i="3"/>
  <c r="BG21" i="3"/>
  <c r="BF8" i="3"/>
  <c r="BG8" i="3"/>
  <c r="BF17" i="3"/>
  <c r="BG17" i="3"/>
  <c r="BF4" i="3"/>
  <c r="BG4" i="3"/>
  <c r="BD18" i="3"/>
  <c r="BE18" i="3"/>
  <c r="BD17" i="3"/>
  <c r="BE17" i="3"/>
  <c r="BD10" i="3"/>
  <c r="BE10" i="3"/>
  <c r="BD13" i="3"/>
  <c r="BE13" i="3"/>
  <c r="BD14" i="3"/>
  <c r="BE14" i="3"/>
  <c r="BD21" i="3"/>
  <c r="BE21" i="3"/>
  <c r="BD4" i="3"/>
  <c r="BE4" i="3"/>
  <c r="BD7" i="3"/>
  <c r="BE7" i="3"/>
  <c r="BD8" i="3"/>
  <c r="BE8" i="3"/>
  <c r="BD15" i="3"/>
  <c r="BE15" i="3"/>
  <c r="BD11" i="3"/>
  <c r="BE11" i="3"/>
  <c r="BA10" i="3"/>
  <c r="BC10" i="3" s="1"/>
  <c r="BB10" i="3"/>
  <c r="BA18" i="3"/>
  <c r="BC18" i="3" s="1"/>
  <c r="BB18" i="3"/>
  <c r="BA7" i="3"/>
  <c r="BC7" i="3" s="1"/>
  <c r="BB7" i="3"/>
  <c r="BA21" i="3"/>
  <c r="BC21" i="3" s="1"/>
  <c r="BB21" i="3"/>
  <c r="BA15" i="3"/>
  <c r="BC15" i="3" s="1"/>
  <c r="BB15" i="3"/>
  <c r="BA4" i="3"/>
  <c r="BC4" i="3" s="1"/>
  <c r="BB4" i="3"/>
  <c r="BA13" i="3"/>
  <c r="BC13" i="3" s="1"/>
  <c r="BB13" i="3"/>
  <c r="BA14" i="3"/>
  <c r="BC14" i="3" s="1"/>
  <c r="BB14" i="3"/>
  <c r="BA11" i="3"/>
  <c r="BC11" i="3" s="1"/>
  <c r="BB11" i="3"/>
  <c r="BA17" i="3"/>
  <c r="BC17" i="3" s="1"/>
  <c r="BB17" i="3"/>
  <c r="BA8" i="3"/>
  <c r="BC8" i="3" s="1"/>
  <c r="BB8" i="3"/>
  <c r="AX10" i="3"/>
  <c r="AZ10" i="3"/>
  <c r="AX11" i="3"/>
  <c r="AZ11" i="3"/>
  <c r="AX14" i="3"/>
  <c r="AZ14" i="3"/>
  <c r="AX13" i="3"/>
  <c r="AZ13" i="3"/>
  <c r="AX21" i="3"/>
  <c r="AZ21" i="3"/>
  <c r="AX8" i="3"/>
  <c r="AZ8" i="3"/>
  <c r="AX17" i="3"/>
  <c r="AZ17" i="3"/>
  <c r="AX4" i="3"/>
  <c r="AZ4" i="3"/>
  <c r="AX15" i="3"/>
  <c r="AZ15" i="3"/>
  <c r="AX7" i="3"/>
  <c r="AZ7" i="3"/>
  <c r="AX18" i="3"/>
  <c r="AZ18" i="3"/>
  <c r="AU13" i="3"/>
  <c r="AW13" i="3"/>
  <c r="AY13" i="3" s="1"/>
  <c r="AU17" i="3"/>
  <c r="AW17" i="3"/>
  <c r="AY17" i="3" s="1"/>
  <c r="AU21" i="3"/>
  <c r="AW21" i="3"/>
  <c r="AY21" i="3" s="1"/>
  <c r="AU11" i="3"/>
  <c r="AW11" i="3"/>
  <c r="AY11" i="3" s="1"/>
  <c r="AU10" i="3"/>
  <c r="AW10" i="3"/>
  <c r="AY10" i="3" s="1"/>
  <c r="AU14" i="3"/>
  <c r="AW14" i="3"/>
  <c r="AY14" i="3" s="1"/>
  <c r="AU4" i="3"/>
  <c r="AW4" i="3"/>
  <c r="AY4" i="3" s="1"/>
  <c r="AU7" i="3"/>
  <c r="AW7" i="3"/>
  <c r="AY7" i="3" s="1"/>
  <c r="AU18" i="3"/>
  <c r="AW18" i="3"/>
  <c r="AY18" i="3" s="1"/>
  <c r="AU15" i="3"/>
  <c r="AW15" i="3"/>
  <c r="AY15" i="3" s="1"/>
  <c r="AU8" i="3"/>
  <c r="AW8" i="3"/>
  <c r="AY8" i="3" s="1"/>
  <c r="AS4" i="3"/>
  <c r="AT4" i="3"/>
  <c r="AV4" i="3" s="1"/>
  <c r="AS10" i="3"/>
  <c r="AT10" i="3"/>
  <c r="AV10" i="3" s="1"/>
  <c r="AS17" i="3"/>
  <c r="AT17" i="3"/>
  <c r="AV17" i="3" s="1"/>
  <c r="AS18" i="3"/>
  <c r="AT18" i="3"/>
  <c r="AV18" i="3" s="1"/>
  <c r="AS14" i="3"/>
  <c r="AT14" i="3"/>
  <c r="AV14" i="3" s="1"/>
  <c r="AS8" i="3"/>
  <c r="AT8" i="3"/>
  <c r="AV8" i="3" s="1"/>
  <c r="AS11" i="3"/>
  <c r="AT11" i="3"/>
  <c r="AV11" i="3" s="1"/>
  <c r="AS13" i="3"/>
  <c r="AT13" i="3"/>
  <c r="AV13" i="3" s="1"/>
  <c r="AS21" i="3"/>
  <c r="AT21" i="3"/>
  <c r="AV21" i="3" s="1"/>
  <c r="AS15" i="3"/>
  <c r="AT15" i="3"/>
  <c r="AV15" i="3" s="1"/>
  <c r="AS7" i="3"/>
  <c r="AT7" i="3"/>
  <c r="AV7" i="3" s="1"/>
  <c r="AP15" i="3"/>
  <c r="AR15" i="3" s="1"/>
  <c r="AQ15" i="3"/>
  <c r="AP11" i="3"/>
  <c r="AR11" i="3" s="1"/>
  <c r="AQ11" i="3"/>
  <c r="AP7" i="3"/>
  <c r="AR7" i="3" s="1"/>
  <c r="AQ7" i="3"/>
  <c r="AP18" i="3"/>
  <c r="AR18" i="3" s="1"/>
  <c r="AQ18" i="3"/>
  <c r="AP14" i="3"/>
  <c r="AR14" i="3" s="1"/>
  <c r="AQ14" i="3"/>
  <c r="AP4" i="3"/>
  <c r="AR4" i="3" s="1"/>
  <c r="AQ4" i="3"/>
  <c r="AP13" i="3"/>
  <c r="AR13" i="3" s="1"/>
  <c r="AQ13" i="3"/>
  <c r="AP21" i="3"/>
  <c r="AR21" i="3" s="1"/>
  <c r="AQ21" i="3"/>
  <c r="AP8" i="3"/>
  <c r="AR8" i="3" s="1"/>
  <c r="AQ8" i="3"/>
  <c r="AP17" i="3"/>
  <c r="AR17" i="3" s="1"/>
  <c r="AQ17" i="3"/>
  <c r="AP10" i="3"/>
  <c r="AR10" i="3" s="1"/>
  <c r="AQ10" i="3"/>
  <c r="AN10" i="3"/>
  <c r="AO10" i="3"/>
  <c r="AN11" i="3"/>
  <c r="AO11" i="3"/>
  <c r="AN15" i="3"/>
  <c r="AO15" i="3"/>
  <c r="AN7" i="3"/>
  <c r="AO7" i="3"/>
  <c r="AN21" i="3"/>
  <c r="AO21" i="3"/>
  <c r="AN18" i="3"/>
  <c r="AO18" i="3"/>
  <c r="AN14" i="3"/>
  <c r="AO14" i="3"/>
  <c r="AN8" i="3"/>
  <c r="AO8" i="3"/>
  <c r="AN17" i="3"/>
  <c r="AO17" i="3"/>
  <c r="AN13" i="3"/>
  <c r="AO13" i="3"/>
  <c r="AN4" i="3"/>
  <c r="AO4" i="3"/>
  <c r="AL15" i="3"/>
  <c r="AM15" i="3"/>
  <c r="AL4" i="3"/>
  <c r="AM4" i="3"/>
  <c r="AL21" i="3"/>
  <c r="AM21" i="3"/>
  <c r="AL18" i="3"/>
  <c r="AM18" i="3"/>
  <c r="AL14" i="3"/>
  <c r="AM14" i="3"/>
  <c r="AL7" i="3"/>
  <c r="AM7" i="3"/>
  <c r="AL11" i="3"/>
  <c r="AM11" i="3"/>
  <c r="AL8" i="3"/>
  <c r="AM8" i="3"/>
  <c r="AL17" i="3"/>
  <c r="AM17" i="3"/>
  <c r="AL10" i="3"/>
  <c r="AM10" i="3"/>
  <c r="AL13" i="3"/>
  <c r="AM13" i="3"/>
  <c r="AJ17" i="3"/>
  <c r="AK17" i="3"/>
  <c r="AJ4" i="3"/>
  <c r="AK4" i="3"/>
  <c r="AJ21" i="3"/>
  <c r="AK21" i="3"/>
  <c r="AJ11" i="3"/>
  <c r="AK11" i="3"/>
  <c r="AJ10" i="3"/>
  <c r="AK10" i="3"/>
  <c r="AJ13" i="3"/>
  <c r="AK13" i="3"/>
  <c r="AJ7" i="3"/>
  <c r="AK7" i="3"/>
  <c r="AJ15" i="3"/>
  <c r="AK15" i="3"/>
  <c r="AJ8" i="3"/>
  <c r="AK8" i="3"/>
  <c r="AJ18" i="3"/>
  <c r="AK18" i="3"/>
  <c r="AJ14" i="3"/>
  <c r="AK14" i="3"/>
  <c r="AH7" i="3"/>
  <c r="AI7" i="3"/>
  <c r="AH13" i="3"/>
  <c r="AI13" i="3"/>
  <c r="AH17" i="3"/>
  <c r="AI17" i="3"/>
  <c r="AH11" i="3"/>
  <c r="AI11" i="3"/>
  <c r="AH18" i="3"/>
  <c r="AI18" i="3"/>
  <c r="AH4" i="3"/>
  <c r="AI4" i="3"/>
  <c r="AH10" i="3"/>
  <c r="AI10" i="3"/>
  <c r="AH14" i="3"/>
  <c r="AI14" i="3"/>
  <c r="AH15" i="3"/>
  <c r="AI15" i="3"/>
  <c r="AH21" i="3"/>
  <c r="AI21" i="3"/>
  <c r="AH8" i="3"/>
  <c r="AI8" i="3"/>
  <c r="AE11" i="3"/>
  <c r="AG11" i="3"/>
  <c r="AE17" i="3"/>
  <c r="AG17" i="3"/>
  <c r="AE13" i="3"/>
  <c r="AG13" i="3"/>
  <c r="AE7" i="3"/>
  <c r="AG7" i="3"/>
  <c r="AE18" i="3"/>
  <c r="AG18" i="3"/>
  <c r="AE10" i="3"/>
  <c r="AG10" i="3"/>
  <c r="AE21" i="3"/>
  <c r="AG21" i="3"/>
  <c r="AE14" i="3"/>
  <c r="AG14" i="3"/>
  <c r="AE8" i="3"/>
  <c r="AG8" i="3"/>
  <c r="AE15" i="3"/>
  <c r="AG15" i="3"/>
  <c r="AE4" i="3"/>
  <c r="AG4" i="3"/>
  <c r="AC4" i="3"/>
  <c r="AD4" i="3"/>
  <c r="AF4" i="3" s="1"/>
  <c r="AC21" i="3"/>
  <c r="AD21" i="3"/>
  <c r="AF21" i="3" s="1"/>
  <c r="AC18" i="3"/>
  <c r="AD18" i="3"/>
  <c r="AF18" i="3" s="1"/>
  <c r="AC17" i="3"/>
  <c r="AD17" i="3"/>
  <c r="AF17" i="3" s="1"/>
  <c r="AC13" i="3"/>
  <c r="AD13" i="3"/>
  <c r="AF13" i="3" s="1"/>
  <c r="AC11" i="3"/>
  <c r="AD11" i="3"/>
  <c r="AF11" i="3" s="1"/>
  <c r="AC8" i="3"/>
  <c r="AD8" i="3"/>
  <c r="AF8" i="3" s="1"/>
  <c r="AC14" i="3"/>
  <c r="AD14" i="3"/>
  <c r="AF14" i="3" s="1"/>
  <c r="AC10" i="3"/>
  <c r="AD10" i="3"/>
  <c r="AF10" i="3" s="1"/>
  <c r="AC15" i="3"/>
  <c r="AD15" i="3"/>
  <c r="AF15" i="3" s="1"/>
  <c r="AC7" i="3"/>
  <c r="AD7" i="3"/>
  <c r="AF7" i="3" s="1"/>
  <c r="AA11" i="3"/>
  <c r="AA17" i="3"/>
  <c r="AA14" i="3"/>
  <c r="AA10" i="3"/>
  <c r="AA13" i="3"/>
  <c r="Z15" i="3"/>
  <c r="AB15" i="3" s="1"/>
  <c r="AA15" i="3"/>
  <c r="Z21" i="3"/>
  <c r="AB21" i="3" s="1"/>
  <c r="AA21" i="3"/>
  <c r="Z18" i="3"/>
  <c r="AB18" i="3" s="1"/>
  <c r="AA18" i="3"/>
  <c r="Z8" i="3"/>
  <c r="AB8" i="3" s="1"/>
  <c r="AA8" i="3"/>
  <c r="Z4" i="3"/>
  <c r="AB4" i="3" s="1"/>
  <c r="AA4" i="3"/>
  <c r="Z7" i="3"/>
  <c r="AB7" i="3" s="1"/>
  <c r="AA7" i="3"/>
  <c r="X8" i="3"/>
  <c r="X17" i="3"/>
  <c r="Z17" i="3"/>
  <c r="AB17" i="3" s="1"/>
  <c r="Z11" i="3"/>
  <c r="AB11" i="3" s="1"/>
  <c r="W14" i="3"/>
  <c r="Y14" i="3" s="1"/>
  <c r="Z14" i="3"/>
  <c r="AB14" i="3" s="1"/>
  <c r="Z10" i="3"/>
  <c r="AB10" i="3" s="1"/>
  <c r="Z13" i="3"/>
  <c r="AB13" i="3" s="1"/>
  <c r="V17" i="3"/>
  <c r="U18" i="3"/>
  <c r="U8" i="3"/>
  <c r="V8" i="3" s="1"/>
  <c r="U14" i="3"/>
  <c r="V14" i="3" s="1"/>
  <c r="U17" i="3"/>
  <c r="X21" i="3"/>
  <c r="U15" i="3"/>
  <c r="V15" i="3" s="1"/>
  <c r="V18" i="3"/>
  <c r="W18" i="3"/>
  <c r="Y18" i="3" s="1"/>
  <c r="X18" i="3"/>
  <c r="W8" i="3"/>
  <c r="Y8" i="3" s="1"/>
  <c r="X14" i="3"/>
  <c r="W4" i="3"/>
  <c r="Y4" i="3" s="1"/>
  <c r="X4" i="3"/>
  <c r="U4" i="3"/>
  <c r="V4" i="3" s="1"/>
  <c r="W17" i="3"/>
  <c r="Y17" i="3" s="1"/>
  <c r="X15" i="3"/>
  <c r="W15" i="3"/>
  <c r="Y15" i="3" s="1"/>
  <c r="W10" i="3"/>
  <c r="Y10" i="3" s="1"/>
  <c r="X10" i="3"/>
  <c r="W11" i="3"/>
  <c r="Y11" i="3" s="1"/>
  <c r="X11" i="3"/>
  <c r="W7" i="3"/>
  <c r="Y7" i="3" s="1"/>
  <c r="X7" i="3"/>
  <c r="W13" i="3"/>
  <c r="Y13" i="3" s="1"/>
  <c r="X13" i="3"/>
  <c r="U21" i="3"/>
  <c r="V21" i="3" s="1"/>
  <c r="W21" i="3"/>
  <c r="Y21" i="3" s="1"/>
  <c r="U11" i="3"/>
  <c r="V11" i="3"/>
  <c r="U7" i="3"/>
  <c r="V7" i="3"/>
  <c r="U10" i="3"/>
  <c r="V10" i="3"/>
  <c r="U13" i="3"/>
  <c r="V13" i="3"/>
  <c r="I16" i="12"/>
  <c r="J7" i="12"/>
  <c r="F11" i="12"/>
  <c r="J11" i="12" s="1"/>
  <c r="I11" i="12"/>
  <c r="I23" i="12"/>
  <c r="I19" i="12"/>
  <c r="I15" i="12"/>
  <c r="J27" i="12"/>
  <c r="H24" i="12"/>
  <c r="J24" i="12" s="1"/>
  <c r="J23" i="12"/>
  <c r="H20" i="12"/>
  <c r="J20" i="12" s="1"/>
  <c r="J19" i="12"/>
  <c r="H16" i="12"/>
  <c r="J16" i="12" s="1"/>
  <c r="J15" i="12"/>
  <c r="I12" i="12"/>
  <c r="I8" i="12"/>
  <c r="J5" i="12"/>
  <c r="I4" i="12"/>
  <c r="H22" i="12"/>
  <c r="J22" i="12" s="1"/>
  <c r="I22" i="12"/>
  <c r="H14" i="12"/>
  <c r="J14" i="12" s="1"/>
  <c r="I14" i="12"/>
  <c r="H30" i="12"/>
  <c r="J30" i="12" s="1"/>
  <c r="I30" i="12"/>
  <c r="J28" i="12"/>
  <c r="H26" i="12"/>
  <c r="J26" i="12" s="1"/>
  <c r="I26" i="12"/>
  <c r="H18" i="12"/>
  <c r="J18" i="12" s="1"/>
  <c r="I18" i="12"/>
  <c r="H10" i="12"/>
  <c r="J10" i="12" s="1"/>
  <c r="I10" i="12"/>
  <c r="H25" i="12"/>
  <c r="J25" i="12" s="1"/>
  <c r="I25" i="12"/>
  <c r="H21" i="12"/>
  <c r="J21" i="12" s="1"/>
  <c r="I21" i="12"/>
  <c r="H17" i="12"/>
  <c r="J17" i="12" s="1"/>
  <c r="I17" i="12"/>
  <c r="H13" i="12"/>
  <c r="J13" i="12" s="1"/>
  <c r="I13" i="12"/>
  <c r="H9" i="12"/>
  <c r="J9" i="12" s="1"/>
  <c r="I9" i="12"/>
  <c r="H29" i="12"/>
  <c r="J29" i="12" s="1"/>
  <c r="I29" i="12"/>
  <c r="H6" i="12"/>
  <c r="J6" i="12" s="1"/>
  <c r="I6" i="12"/>
  <c r="I27" i="12"/>
  <c r="I7" i="12"/>
  <c r="I31" i="12"/>
  <c r="I5" i="12"/>
  <c r="U4" i="1"/>
  <c r="AP4" i="1"/>
  <c r="W4" i="1"/>
  <c r="R4" i="1"/>
  <c r="S4" i="1"/>
  <c r="P4" i="1"/>
  <c r="N4" i="1"/>
  <c r="J4" i="1"/>
  <c r="K4" i="1"/>
  <c r="L4" i="1"/>
  <c r="V57" i="23" l="1"/>
  <c r="AP57" i="23"/>
  <c r="AG4" i="1"/>
  <c r="AO4" i="1"/>
  <c r="AN4" i="1"/>
  <c r="AM4" i="1"/>
  <c r="AL4" i="1"/>
  <c r="AK4" i="1"/>
  <c r="AJ4" i="1"/>
  <c r="AI4" i="1"/>
  <c r="AH4" i="1"/>
  <c r="AC18" i="1"/>
  <c r="AC19" i="1"/>
  <c r="AC16" i="1"/>
  <c r="AC21" i="1"/>
  <c r="AC20" i="1"/>
  <c r="AC17" i="1"/>
  <c r="AC7" i="1"/>
  <c r="AC15" i="1"/>
  <c r="AC14" i="1"/>
  <c r="AC10" i="1"/>
  <c r="AC13" i="1"/>
  <c r="AC9" i="1"/>
  <c r="AC12" i="1"/>
  <c r="AC11" i="1"/>
  <c r="AC6" i="1"/>
  <c r="AI7" i="1" l="1"/>
  <c r="AI18" i="1"/>
  <c r="AI20" i="1"/>
  <c r="AB18" i="1" l="1"/>
  <c r="AB16" i="1"/>
  <c r="AB21" i="1"/>
  <c r="AB17" i="1"/>
  <c r="AB14" i="1"/>
  <c r="AB10" i="1"/>
  <c r="AB13" i="1"/>
  <c r="AB9" i="1"/>
  <c r="AB12" i="1"/>
  <c r="AB6" i="1"/>
  <c r="N10" i="1" l="1"/>
  <c r="AP10" i="1"/>
  <c r="U10" i="1"/>
  <c r="W10" i="1"/>
  <c r="R10" i="1"/>
  <c r="S10" i="1"/>
  <c r="P10" i="1"/>
  <c r="J10" i="1"/>
  <c r="K10" i="1"/>
  <c r="L10" i="1"/>
  <c r="AJ10" i="1" l="1"/>
  <c r="AI10" i="1"/>
  <c r="AN10" i="1"/>
  <c r="AM10" i="1"/>
  <c r="AL10" i="1"/>
  <c r="AO10" i="1"/>
  <c r="AH10" i="1"/>
  <c r="AG10" i="1"/>
  <c r="AK10" i="1"/>
  <c r="U11" i="1" l="1"/>
  <c r="AP11" i="1"/>
  <c r="W11" i="1"/>
  <c r="R11" i="1"/>
  <c r="S11" i="1"/>
  <c r="P11" i="1"/>
  <c r="N11" i="1"/>
  <c r="J11" i="1"/>
  <c r="K11" i="1"/>
  <c r="L11" i="1"/>
  <c r="AJ11" i="1" l="1"/>
  <c r="AI11" i="1"/>
  <c r="AN11" i="1"/>
  <c r="AM11" i="1"/>
  <c r="AL11" i="1"/>
  <c r="AO11" i="1"/>
  <c r="AH11" i="1"/>
  <c r="AG11" i="1"/>
  <c r="AK11" i="1"/>
  <c r="U18" i="1" l="1"/>
  <c r="AP18" i="1"/>
  <c r="W18" i="1"/>
  <c r="R18" i="1"/>
  <c r="S18" i="1"/>
  <c r="P18" i="1"/>
  <c r="AJ18" i="1"/>
  <c r="J18" i="1"/>
  <c r="K18" i="1"/>
  <c r="L18" i="1"/>
  <c r="AN18" i="1" l="1"/>
  <c r="AM18" i="1"/>
  <c r="AL18" i="1"/>
  <c r="AO18" i="1"/>
  <c r="AH18" i="1"/>
  <c r="AG18" i="1"/>
  <c r="AK18" i="1"/>
  <c r="E6" i="10" l="1"/>
  <c r="AA6" i="10" s="1"/>
  <c r="H6" i="10"/>
  <c r="I6" i="10"/>
  <c r="J6" i="10"/>
  <c r="M6" i="10"/>
  <c r="N6" i="10"/>
  <c r="O6" i="10"/>
  <c r="P6" i="10"/>
  <c r="R6" i="10"/>
  <c r="S6" i="10"/>
  <c r="L6" i="10" l="1"/>
  <c r="K6" i="10"/>
  <c r="AC6" i="10"/>
  <c r="Q6" i="10" l="1"/>
  <c r="AP21" i="1"/>
  <c r="W21" i="1"/>
  <c r="U21" i="1"/>
  <c r="S21" i="1"/>
  <c r="R21" i="1"/>
  <c r="P21" i="1"/>
  <c r="N21" i="1"/>
  <c r="L21" i="1"/>
  <c r="K21" i="1"/>
  <c r="J21" i="1"/>
  <c r="AP20" i="1"/>
  <c r="AO20" i="1"/>
  <c r="AN20" i="1"/>
  <c r="AM20" i="1"/>
  <c r="AK20" i="1"/>
  <c r="AJ20" i="1"/>
  <c r="AH20" i="1"/>
  <c r="AG20" i="1"/>
  <c r="AL20" i="1"/>
  <c r="W20" i="1"/>
  <c r="U20" i="1"/>
  <c r="S20" i="1"/>
  <c r="R20" i="1"/>
  <c r="P20" i="1"/>
  <c r="L20" i="1"/>
  <c r="K20" i="1"/>
  <c r="J20" i="1"/>
  <c r="AP19" i="1"/>
  <c r="W19" i="1"/>
  <c r="U19" i="1"/>
  <c r="S19" i="1"/>
  <c r="R19" i="1"/>
  <c r="P19" i="1"/>
  <c r="N19" i="1"/>
  <c r="L19" i="1"/>
  <c r="K19" i="1"/>
  <c r="J19" i="1"/>
  <c r="AP16" i="1"/>
  <c r="W16" i="1"/>
  <c r="U16" i="1"/>
  <c r="S16" i="1"/>
  <c r="R16" i="1"/>
  <c r="P16" i="1"/>
  <c r="N16" i="1"/>
  <c r="L16" i="1"/>
  <c r="K16" i="1"/>
  <c r="J16" i="1"/>
  <c r="AP13" i="1"/>
  <c r="W13" i="1"/>
  <c r="U13" i="1"/>
  <c r="S13" i="1"/>
  <c r="R13" i="1"/>
  <c r="P13" i="1"/>
  <c r="N13" i="1"/>
  <c r="L13" i="1"/>
  <c r="K13" i="1"/>
  <c r="J13" i="1"/>
  <c r="AP15" i="1"/>
  <c r="W15" i="1"/>
  <c r="U15" i="1"/>
  <c r="S15" i="1"/>
  <c r="R15" i="1"/>
  <c r="P15" i="1"/>
  <c r="N15" i="1"/>
  <c r="L15" i="1"/>
  <c r="K15" i="1"/>
  <c r="J15" i="1"/>
  <c r="AP14" i="1"/>
  <c r="W14" i="1"/>
  <c r="U14" i="1"/>
  <c r="S14" i="1"/>
  <c r="R14" i="1"/>
  <c r="P14" i="1"/>
  <c r="N14" i="1"/>
  <c r="L14" i="1"/>
  <c r="K14" i="1"/>
  <c r="J14" i="1"/>
  <c r="AP9" i="1"/>
  <c r="W9" i="1"/>
  <c r="U9" i="1"/>
  <c r="S9" i="1"/>
  <c r="R9" i="1"/>
  <c r="P9" i="1"/>
  <c r="N9" i="1"/>
  <c r="AI9" i="1" s="1"/>
  <c r="L9" i="1"/>
  <c r="K9" i="1"/>
  <c r="J9" i="1"/>
  <c r="AP12" i="1"/>
  <c r="W12" i="1"/>
  <c r="U12" i="1"/>
  <c r="S12" i="1"/>
  <c r="R12" i="1"/>
  <c r="P12" i="1"/>
  <c r="N12" i="1"/>
  <c r="AI12" i="1" s="1"/>
  <c r="L12" i="1"/>
  <c r="K12" i="1"/>
  <c r="J12" i="1"/>
  <c r="AP7" i="1"/>
  <c r="AO7" i="1"/>
  <c r="AN7" i="1"/>
  <c r="AM7" i="1"/>
  <c r="AL7" i="1"/>
  <c r="AK7" i="1"/>
  <c r="AJ7" i="1"/>
  <c r="AH7" i="1"/>
  <c r="AG7" i="1"/>
  <c r="W7" i="1"/>
  <c r="U7" i="1"/>
  <c r="S7" i="1"/>
  <c r="R7" i="1"/>
  <c r="P7" i="1"/>
  <c r="L7" i="1"/>
  <c r="K7" i="1"/>
  <c r="J7" i="1"/>
  <c r="AP17" i="1"/>
  <c r="W17" i="1"/>
  <c r="U17" i="1"/>
  <c r="S17" i="1"/>
  <c r="R17" i="1"/>
  <c r="P17" i="1"/>
  <c r="N17" i="1"/>
  <c r="L17" i="1"/>
  <c r="K17" i="1"/>
  <c r="J17" i="1"/>
  <c r="AP6" i="1"/>
  <c r="W6" i="1"/>
  <c r="U6" i="1"/>
  <c r="S6" i="1"/>
  <c r="R6" i="1"/>
  <c r="P6" i="1"/>
  <c r="N6" i="1"/>
  <c r="L6" i="1"/>
  <c r="K6" i="1"/>
  <c r="J6" i="1"/>
  <c r="AP23" i="1"/>
  <c r="R2" i="1" l="1"/>
  <c r="S2" i="1"/>
  <c r="U2" i="1"/>
  <c r="N2" i="1"/>
  <c r="AG6" i="1"/>
  <c r="AK6" i="1"/>
  <c r="AO6" i="1"/>
  <c r="AI6" i="1"/>
  <c r="AM6" i="1"/>
  <c r="AJ6" i="1"/>
  <c r="AN6" i="1"/>
  <c r="AH6" i="1"/>
  <c r="AL6" i="1"/>
  <c r="AL13" i="1"/>
  <c r="AI13" i="1"/>
  <c r="AL19" i="1"/>
  <c r="AI19" i="1"/>
  <c r="AJ14" i="1"/>
  <c r="AI14" i="1"/>
  <c r="AJ17" i="1"/>
  <c r="AI17" i="1"/>
  <c r="AM15" i="1"/>
  <c r="AI15" i="1"/>
  <c r="AJ16" i="1"/>
  <c r="AI16" i="1"/>
  <c r="AL21" i="1"/>
  <c r="AI21" i="1"/>
  <c r="AL9" i="1"/>
  <c r="AN15" i="1"/>
  <c r="AN16" i="1"/>
  <c r="AN21" i="1"/>
  <c r="AN12" i="1"/>
  <c r="AO14" i="1"/>
  <c r="AK14" i="1"/>
  <c r="AO13" i="1"/>
  <c r="AN17" i="1"/>
  <c r="AK15" i="1"/>
  <c r="AH13" i="1"/>
  <c r="AM21" i="1"/>
  <c r="AO17" i="1"/>
  <c r="AN14" i="1"/>
  <c r="AK13" i="1"/>
  <c r="AO19" i="1"/>
  <c r="AH16" i="1"/>
  <c r="AM12" i="1"/>
  <c r="AL15" i="1"/>
  <c r="AH15" i="1"/>
  <c r="AO15" i="1"/>
  <c r="AK16" i="1"/>
  <c r="AK19" i="1"/>
  <c r="AJ21" i="1"/>
  <c r="AH19" i="1"/>
  <c r="AJ19" i="1"/>
  <c r="AH21" i="1"/>
  <c r="AO21" i="1"/>
  <c r="AH17" i="1"/>
  <c r="AJ12" i="1"/>
  <c r="AK17" i="1"/>
  <c r="AH14" i="1"/>
  <c r="AJ15" i="1"/>
  <c r="AM13" i="1"/>
  <c r="AO16" i="1"/>
  <c r="AN19" i="1"/>
  <c r="AM19" i="1"/>
  <c r="AK21" i="1"/>
  <c r="AM9" i="1"/>
  <c r="AG17" i="1"/>
  <c r="AL17" i="1"/>
  <c r="AK12" i="1"/>
  <c r="AO12" i="1"/>
  <c r="AJ9" i="1"/>
  <c r="AN9" i="1"/>
  <c r="AG14" i="1"/>
  <c r="AL14" i="1"/>
  <c r="AJ13" i="1"/>
  <c r="AN13" i="1"/>
  <c r="AG16" i="1"/>
  <c r="AL16" i="1"/>
  <c r="AH9" i="1"/>
  <c r="AM17" i="1"/>
  <c r="AG12" i="1"/>
  <c r="AL12" i="1"/>
  <c r="AK9" i="1"/>
  <c r="AO9" i="1"/>
  <c r="AM14" i="1"/>
  <c r="AM16" i="1"/>
  <c r="AH12" i="1"/>
  <c r="AG9" i="1"/>
  <c r="AG15" i="1"/>
  <c r="AG13" i="1"/>
  <c r="AG19" i="1"/>
  <c r="AG21" i="1"/>
  <c r="A6" i="10" l="1"/>
  <c r="B6" i="10"/>
  <c r="D6" i="10"/>
  <c r="A5" i="3"/>
  <c r="B5" i="3"/>
  <c r="D5" i="3"/>
  <c r="E5" i="3"/>
  <c r="I5" i="3" s="1"/>
  <c r="CE5" i="3" s="1"/>
  <c r="F5" i="3"/>
  <c r="G5" i="3" s="1"/>
  <c r="J5" i="3"/>
  <c r="K5" i="3"/>
  <c r="L5" i="3"/>
  <c r="M5" i="3"/>
  <c r="N5" i="3"/>
  <c r="O5" i="3"/>
  <c r="P5" i="3"/>
  <c r="Q5" i="3"/>
  <c r="O3" i="12"/>
  <c r="S3" i="12"/>
  <c r="P3" i="12"/>
  <c r="O12" i="12"/>
  <c r="P12" i="12"/>
  <c r="O6" i="12"/>
  <c r="S6" i="12"/>
  <c r="P6" i="12"/>
  <c r="CB5" i="3" l="1"/>
  <c r="CD5" i="3" s="1"/>
  <c r="CC5" i="3"/>
  <c r="BZ5" i="3"/>
  <c r="BX5" i="3"/>
  <c r="BY5" i="3"/>
  <c r="CA5" i="3" s="1"/>
  <c r="BV5" i="3"/>
  <c r="BW5" i="3"/>
  <c r="BT5" i="3"/>
  <c r="BU5" i="3"/>
  <c r="BR5" i="3"/>
  <c r="BS5" i="3"/>
  <c r="BP5" i="3"/>
  <c r="BQ5" i="3"/>
  <c r="BN5" i="3"/>
  <c r="BO5" i="3"/>
  <c r="BL5" i="3"/>
  <c r="BM5" i="3"/>
  <c r="BJ5" i="3"/>
  <c r="BK5" i="3"/>
  <c r="BH5" i="3"/>
  <c r="BI5" i="3"/>
  <c r="BF5" i="3"/>
  <c r="BG5" i="3"/>
  <c r="BD5" i="3"/>
  <c r="BE5" i="3"/>
  <c r="BA5" i="3"/>
  <c r="BC5" i="3" s="1"/>
  <c r="BB5" i="3"/>
  <c r="AX5" i="3"/>
  <c r="AZ5" i="3"/>
  <c r="AU5" i="3"/>
  <c r="AW5" i="3"/>
  <c r="AY5" i="3" s="1"/>
  <c r="AS5" i="3"/>
  <c r="AT5" i="3"/>
  <c r="AV5" i="3" s="1"/>
  <c r="AP5" i="3"/>
  <c r="AR5" i="3" s="1"/>
  <c r="AQ5" i="3"/>
  <c r="AN5" i="3"/>
  <c r="AO5" i="3"/>
  <c r="AL5" i="3"/>
  <c r="AM5" i="3"/>
  <c r="AJ5" i="3"/>
  <c r="AK5" i="3"/>
  <c r="AH5" i="3"/>
  <c r="AI5" i="3"/>
  <c r="AE5" i="3"/>
  <c r="AG5" i="3"/>
  <c r="AC5" i="3"/>
  <c r="AD5" i="3"/>
  <c r="AF5" i="3" s="1"/>
  <c r="Z5" i="3"/>
  <c r="AB5" i="3" s="1"/>
  <c r="AA5" i="3"/>
  <c r="X5" i="3"/>
  <c r="U5" i="3"/>
  <c r="V5" i="3" s="1"/>
  <c r="W5" i="3"/>
  <c r="Y5" i="3" s="1"/>
  <c r="R5" i="3"/>
  <c r="S5" i="3"/>
  <c r="T5" i="3"/>
  <c r="Q12" i="12"/>
  <c r="H5" i="3"/>
  <c r="R3" i="12"/>
  <c r="R6" i="12"/>
  <c r="S12" i="12"/>
  <c r="Q6" i="12"/>
  <c r="R12" i="12"/>
  <c r="Q3" i="12"/>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H52" i="14"/>
  <c r="AB52" i="14" s="1"/>
  <c r="E52" i="14"/>
  <c r="D52" i="14"/>
  <c r="AH51" i="14"/>
  <c r="AB51" i="14"/>
  <c r="H51" i="14"/>
  <c r="E51" i="14"/>
  <c r="D51" i="14"/>
  <c r="C51" i="14"/>
  <c r="AH50" i="14"/>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F43" i="14"/>
  <c r="E43" i="14"/>
  <c r="D43" i="14"/>
  <c r="C43" i="14"/>
  <c r="B43" i="14"/>
  <c r="B61" i="14" s="1"/>
  <c r="F42" i="14"/>
  <c r="E42" i="14"/>
  <c r="D42" i="14"/>
  <c r="C42" i="14"/>
  <c r="B42" i="14"/>
  <c r="B60" i="14" s="1"/>
  <c r="AH41" i="14"/>
  <c r="N59" i="14" s="1"/>
  <c r="AB41" i="14"/>
  <c r="H59" i="14" s="1"/>
  <c r="AB59" i="14" s="1"/>
  <c r="E41" i="14"/>
  <c r="D41" i="14"/>
  <c r="D59" i="14" s="1"/>
  <c r="C41" i="14"/>
  <c r="C59" i="14" s="1"/>
  <c r="B41" i="14"/>
  <c r="B59"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E39" i="14"/>
  <c r="D39" i="14"/>
  <c r="D57" i="14" s="1"/>
  <c r="C39" i="14"/>
  <c r="C57" i="14" s="1"/>
  <c r="B39" i="14"/>
  <c r="B57" i="14" s="1"/>
  <c r="J38" i="14"/>
  <c r="AD38" i="14" s="1"/>
  <c r="J56" i="14" s="1"/>
  <c r="AD56" i="14" s="1"/>
  <c r="F38" i="14"/>
  <c r="E38" i="14"/>
  <c r="D38" i="14"/>
  <c r="B38" i="14"/>
  <c r="B56" i="14" s="1"/>
  <c r="F37" i="14"/>
  <c r="E37" i="14"/>
  <c r="D37" i="14"/>
  <c r="B37" i="14"/>
  <c r="B55"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N34" i="14"/>
  <c r="M34" i="14"/>
  <c r="AG34" i="14" s="1"/>
  <c r="M52" i="14" s="1"/>
  <c r="B34" i="14"/>
  <c r="B52" i="14" s="1"/>
  <c r="AR33" i="14"/>
  <c r="Z32" i="14" s="1"/>
  <c r="F50" i="14" s="1"/>
  <c r="Z50" i="14" s="1"/>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N33" i="14"/>
  <c r="B33" i="14"/>
  <c r="B51" i="14" s="1"/>
  <c r="AM32" i="14"/>
  <c r="S50" i="14" s="1"/>
  <c r="AM50" i="14" s="1"/>
  <c r="AL32" i="14"/>
  <c r="R50" i="14" s="1"/>
  <c r="AL50" i="14" s="1"/>
  <c r="AK32" i="14"/>
  <c r="Q50" i="14" s="1"/>
  <c r="AK50" i="14" s="1"/>
  <c r="AJ32" i="14"/>
  <c r="P50" i="14" s="1"/>
  <c r="AJ50" i="14" s="1"/>
  <c r="AH32" i="14"/>
  <c r="N50" i="14" s="1"/>
  <c r="AE32" i="14"/>
  <c r="K50" i="14" s="1"/>
  <c r="AE50" i="14" s="1"/>
  <c r="AD32" i="14"/>
  <c r="J50" i="14" s="1"/>
  <c r="AD50" i="14" s="1"/>
  <c r="AC32" i="14"/>
  <c r="I50" i="14" s="1"/>
  <c r="AC50" i="14" s="1"/>
  <c r="N32" i="14"/>
  <c r="M32" i="14"/>
  <c r="AG32" i="14" s="1"/>
  <c r="M50" i="14" s="1"/>
  <c r="B32" i="14"/>
  <c r="B50" i="14" s="1"/>
  <c r="AM31" i="14"/>
  <c r="S49" i="14" s="1"/>
  <c r="AM49" i="14" s="1"/>
  <c r="AL31" i="14"/>
  <c r="R49" i="14" s="1"/>
  <c r="AL49" i="14" s="1"/>
  <c r="AK31" i="14"/>
  <c r="Q49" i="14" s="1"/>
  <c r="AK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N29" i="14"/>
  <c r="B29" i="14"/>
  <c r="B47" i="14" s="1"/>
  <c r="Z28" i="14"/>
  <c r="Z46" i="14" s="1"/>
  <c r="Y28" i="14"/>
  <c r="Y46" i="14" s="1"/>
  <c r="F28" i="14"/>
  <c r="F46" i="14" s="1"/>
  <c r="E28" i="14"/>
  <c r="E46" i="14" s="1"/>
  <c r="D28" i="14"/>
  <c r="D46" i="14" s="1"/>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T43" i="14" s="1"/>
  <c r="AN43" i="14" s="1"/>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T59" i="14" s="1"/>
  <c r="AN59" i="14" s="1"/>
  <c r="AM23" i="14"/>
  <c r="S41" i="14" s="1"/>
  <c r="AM41" i="14" s="1"/>
  <c r="S59" i="14" s="1"/>
  <c r="AM59" i="14" s="1"/>
  <c r="AL23" i="14"/>
  <c r="R41" i="14" s="1"/>
  <c r="AL41" i="14" s="1"/>
  <c r="R59" i="14" s="1"/>
  <c r="AL59" i="14" s="1"/>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M40" i="14" s="1"/>
  <c r="S58" i="14" s="1"/>
  <c r="AM58" i="14" s="1"/>
  <c r="AL22" i="14"/>
  <c r="R40" i="14" s="1"/>
  <c r="AL40" i="14" s="1"/>
  <c r="R58" i="14" s="1"/>
  <c r="AL58" i="14" s="1"/>
  <c r="AK22" i="14"/>
  <c r="Q40" i="14" s="1"/>
  <c r="AK40" i="14" s="1"/>
  <c r="Q58" i="14" s="1"/>
  <c r="AK58" i="14" s="1"/>
  <c r="AJ22" i="14"/>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J39" i="14" s="1"/>
  <c r="AD39" i="14" s="1"/>
  <c r="J57" i="14" s="1"/>
  <c r="AD57" i="14" s="1"/>
  <c r="AC21" i="14"/>
  <c r="I39" i="14" s="1"/>
  <c r="AC39" i="14" s="1"/>
  <c r="I57" i="14" s="1"/>
  <c r="AC57" i="14" s="1"/>
  <c r="AB21" i="14"/>
  <c r="H39" i="14" s="1"/>
  <c r="AA21" i="14"/>
  <c r="G39" i="14" s="1"/>
  <c r="AA39" i="14" s="1"/>
  <c r="G57" i="14" s="1"/>
  <c r="AA57" i="14" s="1"/>
  <c r="V21" i="14"/>
  <c r="N21" i="14"/>
  <c r="N9" i="14" s="1"/>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R18" i="14"/>
  <c r="Z23" i="14" s="1"/>
  <c r="F41" i="14" s="1"/>
  <c r="Z41" i="14" s="1"/>
  <c r="F59" i="14" s="1"/>
  <c r="Z59" i="14" s="1"/>
  <c r="AO18" i="14"/>
  <c r="U36" i="14" s="1"/>
  <c r="AO36" i="14" s="1"/>
  <c r="U54" i="14" s="1"/>
  <c r="AO54"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O17" i="14"/>
  <c r="U35" i="14" s="1"/>
  <c r="AO35" i="14" s="1"/>
  <c r="U53" i="14" s="1"/>
  <c r="AO53" i="14" s="1"/>
  <c r="AN17" i="14"/>
  <c r="T35" i="14" s="1"/>
  <c r="AN35" i="14" s="1"/>
  <c r="T53" i="14" s="1"/>
  <c r="AN53" i="14" s="1"/>
  <c r="AM17" i="14"/>
  <c r="AL17" i="14"/>
  <c r="AK17" i="14"/>
  <c r="AJ17" i="14"/>
  <c r="AP17" i="14" s="1"/>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S18" i="14" s="1"/>
  <c r="AO16" i="14"/>
  <c r="U34" i="14" s="1"/>
  <c r="AO34" i="14" s="1"/>
  <c r="U52" i="14" s="1"/>
  <c r="AO52" i="14" s="1"/>
  <c r="AN16" i="14"/>
  <c r="T34" i="14" s="1"/>
  <c r="AN34" i="14" s="1"/>
  <c r="T52" i="14" s="1"/>
  <c r="AN52" i="14" s="1"/>
  <c r="AM16" i="14"/>
  <c r="AL16" i="14"/>
  <c r="AK16" i="14"/>
  <c r="AJ16" i="14"/>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T33" i="14" s="1"/>
  <c r="AN33" i="14" s="1"/>
  <c r="T51" i="14" s="1"/>
  <c r="AN51" i="14" s="1"/>
  <c r="AM15" i="14"/>
  <c r="AL15" i="14"/>
  <c r="AK15" i="14"/>
  <c r="AJ15" i="14"/>
  <c r="AI15" i="14"/>
  <c r="O33" i="14" s="1"/>
  <c r="AH15" i="14"/>
  <c r="AG15" i="14"/>
  <c r="M33" i="14" s="1"/>
  <c r="AG33" i="14" s="1"/>
  <c r="M51" i="14" s="1"/>
  <c r="AF15" i="14"/>
  <c r="L33" i="14" s="1"/>
  <c r="AF33" i="14" s="1"/>
  <c r="L51" i="14" s="1"/>
  <c r="AF51" i="14" s="1"/>
  <c r="AE15" i="14"/>
  <c r="AD15" i="14"/>
  <c r="AC15" i="14"/>
  <c r="AB15" i="14"/>
  <c r="AA15" i="14"/>
  <c r="G33" i="14" s="1"/>
  <c r="AA33" i="14" s="1"/>
  <c r="G51" i="14" s="1"/>
  <c r="AA51" i="14" s="1"/>
  <c r="V15" i="14"/>
  <c r="AO14" i="14"/>
  <c r="U32" i="14" s="1"/>
  <c r="AO32" i="14" s="1"/>
  <c r="U50" i="14" s="1"/>
  <c r="AO50" i="14" s="1"/>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S30" i="14" s="1"/>
  <c r="AM30" i="14" s="1"/>
  <c r="S48" i="14" s="1"/>
  <c r="AM48" i="14" s="1"/>
  <c r="AL12" i="14"/>
  <c r="R30" i="14" s="1"/>
  <c r="AL30" i="14" s="1"/>
  <c r="R48" i="14" s="1"/>
  <c r="AL48" i="14" s="1"/>
  <c r="AK12" i="14"/>
  <c r="Q30" i="14" s="1"/>
  <c r="AK30" i="14" s="1"/>
  <c r="Q48" i="14" s="1"/>
  <c r="AK48" i="14" s="1"/>
  <c r="AJ12" i="14"/>
  <c r="AI12" i="14"/>
  <c r="O30" i="14" s="1"/>
  <c r="AI30" i="14" s="1"/>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V12" i="14"/>
  <c r="AO11" i="14"/>
  <c r="U29" i="14" s="1"/>
  <c r="AO29" i="14" s="1"/>
  <c r="U47" i="14" s="1"/>
  <c r="AO47" i="14" s="1"/>
  <c r="AN11" i="14"/>
  <c r="T29" i="14" s="1"/>
  <c r="AN29" i="14" s="1"/>
  <c r="T47" i="14" s="1"/>
  <c r="AN47" i="14" s="1"/>
  <c r="AM11" i="14"/>
  <c r="S29" i="14" s="1"/>
  <c r="AM29" i="14" s="1"/>
  <c r="S47" i="14" s="1"/>
  <c r="AM47" i="14" s="1"/>
  <c r="AL11" i="14"/>
  <c r="R29" i="14" s="1"/>
  <c r="AL29" i="14" s="1"/>
  <c r="R47" i="14" s="1"/>
  <c r="AL47" i="14" s="1"/>
  <c r="AK11" i="14"/>
  <c r="Q29" i="14" s="1"/>
  <c r="AK29" i="14" s="1"/>
  <c r="Q47" i="14" s="1"/>
  <c r="AK47" i="14" s="1"/>
  <c r="AJ11" i="14"/>
  <c r="P29" i="14" s="1"/>
  <c r="AI11" i="14"/>
  <c r="AH11" i="14"/>
  <c r="AG11" i="14"/>
  <c r="M29" i="14" s="1"/>
  <c r="AG29" i="14" s="1"/>
  <c r="M47" i="14" s="1"/>
  <c r="AF11" i="14"/>
  <c r="L29" i="14" s="1"/>
  <c r="AF29" i="14" s="1"/>
  <c r="L47" i="14" s="1"/>
  <c r="AF47" i="14" s="1"/>
  <c r="AE11" i="14"/>
  <c r="K29" i="14" s="1"/>
  <c r="AE29" i="14" s="1"/>
  <c r="K47" i="14" s="1"/>
  <c r="AE47" i="14" s="1"/>
  <c r="AD11" i="14"/>
  <c r="J29" i="14" s="1"/>
  <c r="AD29" i="14" s="1"/>
  <c r="J47" i="14" s="1"/>
  <c r="AD47" i="14" s="1"/>
  <c r="AC11" i="14"/>
  <c r="I29" i="14" s="1"/>
  <c r="AC29" i="14" s="1"/>
  <c r="I47" i="14" s="1"/>
  <c r="AC47" i="14" s="1"/>
  <c r="AB11" i="14"/>
  <c r="H29" i="14" s="1"/>
  <c r="AA11" i="14"/>
  <c r="V11" i="14"/>
  <c r="AR3" i="14"/>
  <c r="AS3" i="14" s="1"/>
  <c r="AH9" i="14" l="1"/>
  <c r="Z33" i="14"/>
  <c r="F51" i="14" s="1"/>
  <c r="Z51" i="14" s="1"/>
  <c r="Z12" i="14"/>
  <c r="F30" i="14" s="1"/>
  <c r="Z30" i="14" s="1"/>
  <c r="F48" i="14" s="1"/>
  <c r="Z48" i="14" s="1"/>
  <c r="AP12" i="14"/>
  <c r="AP11" i="14"/>
  <c r="AP13" i="14"/>
  <c r="Z22" i="14"/>
  <c r="F40" i="14" s="1"/>
  <c r="Z40" i="14" s="1"/>
  <c r="F58" i="14" s="1"/>
  <c r="Z58" i="14" s="1"/>
  <c r="AP22" i="14"/>
  <c r="AP16" i="14"/>
  <c r="V38" i="14"/>
  <c r="AS33" i="14"/>
  <c r="AP14" i="14"/>
  <c r="AP26" i="14"/>
  <c r="AJ31" i="14"/>
  <c r="P49" i="14" s="1"/>
  <c r="AJ49" i="14" s="1"/>
  <c r="V29" i="14"/>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AI42" i="14"/>
  <c r="V42" i="14"/>
  <c r="AP25" i="14"/>
  <c r="AI47" i="14"/>
  <c r="Z35" i="14"/>
  <c r="F53" i="14" s="1"/>
  <c r="Z53" i="14" s="1"/>
  <c r="AJ34" i="14"/>
  <c r="P52" i="14" s="1"/>
  <c r="AJ52" i="14" s="1"/>
  <c r="V39" i="14"/>
  <c r="AI40" i="14"/>
  <c r="AH45" i="14"/>
  <c r="V40" i="14" l="1"/>
  <c r="V30" i="14"/>
  <c r="V31" i="14"/>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AM82" i="7"/>
  <c r="AL82" i="7"/>
  <c r="AI82" i="7"/>
  <c r="AF82" i="7"/>
  <c r="AD82" i="7"/>
  <c r="AA82" i="7"/>
  <c r="M82" i="7"/>
  <c r="AM81" i="7"/>
  <c r="AL81" i="7"/>
  <c r="AI81" i="7"/>
  <c r="AF81" i="7"/>
  <c r="AD81" i="7"/>
  <c r="AA81" i="7"/>
  <c r="M81" i="7"/>
  <c r="AF80" i="7"/>
  <c r="AF79" i="7"/>
  <c r="AE79" i="7"/>
  <c r="AE80" i="7" s="1"/>
  <c r="AF78" i="7"/>
  <c r="AF77" i="7"/>
  <c r="AF76" i="7"/>
  <c r="AQ75" i="7"/>
  <c r="AQ76" i="7" s="1"/>
  <c r="X69" i="7" s="1"/>
  <c r="AF75" i="7"/>
  <c r="AF74" i="7"/>
  <c r="G74" i="7"/>
  <c r="Z74" i="7" s="1"/>
  <c r="C74" i="7"/>
  <c r="B74" i="7"/>
  <c r="AF73" i="7"/>
  <c r="G73" i="7"/>
  <c r="Z73" i="7" s="1"/>
  <c r="C73" i="7"/>
  <c r="B73" i="7"/>
  <c r="AF72" i="7"/>
  <c r="G72" i="7"/>
  <c r="Z72" i="7" s="1"/>
  <c r="C72" i="7"/>
  <c r="B72" i="7"/>
  <c r="AF71" i="7"/>
  <c r="G71" i="7"/>
  <c r="Z71" i="7" s="1"/>
  <c r="C71" i="7"/>
  <c r="B71" i="7"/>
  <c r="AL70" i="7"/>
  <c r="AI70" i="7"/>
  <c r="AH70" i="7"/>
  <c r="AF70" i="7"/>
  <c r="AD70" i="7"/>
  <c r="AA70" i="7"/>
  <c r="Z70" i="7"/>
  <c r="W70" i="7"/>
  <c r="M70" i="7"/>
  <c r="AL69" i="7"/>
  <c r="AI69" i="7"/>
  <c r="AH69" i="7"/>
  <c r="AF69" i="7"/>
  <c r="AD69" i="7"/>
  <c r="AA69" i="7"/>
  <c r="Z69" i="7"/>
  <c r="W69" i="7"/>
  <c r="M69" i="7"/>
  <c r="AL68" i="7"/>
  <c r="AI68" i="7"/>
  <c r="AH68" i="7"/>
  <c r="AF68" i="7"/>
  <c r="AD68" i="7"/>
  <c r="AA68" i="7"/>
  <c r="Z68" i="7"/>
  <c r="W68" i="7"/>
  <c r="M68" i="7"/>
  <c r="AM67" i="7"/>
  <c r="AH67" i="7"/>
  <c r="AG67" i="7"/>
  <c r="AF67" i="7"/>
  <c r="AE67" i="7"/>
  <c r="AE81" i="7" s="1"/>
  <c r="AE82" i="7" s="1"/>
  <c r="Z67" i="7"/>
  <c r="Y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Z60" i="7"/>
  <c r="G78" i="7" s="1"/>
  <c r="Z78" i="7" s="1"/>
  <c r="H60" i="7"/>
  <c r="AA60" i="7" s="1"/>
  <c r="H78" i="7" s="1"/>
  <c r="AA78" i="7" s="1"/>
  <c r="AF59" i="7"/>
  <c r="M77" i="7" s="1"/>
  <c r="Z59" i="7"/>
  <c r="G77" i="7" s="1"/>
  <c r="Z77" i="7" s="1"/>
  <c r="S59" i="7"/>
  <c r="AL59" i="7" s="1"/>
  <c r="S77" i="7" s="1"/>
  <c r="AL77" i="7" s="1"/>
  <c r="P59" i="7"/>
  <c r="AI59" i="7" s="1"/>
  <c r="P77" i="7" s="1"/>
  <c r="AI77" i="7" s="1"/>
  <c r="K59" i="7"/>
  <c r="AD59" i="7" s="1"/>
  <c r="K77" i="7" s="1"/>
  <c r="AD77" i="7" s="1"/>
  <c r="H59" i="7"/>
  <c r="AA59" i="7" s="1"/>
  <c r="H77" i="7" s="1"/>
  <c r="AA77" i="7" s="1"/>
  <c r="C59" i="7"/>
  <c r="C77" i="7" s="1"/>
  <c r="B59" i="7"/>
  <c r="B77" i="7" s="1"/>
  <c r="AF58" i="7"/>
  <c r="M76" i="7" s="1"/>
  <c r="AA58" i="7"/>
  <c r="H76" i="7" s="1"/>
  <c r="AA76" i="7" s="1"/>
  <c r="Z58" i="7"/>
  <c r="G76" i="7" s="1"/>
  <c r="Z76" i="7" s="1"/>
  <c r="S58" i="7"/>
  <c r="AL58" i="7" s="1"/>
  <c r="S76" i="7" s="1"/>
  <c r="AL76" i="7" s="1"/>
  <c r="P58" i="7"/>
  <c r="AI58" i="7" s="1"/>
  <c r="P76" i="7" s="1"/>
  <c r="AI76" i="7" s="1"/>
  <c r="K58" i="7"/>
  <c r="AD58" i="7" s="1"/>
  <c r="K76" i="7" s="1"/>
  <c r="AD76" i="7" s="1"/>
  <c r="H58" i="7"/>
  <c r="C58" i="7"/>
  <c r="C76" i="7" s="1"/>
  <c r="B58" i="7"/>
  <c r="B76" i="7" s="1"/>
  <c r="AL57" i="7"/>
  <c r="S75" i="7" s="1"/>
  <c r="AL75" i="7" s="1"/>
  <c r="AF57" i="7"/>
  <c r="M75" i="7" s="1"/>
  <c r="Z57" i="7"/>
  <c r="G75" i="7" s="1"/>
  <c r="Z75" i="7" s="1"/>
  <c r="S57" i="7"/>
  <c r="P57" i="7"/>
  <c r="AI57" i="7" s="1"/>
  <c r="P75" i="7" s="1"/>
  <c r="AI75" i="7" s="1"/>
  <c r="K57" i="7"/>
  <c r="AD57" i="7" s="1"/>
  <c r="K75" i="7" s="1"/>
  <c r="AD75" i="7" s="1"/>
  <c r="H57" i="7"/>
  <c r="AA57" i="7" s="1"/>
  <c r="H75" i="7" s="1"/>
  <c r="AA75" i="7" s="1"/>
  <c r="C57" i="7"/>
  <c r="C75" i="7" s="1"/>
  <c r="B57" i="7"/>
  <c r="B75" i="7" s="1"/>
  <c r="AL56" i="7"/>
  <c r="S74" i="7" s="1"/>
  <c r="AL74" i="7" s="1"/>
  <c r="AI56" i="7"/>
  <c r="P74" i="7" s="1"/>
  <c r="AI74" i="7" s="1"/>
  <c r="AH56" i="7"/>
  <c r="O74" i="7" s="1"/>
  <c r="AH74" i="7" s="1"/>
  <c r="AF56" i="7"/>
  <c r="M74" i="7" s="1"/>
  <c r="AD56" i="7"/>
  <c r="K74" i="7" s="1"/>
  <c r="AD74" i="7" s="1"/>
  <c r="AA56" i="7"/>
  <c r="H74" i="7" s="1"/>
  <c r="AA74" i="7" s="1"/>
  <c r="W56" i="7"/>
  <c r="D74" i="7" s="1"/>
  <c r="W74" i="7" s="1"/>
  <c r="M56" i="7"/>
  <c r="AQ55" i="7"/>
  <c r="AQ56" i="7" s="1"/>
  <c r="AL55" i="7"/>
  <c r="S73" i="7" s="1"/>
  <c r="AL73" i="7" s="1"/>
  <c r="AI55" i="7"/>
  <c r="P73" i="7" s="1"/>
  <c r="AI73" i="7" s="1"/>
  <c r="AH55" i="7"/>
  <c r="O73" i="7" s="1"/>
  <c r="AH73" i="7" s="1"/>
  <c r="AF55" i="7"/>
  <c r="AD55" i="7"/>
  <c r="K73" i="7" s="1"/>
  <c r="AD73" i="7" s="1"/>
  <c r="AA55" i="7"/>
  <c r="H73" i="7" s="1"/>
  <c r="AA73" i="7" s="1"/>
  <c r="W55" i="7"/>
  <c r="D73" i="7" s="1"/>
  <c r="W73" i="7" s="1"/>
  <c r="M55" i="7"/>
  <c r="AL54" i="7"/>
  <c r="S72" i="7" s="1"/>
  <c r="AL72" i="7" s="1"/>
  <c r="AI54" i="7"/>
  <c r="P72" i="7" s="1"/>
  <c r="AI72" i="7" s="1"/>
  <c r="AH54" i="7"/>
  <c r="O72" i="7" s="1"/>
  <c r="AH72" i="7" s="1"/>
  <c r="AF54" i="7"/>
  <c r="M72" i="7" s="1"/>
  <c r="AD54" i="7"/>
  <c r="K72" i="7" s="1"/>
  <c r="AD72" i="7" s="1"/>
  <c r="AA54" i="7"/>
  <c r="H72" i="7" s="1"/>
  <c r="AA72" i="7" s="1"/>
  <c r="W54" i="7"/>
  <c r="D72" i="7" s="1"/>
  <c r="W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46" i="7"/>
  <c r="T64" i="7" s="1"/>
  <c r="AM64" i="7" s="1"/>
  <c r="AK46" i="7"/>
  <c r="R64" i="7" s="1"/>
  <c r="AK64" i="7" s="1"/>
  <c r="R82" i="7" s="1"/>
  <c r="AK82" i="7" s="1"/>
  <c r="AI46" i="7"/>
  <c r="P64" i="7" s="1"/>
  <c r="AI64" i="7" s="1"/>
  <c r="T46" i="7"/>
  <c r="S46" i="7"/>
  <c r="AL46" i="7" s="1"/>
  <c r="S64" i="7" s="1"/>
  <c r="AL64" i="7" s="1"/>
  <c r="R46" i="7"/>
  <c r="Q46" i="7"/>
  <c r="AJ46" i="7" s="1"/>
  <c r="Q64" i="7" s="1"/>
  <c r="AJ64" i="7" s="1"/>
  <c r="Q82" i="7" s="1"/>
  <c r="AJ82" i="7" s="1"/>
  <c r="P46" i="7"/>
  <c r="O46" i="7"/>
  <c r="AH46" i="7" s="1"/>
  <c r="O64" i="7" s="1"/>
  <c r="AH64" i="7" s="1"/>
  <c r="O82" i="7" s="1"/>
  <c r="AH82" i="7" s="1"/>
  <c r="N46" i="7"/>
  <c r="AG46" i="7" s="1"/>
  <c r="N64" i="7" s="1"/>
  <c r="AG64" i="7" s="1"/>
  <c r="T45" i="7"/>
  <c r="AM45" i="7" s="1"/>
  <c r="T63" i="7" s="1"/>
  <c r="AM63" i="7" s="1"/>
  <c r="S45" i="7"/>
  <c r="AL45" i="7" s="1"/>
  <c r="S63" i="7" s="1"/>
  <c r="AL63" i="7" s="1"/>
  <c r="R45" i="7"/>
  <c r="AK45" i="7" s="1"/>
  <c r="R63" i="7" s="1"/>
  <c r="AK63" i="7" s="1"/>
  <c r="R81" i="7" s="1"/>
  <c r="AK81" i="7" s="1"/>
  <c r="Q45" i="7"/>
  <c r="AJ45" i="7" s="1"/>
  <c r="Q63" i="7" s="1"/>
  <c r="AJ63" i="7" s="1"/>
  <c r="Q81" i="7" s="1"/>
  <c r="AJ81" i="7" s="1"/>
  <c r="P45" i="7"/>
  <c r="AI45" i="7" s="1"/>
  <c r="P63" i="7" s="1"/>
  <c r="AI63" i="7" s="1"/>
  <c r="O45" i="7"/>
  <c r="AH45" i="7" s="1"/>
  <c r="O63" i="7" s="1"/>
  <c r="AH63" i="7" s="1"/>
  <c r="O81" i="7" s="1"/>
  <c r="AH81" i="7" s="1"/>
  <c r="N45" i="7"/>
  <c r="AG45" i="7" s="1"/>
  <c r="N63" i="7" s="1"/>
  <c r="AL44" i="7"/>
  <c r="S62" i="7" s="1"/>
  <c r="AL62" i="7" s="1"/>
  <c r="S80" i="7" s="1"/>
  <c r="AL80" i="7" s="1"/>
  <c r="AF44" i="7"/>
  <c r="M62" i="7" s="1"/>
  <c r="AA44" i="7"/>
  <c r="H62" i="7" s="1"/>
  <c r="AA62" i="7" s="1"/>
  <c r="H80" i="7" s="1"/>
  <c r="AA80" i="7" s="1"/>
  <c r="J44" i="7"/>
  <c r="AC44" i="7" s="1"/>
  <c r="J62" i="7" s="1"/>
  <c r="AC62" i="7" s="1"/>
  <c r="J80" i="7" s="1"/>
  <c r="AC80" i="7" s="1"/>
  <c r="C44" i="7"/>
  <c r="C62" i="7" s="1"/>
  <c r="C80" i="7" s="1"/>
  <c r="B44" i="7"/>
  <c r="B62" i="7" s="1"/>
  <c r="B80" i="7" s="1"/>
  <c r="AF43" i="7"/>
  <c r="M61"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I42" i="7"/>
  <c r="AB42" i="7" s="1"/>
  <c r="I60" i="7" s="1"/>
  <c r="AB60" i="7" s="1"/>
  <c r="I78" i="7" s="1"/>
  <c r="AB78" i="7" s="1"/>
  <c r="C42" i="7"/>
  <c r="C60" i="7" s="1"/>
  <c r="C78" i="7" s="1"/>
  <c r="B42" i="7"/>
  <c r="B60" i="7" s="1"/>
  <c r="B78" i="7" s="1"/>
  <c r="AH41" i="7"/>
  <c r="O59" i="7" s="1"/>
  <c r="AH59" i="7" s="1"/>
  <c r="O77" i="7" s="1"/>
  <c r="AH77" i="7" s="1"/>
  <c r="Z41" i="7"/>
  <c r="G59" i="7" s="1"/>
  <c r="W41" i="7"/>
  <c r="D59" i="7" s="1"/>
  <c r="W59" i="7" s="1"/>
  <c r="D77" i="7" s="1"/>
  <c r="W77" i="7" s="1"/>
  <c r="T41" i="7"/>
  <c r="AM41" i="7" s="1"/>
  <c r="T59" i="7" s="1"/>
  <c r="AM59" i="7" s="1"/>
  <c r="T77" i="7" s="1"/>
  <c r="AM77" i="7" s="1"/>
  <c r="S41" i="7"/>
  <c r="R41" i="7"/>
  <c r="AK41" i="7" s="1"/>
  <c r="R59" i="7" s="1"/>
  <c r="AK59" i="7" s="1"/>
  <c r="R77" i="7" s="1"/>
  <c r="AK77" i="7" s="1"/>
  <c r="Q41" i="7"/>
  <c r="N41" i="7"/>
  <c r="AG41" i="7" s="1"/>
  <c r="N59" i="7" s="1"/>
  <c r="AG59" i="7" s="1"/>
  <c r="M41" i="7"/>
  <c r="AH40" i="7"/>
  <c r="O58" i="7" s="1"/>
  <c r="AH58" i="7" s="1"/>
  <c r="O76" i="7" s="1"/>
  <c r="AH76" i="7" s="1"/>
  <c r="Z40" i="7"/>
  <c r="G58" i="7" s="1"/>
  <c r="W40" i="7"/>
  <c r="D58" i="7" s="1"/>
  <c r="W58" i="7" s="1"/>
  <c r="D76" i="7" s="1"/>
  <c r="W76" i="7" s="1"/>
  <c r="T40" i="7"/>
  <c r="AM40" i="7" s="1"/>
  <c r="T58" i="7" s="1"/>
  <c r="AM58" i="7" s="1"/>
  <c r="T76" i="7" s="1"/>
  <c r="AM76" i="7" s="1"/>
  <c r="S40" i="7"/>
  <c r="R40" i="7"/>
  <c r="AK40" i="7" s="1"/>
  <c r="R58" i="7" s="1"/>
  <c r="AK58" i="7" s="1"/>
  <c r="R76" i="7" s="1"/>
  <c r="AK76" i="7" s="1"/>
  <c r="Q40" i="7"/>
  <c r="N40" i="7"/>
  <c r="AG40" i="7" s="1"/>
  <c r="N58" i="7" s="1"/>
  <c r="M40" i="7"/>
  <c r="AH39" i="7"/>
  <c r="O57" i="7" s="1"/>
  <c r="AH57" i="7" s="1"/>
  <c r="O75" i="7" s="1"/>
  <c r="AH75" i="7" s="1"/>
  <c r="AF39" i="7"/>
  <c r="M57" i="7" s="1"/>
  <c r="Z39" i="7"/>
  <c r="G57" i="7" s="1"/>
  <c r="W39" i="7"/>
  <c r="D57" i="7" s="1"/>
  <c r="W57" i="7" s="1"/>
  <c r="D75" i="7" s="1"/>
  <c r="W75" i="7" s="1"/>
  <c r="T39" i="7"/>
  <c r="AM39" i="7" s="1"/>
  <c r="T57" i="7" s="1"/>
  <c r="AM57" i="7" s="1"/>
  <c r="T75" i="7" s="1"/>
  <c r="AM75" i="7" s="1"/>
  <c r="S39" i="7"/>
  <c r="R39" i="7"/>
  <c r="AK39" i="7" s="1"/>
  <c r="R57" i="7" s="1"/>
  <c r="AK57" i="7" s="1"/>
  <c r="R75" i="7" s="1"/>
  <c r="AK75" i="7" s="1"/>
  <c r="Q39" i="7"/>
  <c r="N39" i="7"/>
  <c r="AG39" i="7" s="1"/>
  <c r="N57" i="7" s="1"/>
  <c r="AG57" i="7" s="1"/>
  <c r="M39" i="7"/>
  <c r="AS38" i="7"/>
  <c r="AQ38" i="7"/>
  <c r="AT38" i="7" s="1"/>
  <c r="AT39" i="7" s="1"/>
  <c r="AT40" i="7" s="1"/>
  <c r="AT41" i="7" s="1"/>
  <c r="AI38" i="7"/>
  <c r="T38" i="7"/>
  <c r="AM38" i="7" s="1"/>
  <c r="T56" i="7" s="1"/>
  <c r="AM56" i="7" s="1"/>
  <c r="T74" i="7" s="1"/>
  <c r="AM74" i="7" s="1"/>
  <c r="S38" i="7"/>
  <c r="AL38" i="7" s="1"/>
  <c r="R38" i="7"/>
  <c r="AK38" i="7" s="1"/>
  <c r="R56" i="7" s="1"/>
  <c r="AK56" i="7" s="1"/>
  <c r="R74" i="7" s="1"/>
  <c r="AK74" i="7" s="1"/>
  <c r="Q38" i="7"/>
  <c r="AJ38" i="7" s="1"/>
  <c r="Q56" i="7" s="1"/>
  <c r="AJ56" i="7" s="1"/>
  <c r="Q74" i="7" s="1"/>
  <c r="AJ74" i="7" s="1"/>
  <c r="P38" i="7"/>
  <c r="O38" i="7"/>
  <c r="AH38" i="7" s="1"/>
  <c r="N38" i="7"/>
  <c r="AG38" i="7" s="1"/>
  <c r="N56" i="7" s="1"/>
  <c r="T37" i="7"/>
  <c r="AM37" i="7" s="1"/>
  <c r="T55" i="7" s="1"/>
  <c r="AM55" i="7" s="1"/>
  <c r="T73" i="7" s="1"/>
  <c r="AM73" i="7" s="1"/>
  <c r="S37" i="7"/>
  <c r="AL37" i="7" s="1"/>
  <c r="R37" i="7"/>
  <c r="AK37" i="7" s="1"/>
  <c r="R55" i="7" s="1"/>
  <c r="AK55" i="7" s="1"/>
  <c r="R73" i="7" s="1"/>
  <c r="AK73" i="7" s="1"/>
  <c r="Q37" i="7"/>
  <c r="AJ37" i="7" s="1"/>
  <c r="Q55" i="7" s="1"/>
  <c r="AJ55" i="7" s="1"/>
  <c r="Q73" i="7" s="1"/>
  <c r="AJ73" i="7" s="1"/>
  <c r="P37" i="7"/>
  <c r="AI37" i="7" s="1"/>
  <c r="O37" i="7"/>
  <c r="AH37" i="7" s="1"/>
  <c r="N37" i="7"/>
  <c r="AG37" i="7" s="1"/>
  <c r="N55" i="7" s="1"/>
  <c r="AK36" i="7"/>
  <c r="R54" i="7" s="1"/>
  <c r="AK54" i="7" s="1"/>
  <c r="R72" i="7" s="1"/>
  <c r="AK72" i="7" s="1"/>
  <c r="T36" i="7"/>
  <c r="AM36" i="7" s="1"/>
  <c r="T54" i="7" s="1"/>
  <c r="AM54" i="7" s="1"/>
  <c r="T72" i="7" s="1"/>
  <c r="AM72" i="7" s="1"/>
  <c r="S36" i="7"/>
  <c r="AL36" i="7" s="1"/>
  <c r="R36" i="7"/>
  <c r="Q36" i="7"/>
  <c r="AJ36" i="7" s="1"/>
  <c r="Q54" i="7" s="1"/>
  <c r="AJ54" i="7" s="1"/>
  <c r="Q72" i="7" s="1"/>
  <c r="AJ72" i="7" s="1"/>
  <c r="P36" i="7"/>
  <c r="AI36" i="7" s="1"/>
  <c r="O36" i="7"/>
  <c r="AH36" i="7" s="1"/>
  <c r="N36" i="7"/>
  <c r="AG36" i="7" s="1"/>
  <c r="T35" i="7"/>
  <c r="AM35" i="7" s="1"/>
  <c r="T53" i="7" s="1"/>
  <c r="AM53" i="7" s="1"/>
  <c r="T71" i="7" s="1"/>
  <c r="AM71" i="7" s="1"/>
  <c r="S35" i="7"/>
  <c r="AL35" i="7" s="1"/>
  <c r="R35" i="7"/>
  <c r="AK35" i="7" s="1"/>
  <c r="R53" i="7" s="1"/>
  <c r="AK53" i="7" s="1"/>
  <c r="R71" i="7" s="1"/>
  <c r="AK71" i="7" s="1"/>
  <c r="Q35" i="7"/>
  <c r="AJ35" i="7" s="1"/>
  <c r="Q53" i="7" s="1"/>
  <c r="AJ53" i="7" s="1"/>
  <c r="Q71" i="7" s="1"/>
  <c r="AJ71" i="7" s="1"/>
  <c r="P35" i="7"/>
  <c r="AI35" i="7" s="1"/>
  <c r="O35" i="7"/>
  <c r="AH35" i="7" s="1"/>
  <c r="N35" i="7"/>
  <c r="AG35" i="7" s="1"/>
  <c r="N53" i="7" s="1"/>
  <c r="T34" i="7"/>
  <c r="AM34" i="7" s="1"/>
  <c r="T52" i="7" s="1"/>
  <c r="AM52" i="7" s="1"/>
  <c r="T70" i="7" s="1"/>
  <c r="AM70" i="7" s="1"/>
  <c r="S34" i="7"/>
  <c r="AL34" i="7" s="1"/>
  <c r="S52" i="7" s="1"/>
  <c r="AL52" i="7" s="1"/>
  <c r="R34" i="7"/>
  <c r="AK34" i="7" s="1"/>
  <c r="R52" i="7" s="1"/>
  <c r="AK52" i="7" s="1"/>
  <c r="R70" i="7" s="1"/>
  <c r="AK70" i="7" s="1"/>
  <c r="Q34" i="7"/>
  <c r="AJ34" i="7" s="1"/>
  <c r="Q52" i="7" s="1"/>
  <c r="AJ52" i="7" s="1"/>
  <c r="Q70" i="7" s="1"/>
  <c r="AJ70" i="7" s="1"/>
  <c r="P34" i="7"/>
  <c r="AI34" i="7" s="1"/>
  <c r="P52" i="7" s="1"/>
  <c r="AI52" i="7" s="1"/>
  <c r="O34" i="7"/>
  <c r="AH34" i="7" s="1"/>
  <c r="O52" i="7" s="1"/>
  <c r="AH52" i="7" s="1"/>
  <c r="N34" i="7"/>
  <c r="AG34" i="7" s="1"/>
  <c r="N52" i="7" s="1"/>
  <c r="T33" i="7"/>
  <c r="AM33" i="7" s="1"/>
  <c r="T51" i="7" s="1"/>
  <c r="AM51" i="7" s="1"/>
  <c r="T69" i="7" s="1"/>
  <c r="AM69" i="7" s="1"/>
  <c r="S33" i="7"/>
  <c r="AL33" i="7" s="1"/>
  <c r="S51" i="7" s="1"/>
  <c r="AL51" i="7" s="1"/>
  <c r="R33" i="7"/>
  <c r="AK33" i="7" s="1"/>
  <c r="R51" i="7" s="1"/>
  <c r="AK51" i="7" s="1"/>
  <c r="R69" i="7" s="1"/>
  <c r="AK69" i="7" s="1"/>
  <c r="Q33" i="7"/>
  <c r="AJ33" i="7" s="1"/>
  <c r="Q51" i="7" s="1"/>
  <c r="AJ51" i="7" s="1"/>
  <c r="Q69" i="7" s="1"/>
  <c r="AJ69" i="7" s="1"/>
  <c r="P33" i="7"/>
  <c r="AI33" i="7" s="1"/>
  <c r="P51" i="7" s="1"/>
  <c r="AI51" i="7" s="1"/>
  <c r="O33" i="7"/>
  <c r="AH33" i="7" s="1"/>
  <c r="O51" i="7" s="1"/>
  <c r="AH51" i="7" s="1"/>
  <c r="N33" i="7"/>
  <c r="AG33" i="7" s="1"/>
  <c r="N51" i="7" s="1"/>
  <c r="AG32" i="7"/>
  <c r="T32" i="7"/>
  <c r="AM32" i="7" s="1"/>
  <c r="T50" i="7" s="1"/>
  <c r="AM50" i="7" s="1"/>
  <c r="T68" i="7" s="1"/>
  <c r="AM68" i="7" s="1"/>
  <c r="S32" i="7"/>
  <c r="AL32" i="7" s="1"/>
  <c r="S50" i="7" s="1"/>
  <c r="AL50" i="7" s="1"/>
  <c r="R32" i="7"/>
  <c r="AK32" i="7" s="1"/>
  <c r="R50" i="7" s="1"/>
  <c r="AK50" i="7" s="1"/>
  <c r="R68" i="7" s="1"/>
  <c r="AK68" i="7" s="1"/>
  <c r="Q32" i="7"/>
  <c r="AJ32" i="7" s="1"/>
  <c r="Q50" i="7" s="1"/>
  <c r="AJ50" i="7" s="1"/>
  <c r="Q68" i="7" s="1"/>
  <c r="AJ68" i="7" s="1"/>
  <c r="P32" i="7"/>
  <c r="AI32" i="7" s="1"/>
  <c r="P50" i="7" s="1"/>
  <c r="AI50" i="7" s="1"/>
  <c r="O32" i="7"/>
  <c r="AH32" i="7" s="1"/>
  <c r="O50" i="7" s="1"/>
  <c r="AH50" i="7" s="1"/>
  <c r="N32" i="7"/>
  <c r="L32" i="7"/>
  <c r="AE32" i="7" s="1"/>
  <c r="L50" i="7" s="1"/>
  <c r="AE50" i="7" s="1"/>
  <c r="L68" i="7" s="1"/>
  <c r="AK31" i="7"/>
  <c r="R49" i="7" s="1"/>
  <c r="AK49" i="7" s="1"/>
  <c r="R67" i="7" s="1"/>
  <c r="AK67" i="7" s="1"/>
  <c r="T31" i="7"/>
  <c r="AM31" i="7" s="1"/>
  <c r="T49" i="7" s="1"/>
  <c r="AM49" i="7" s="1"/>
  <c r="S31" i="7"/>
  <c r="AL31" i="7" s="1"/>
  <c r="S49" i="7" s="1"/>
  <c r="AL49" i="7" s="1"/>
  <c r="S67" i="7" s="1"/>
  <c r="AL67" i="7" s="1"/>
  <c r="R31" i="7"/>
  <c r="Q31" i="7"/>
  <c r="AJ31" i="7" s="1"/>
  <c r="Q49" i="7" s="1"/>
  <c r="AJ49" i="7" s="1"/>
  <c r="Q67" i="7" s="1"/>
  <c r="AJ67" i="7" s="1"/>
  <c r="P31" i="7"/>
  <c r="AI31" i="7" s="1"/>
  <c r="P49" i="7" s="1"/>
  <c r="AI49" i="7" s="1"/>
  <c r="P67" i="7" s="1"/>
  <c r="O31" i="7"/>
  <c r="AH31" i="7" s="1"/>
  <c r="O49" i="7" s="1"/>
  <c r="N31" i="7"/>
  <c r="AG31" i="7" s="1"/>
  <c r="N49" i="7" s="1"/>
  <c r="AG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J45" i="7" s="1"/>
  <c r="AC45" i="7" s="1"/>
  <c r="J63" i="7" s="1"/>
  <c r="AC63" i="7" s="1"/>
  <c r="J81" i="7" s="1"/>
  <c r="AC81" i="7" s="1"/>
  <c r="AB27" i="7"/>
  <c r="I45" i="7" s="1"/>
  <c r="AB45" i="7" s="1"/>
  <c r="I63" i="7" s="1"/>
  <c r="AB63" i="7" s="1"/>
  <c r="I81" i="7" s="1"/>
  <c r="AB81" i="7" s="1"/>
  <c r="AA27" i="7"/>
  <c r="H45" i="7" s="1"/>
  <c r="AA45" i="7" s="1"/>
  <c r="H63" i="7" s="1"/>
  <c r="AA63" i="7" s="1"/>
  <c r="Z27" i="7"/>
  <c r="G45" i="7" s="1"/>
  <c r="Z45" i="7" s="1"/>
  <c r="G63" i="7" s="1"/>
  <c r="Z63" i="7" s="1"/>
  <c r="G81" i="7" s="1"/>
  <c r="Z81" i="7" s="1"/>
  <c r="Y27" i="7"/>
  <c r="F45" i="7" s="1"/>
  <c r="Y45" i="7" s="1"/>
  <c r="F63" i="7" s="1"/>
  <c r="Y63" i="7" s="1"/>
  <c r="F81" i="7" s="1"/>
  <c r="Y81" i="7" s="1"/>
  <c r="U27" i="7"/>
  <c r="AM26" i="7"/>
  <c r="T44" i="7" s="1"/>
  <c r="AM44" i="7" s="1"/>
  <c r="T62" i="7" s="1"/>
  <c r="AM62" i="7" s="1"/>
  <c r="T80" i="7" s="1"/>
  <c r="AM80" i="7" s="1"/>
  <c r="AL26" i="7"/>
  <c r="S44" i="7" s="1"/>
  <c r="AK26" i="7"/>
  <c r="R44" i="7" s="1"/>
  <c r="AK44" i="7" s="1"/>
  <c r="R62" i="7" s="1"/>
  <c r="AK62" i="7" s="1"/>
  <c r="R80" i="7" s="1"/>
  <c r="AK80" i="7" s="1"/>
  <c r="AJ26" i="7"/>
  <c r="Q44" i="7" s="1"/>
  <c r="AJ44" i="7" s="1"/>
  <c r="Q62" i="7" s="1"/>
  <c r="AJ62" i="7" s="1"/>
  <c r="Q80" i="7" s="1"/>
  <c r="AJ80" i="7" s="1"/>
  <c r="AI26" i="7"/>
  <c r="P44" i="7" s="1"/>
  <c r="AI44" i="7" s="1"/>
  <c r="P62" i="7" s="1"/>
  <c r="AI62" i="7" s="1"/>
  <c r="P80" i="7" s="1"/>
  <c r="AI80" i="7" s="1"/>
  <c r="AH26" i="7"/>
  <c r="O44" i="7" s="1"/>
  <c r="AH44" i="7" s="1"/>
  <c r="O62" i="7" s="1"/>
  <c r="AH62" i="7" s="1"/>
  <c r="O80" i="7" s="1"/>
  <c r="AH80" i="7" s="1"/>
  <c r="AG26" i="7"/>
  <c r="AF26" i="7"/>
  <c r="M44" i="7" s="1"/>
  <c r="AE26" i="7"/>
  <c r="L44" i="7" s="1"/>
  <c r="AE44" i="7" s="1"/>
  <c r="L62" i="7" s="1"/>
  <c r="AE62" i="7" s="1"/>
  <c r="L80" i="7" s="1"/>
  <c r="AD26" i="7"/>
  <c r="K44" i="7" s="1"/>
  <c r="AB26" i="7"/>
  <c r="I44" i="7" s="1"/>
  <c r="AB44" i="7" s="1"/>
  <c r="I62" i="7" s="1"/>
  <c r="AB62" i="7" s="1"/>
  <c r="I80" i="7" s="1"/>
  <c r="AB80" i="7" s="1"/>
  <c r="AA26" i="7"/>
  <c r="H44" i="7" s="1"/>
  <c r="Z26" i="7"/>
  <c r="G44" i="7" s="1"/>
  <c r="Z44" i="7" s="1"/>
  <c r="G62" i="7" s="1"/>
  <c r="Y26" i="7"/>
  <c r="F44" i="7" s="1"/>
  <c r="Y44" i="7" s="1"/>
  <c r="F62" i="7" s="1"/>
  <c r="Y62" i="7" s="1"/>
  <c r="F80" i="7" s="1"/>
  <c r="Y80" i="7" s="1"/>
  <c r="W26" i="7"/>
  <c r="D44" i="7" s="1"/>
  <c r="W44" i="7" s="1"/>
  <c r="D62" i="7" s="1"/>
  <c r="W62" i="7" s="1"/>
  <c r="D80" i="7" s="1"/>
  <c r="U26" i="7"/>
  <c r="AM25" i="7"/>
  <c r="T43" i="7" s="1"/>
  <c r="AM43" i="7" s="1"/>
  <c r="T61" i="7" s="1"/>
  <c r="AM61" i="7" s="1"/>
  <c r="T79" i="7" s="1"/>
  <c r="AM79" i="7" s="1"/>
  <c r="AL25" i="7"/>
  <c r="S43" i="7" s="1"/>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O43" i="7" s="1"/>
  <c r="AH43" i="7" s="1"/>
  <c r="O61" i="7" s="1"/>
  <c r="AH61" i="7" s="1"/>
  <c r="O79" i="7" s="1"/>
  <c r="AH79" i="7" s="1"/>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T42" i="7" s="1"/>
  <c r="AM42" i="7" s="1"/>
  <c r="T60" i="7" s="1"/>
  <c r="AM60" i="7" s="1"/>
  <c r="T78" i="7" s="1"/>
  <c r="AM78" i="7" s="1"/>
  <c r="AL24" i="7"/>
  <c r="S42" i="7" s="1"/>
  <c r="AK24" i="7"/>
  <c r="R42" i="7" s="1"/>
  <c r="AK42" i="7" s="1"/>
  <c r="R60" i="7" s="1"/>
  <c r="AK60" i="7" s="1"/>
  <c r="R78" i="7" s="1"/>
  <c r="AK78" i="7" s="1"/>
  <c r="AI24" i="7"/>
  <c r="P42" i="7" s="1"/>
  <c r="AI42" i="7" s="1"/>
  <c r="P60" i="7" s="1"/>
  <c r="AI60" i="7" s="1"/>
  <c r="P78" i="7" s="1"/>
  <c r="AI78" i="7" s="1"/>
  <c r="AH24" i="7"/>
  <c r="O42" i="7" s="1"/>
  <c r="AH42" i="7" s="1"/>
  <c r="O60" i="7" s="1"/>
  <c r="AH60" i="7" s="1"/>
  <c r="O78" i="7" s="1"/>
  <c r="AH78" i="7" s="1"/>
  <c r="AG24" i="7"/>
  <c r="AF24" i="7"/>
  <c r="M42" i="7" s="1"/>
  <c r="AE24" i="7"/>
  <c r="L42" i="7" s="1"/>
  <c r="AE42" i="7" s="1"/>
  <c r="L60" i="7" s="1"/>
  <c r="AE60" i="7" s="1"/>
  <c r="L78" i="7" s="1"/>
  <c r="AD24" i="7"/>
  <c r="K42" i="7" s="1"/>
  <c r="AC24" i="7"/>
  <c r="J42" i="7" s="1"/>
  <c r="AC42" i="7" s="1"/>
  <c r="J60" i="7" s="1"/>
  <c r="AC60" i="7" s="1"/>
  <c r="J78" i="7" s="1"/>
  <c r="AC78" i="7" s="1"/>
  <c r="AA24" i="7"/>
  <c r="H42" i="7" s="1"/>
  <c r="Z24" i="7"/>
  <c r="G42" i="7" s="1"/>
  <c r="Z42" i="7" s="1"/>
  <c r="G60" i="7" s="1"/>
  <c r="Y24" i="7"/>
  <c r="F42" i="7" s="1"/>
  <c r="Y42" i="7" s="1"/>
  <c r="F60" i="7" s="1"/>
  <c r="Y60" i="7" s="1"/>
  <c r="F78" i="7" s="1"/>
  <c r="Y78" i="7" s="1"/>
  <c r="W24" i="7"/>
  <c r="D42" i="7" s="1"/>
  <c r="W42" i="7" s="1"/>
  <c r="D60" i="7" s="1"/>
  <c r="W60" i="7" s="1"/>
  <c r="D78" i="7" s="1"/>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I40" i="7" s="1"/>
  <c r="AB40" i="7" s="1"/>
  <c r="I58" i="7" s="1"/>
  <c r="AB58" i="7" s="1"/>
  <c r="I76" i="7" s="1"/>
  <c r="AB76" i="7" s="1"/>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I39" i="7" s="1"/>
  <c r="AB39" i="7" s="1"/>
  <c r="I57" i="7" s="1"/>
  <c r="AB57" i="7" s="1"/>
  <c r="I75" i="7" s="1"/>
  <c r="AB75" i="7" s="1"/>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J37" i="7" s="1"/>
  <c r="AC37" i="7" s="1"/>
  <c r="J55" i="7" s="1"/>
  <c r="AC55" i="7" s="1"/>
  <c r="J73" i="7" s="1"/>
  <c r="AC73" i="7" s="1"/>
  <c r="AB19" i="7"/>
  <c r="I37" i="7" s="1"/>
  <c r="AB37" i="7" s="1"/>
  <c r="I55" i="7" s="1"/>
  <c r="AB55" i="7" s="1"/>
  <c r="I73" i="7" s="1"/>
  <c r="AB73" i="7" s="1"/>
  <c r="AA19" i="7"/>
  <c r="H37" i="7" s="1"/>
  <c r="AA37" i="7" s="1"/>
  <c r="Z19" i="7"/>
  <c r="G37" i="7" s="1"/>
  <c r="Z37" i="7" s="1"/>
  <c r="Y19" i="7"/>
  <c r="F37" i="7" s="1"/>
  <c r="Y37" i="7" s="1"/>
  <c r="F55" i="7" s="1"/>
  <c r="Y55" i="7" s="1"/>
  <c r="F73" i="7" s="1"/>
  <c r="Y73" i="7" s="1"/>
  <c r="U19" i="7"/>
  <c r="AN18" i="7"/>
  <c r="AE18" i="7"/>
  <c r="L36" i="7" s="1"/>
  <c r="AE36" i="7" s="1"/>
  <c r="L54" i="7" s="1"/>
  <c r="AE54" i="7" s="1"/>
  <c r="L72" i="7" s="1"/>
  <c r="AD18" i="7"/>
  <c r="K36" i="7" s="1"/>
  <c r="AD36" i="7" s="1"/>
  <c r="AC18" i="7"/>
  <c r="J36" i="7" s="1"/>
  <c r="AC36" i="7" s="1"/>
  <c r="J54" i="7" s="1"/>
  <c r="AC54" i="7" s="1"/>
  <c r="J72" i="7" s="1"/>
  <c r="AC72" i="7" s="1"/>
  <c r="AB18" i="7"/>
  <c r="I36" i="7" s="1"/>
  <c r="AB36" i="7" s="1"/>
  <c r="I54" i="7" s="1"/>
  <c r="AB54" i="7" s="1"/>
  <c r="I72" i="7" s="1"/>
  <c r="AB72" i="7" s="1"/>
  <c r="AA18" i="7"/>
  <c r="H36" i="7" s="1"/>
  <c r="AA36" i="7" s="1"/>
  <c r="Z18" i="7"/>
  <c r="G36" i="7" s="1"/>
  <c r="Z36" i="7" s="1"/>
  <c r="Y18" i="7"/>
  <c r="F36" i="7" s="1"/>
  <c r="Y36" i="7" s="1"/>
  <c r="F54" i="7" s="1"/>
  <c r="Y54" i="7" s="1"/>
  <c r="F72" i="7" s="1"/>
  <c r="Y72" i="7" s="1"/>
  <c r="U18" i="7"/>
  <c r="AN17" i="7"/>
  <c r="AE17" i="7"/>
  <c r="L35" i="7" s="1"/>
  <c r="AE35" i="7" s="1"/>
  <c r="L53" i="7" s="1"/>
  <c r="AE53" i="7" s="1"/>
  <c r="L71" i="7" s="1"/>
  <c r="AD17" i="7"/>
  <c r="K35" i="7" s="1"/>
  <c r="AD35" i="7" s="1"/>
  <c r="AC17" i="7"/>
  <c r="J35" i="7" s="1"/>
  <c r="AC35" i="7" s="1"/>
  <c r="J53" i="7" s="1"/>
  <c r="AC53" i="7" s="1"/>
  <c r="J71" i="7" s="1"/>
  <c r="AC71" i="7" s="1"/>
  <c r="AB17" i="7"/>
  <c r="I35" i="7" s="1"/>
  <c r="AB35" i="7" s="1"/>
  <c r="I53" i="7" s="1"/>
  <c r="AB53" i="7" s="1"/>
  <c r="I71" i="7" s="1"/>
  <c r="AB71" i="7" s="1"/>
  <c r="AA17" i="7"/>
  <c r="H35" i="7" s="1"/>
  <c r="AA35" i="7" s="1"/>
  <c r="Z17" i="7"/>
  <c r="G35" i="7" s="1"/>
  <c r="Z35" i="7" s="1"/>
  <c r="Y17" i="7"/>
  <c r="F35" i="7" s="1"/>
  <c r="Y35" i="7" s="1"/>
  <c r="F53" i="7" s="1"/>
  <c r="Y53" i="7" s="1"/>
  <c r="F71" i="7" s="1"/>
  <c r="Y71" i="7" s="1"/>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L33" i="7" s="1"/>
  <c r="AE33" i="7" s="1"/>
  <c r="L51" i="7" s="1"/>
  <c r="AE51" i="7" s="1"/>
  <c r="L69" i="7" s="1"/>
  <c r="AD15" i="7"/>
  <c r="K33" i="7" s="1"/>
  <c r="AD33" i="7" s="1"/>
  <c r="K51" i="7" s="1"/>
  <c r="AD51" i="7" s="1"/>
  <c r="AC15" i="7"/>
  <c r="J33" i="7" s="1"/>
  <c r="AC33" i="7" s="1"/>
  <c r="J51" i="7" s="1"/>
  <c r="AC51" i="7" s="1"/>
  <c r="J69" i="7" s="1"/>
  <c r="AC69" i="7" s="1"/>
  <c r="AB15" i="7"/>
  <c r="I33" i="7" s="1"/>
  <c r="AB33" i="7" s="1"/>
  <c r="I51" i="7" s="1"/>
  <c r="AB51" i="7" s="1"/>
  <c r="I69" i="7" s="1"/>
  <c r="AB69" i="7" s="1"/>
  <c r="AA15" i="7"/>
  <c r="H33" i="7" s="1"/>
  <c r="AA33" i="7" s="1"/>
  <c r="H51" i="7" s="1"/>
  <c r="AA51" i="7" s="1"/>
  <c r="Z15" i="7"/>
  <c r="G33" i="7" s="1"/>
  <c r="Z33" i="7" s="1"/>
  <c r="G51" i="7" s="1"/>
  <c r="Z51" i="7" s="1"/>
  <c r="Y15" i="7"/>
  <c r="F33" i="7" s="1"/>
  <c r="Y33" i="7" s="1"/>
  <c r="F51" i="7" s="1"/>
  <c r="Y51" i="7" s="1"/>
  <c r="F69" i="7" s="1"/>
  <c r="Y69" i="7" s="1"/>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H32" i="7" s="1"/>
  <c r="AA32" i="7" s="1"/>
  <c r="H50" i="7" s="1"/>
  <c r="AA50" i="7" s="1"/>
  <c r="Z14" i="7"/>
  <c r="G32" i="7" s="1"/>
  <c r="Z32" i="7" s="1"/>
  <c r="G50" i="7" s="1"/>
  <c r="Z50" i="7" s="1"/>
  <c r="Y14" i="7"/>
  <c r="F32" i="7" s="1"/>
  <c r="Y32" i="7" s="1"/>
  <c r="F50" i="7" s="1"/>
  <c r="Y50" i="7" s="1"/>
  <c r="F68" i="7" s="1"/>
  <c r="Y68" i="7" s="1"/>
  <c r="U14" i="7"/>
  <c r="AN13" i="7"/>
  <c r="AE13" i="7"/>
  <c r="L31" i="7" s="1"/>
  <c r="AE31" i="7" s="1"/>
  <c r="L49" i="7" s="1"/>
  <c r="AE49" i="7" s="1"/>
  <c r="AD13" i="7"/>
  <c r="K31" i="7" s="1"/>
  <c r="AD31" i="7" s="1"/>
  <c r="K49" i="7" s="1"/>
  <c r="AD49" i="7" s="1"/>
  <c r="K67" i="7" s="1"/>
  <c r="AD67" i="7" s="1"/>
  <c r="AC13" i="7"/>
  <c r="J31" i="7" s="1"/>
  <c r="AC31" i="7" s="1"/>
  <c r="J49" i="7" s="1"/>
  <c r="AC49" i="7" s="1"/>
  <c r="J67" i="7" s="1"/>
  <c r="AC67" i="7" s="1"/>
  <c r="AB13" i="7"/>
  <c r="I31" i="7" s="1"/>
  <c r="AB31" i="7" s="1"/>
  <c r="I49" i="7" s="1"/>
  <c r="AB49" i="7" s="1"/>
  <c r="I67" i="7" s="1"/>
  <c r="AB67" i="7" s="1"/>
  <c r="AA13" i="7"/>
  <c r="H31" i="7" s="1"/>
  <c r="AA31" i="7" s="1"/>
  <c r="H49" i="7" s="1"/>
  <c r="AA49" i="7" s="1"/>
  <c r="H67" i="7" s="1"/>
  <c r="AA67" i="7" s="1"/>
  <c r="Z13" i="7"/>
  <c r="G31" i="7" s="1"/>
  <c r="Z31" i="7" s="1"/>
  <c r="G49" i="7" s="1"/>
  <c r="Z49" i="7" s="1"/>
  <c r="Y13" i="7"/>
  <c r="F31" i="7" s="1"/>
  <c r="Y31" i="7" s="1"/>
  <c r="F49" i="7" s="1"/>
  <c r="Y49" i="7" s="1"/>
  <c r="U13" i="7"/>
  <c r="M11" i="7"/>
  <c r="X8" i="7"/>
  <c r="X7" i="7" s="1"/>
  <c r="X25" i="7" s="1"/>
  <c r="E43" i="7" s="1"/>
  <c r="X43" i="7" s="1"/>
  <c r="E61" i="7" s="1"/>
  <c r="X61" i="7" s="1"/>
  <c r="E79" i="7" s="1"/>
  <c r="U39" i="7" l="1"/>
  <c r="AF65" i="7"/>
  <c r="X70" i="7"/>
  <c r="X24" i="7"/>
  <c r="E42" i="7" s="1"/>
  <c r="X42" i="7" s="1"/>
  <c r="E60" i="7" s="1"/>
  <c r="X60" i="7" s="1"/>
  <c r="E78" i="7" s="1"/>
  <c r="X26" i="7"/>
  <c r="E44" i="7" s="1"/>
  <c r="X44" i="7" s="1"/>
  <c r="E62" i="7" s="1"/>
  <c r="X62" i="7" s="1"/>
  <c r="E80" i="7" s="1"/>
  <c r="AN26" i="7"/>
  <c r="U41" i="7"/>
  <c r="AF11" i="7"/>
  <c r="X68" i="7"/>
  <c r="U40" i="7"/>
  <c r="X67" i="7"/>
  <c r="P21" i="12"/>
  <c r="Q16" i="12"/>
  <c r="Q17" i="12" s="1"/>
  <c r="Q21" i="12" s="1"/>
  <c r="Q14" i="12"/>
  <c r="AN24" i="7"/>
  <c r="M29" i="7"/>
  <c r="U67" i="7"/>
  <c r="AI67" i="7"/>
  <c r="AN67" i="7" s="1"/>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40" i="7"/>
  <c r="U46" i="7"/>
  <c r="U31" i="7"/>
  <c r="AN34" i="7"/>
  <c r="AN38" i="7"/>
  <c r="U59" i="7"/>
  <c r="AN46" i="7"/>
  <c r="AN39" i="7" l="1"/>
  <c r="U57" i="7"/>
  <c r="AG50" i="7"/>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41" i="7"/>
  <c r="M59" i="7" s="1"/>
  <c r="N69" i="7"/>
  <c r="AN51" i="7"/>
  <c r="N70" i="7"/>
  <c r="AN52" i="7"/>
  <c r="AG54" i="7"/>
  <c r="U54" i="7"/>
  <c r="N74" i="7"/>
  <c r="AN56" i="7"/>
  <c r="N76" i="7"/>
  <c r="AN58" i="7"/>
  <c r="AF29" i="7" l="1"/>
  <c r="N72" i="7"/>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B33" i="9"/>
  <c r="B31" i="9"/>
  <c r="B32" i="9" s="1"/>
  <c r="U65" i="9" l="1"/>
  <c r="U57" i="9"/>
  <c r="U73" i="9"/>
  <c r="U49" i="9"/>
  <c r="U74" i="9"/>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O7" i="9" l="1"/>
  <c r="Q7" i="9" s="1"/>
  <c r="S7" i="9"/>
  <c r="T7" i="9"/>
  <c r="O2" i="9"/>
  <c r="Q2" i="9" s="1"/>
  <c r="S2" i="9"/>
  <c r="T2" i="9"/>
  <c r="O3" i="9"/>
  <c r="Q3" i="9" s="1"/>
  <c r="S3" i="9"/>
  <c r="T3" i="9"/>
  <c r="O4" i="9"/>
  <c r="Q4" i="9" s="1"/>
  <c r="S4" i="9"/>
  <c r="T4" i="9"/>
  <c r="O5" i="9"/>
  <c r="Q5" i="9" s="1"/>
  <c r="S5" i="9"/>
  <c r="T5" i="9"/>
  <c r="O8" i="9"/>
  <c r="Q8" i="9" s="1"/>
  <c r="S8" i="9"/>
  <c r="T8" i="9"/>
  <c r="O6" i="9"/>
  <c r="Q6" i="9" s="1"/>
  <c r="S6" i="9"/>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16" i="9" l="1"/>
  <c r="U6" i="9"/>
  <c r="U32" i="9"/>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K9" i="4"/>
  <c r="J9" i="4"/>
  <c r="H9" i="4"/>
  <c r="H3" i="4" l="1"/>
  <c r="H2" i="4" l="1"/>
  <c r="H4" i="4"/>
  <c r="K4" i="4"/>
  <c r="J4" i="4"/>
  <c r="J3" i="4"/>
  <c r="K3" i="4"/>
  <c r="J10" i="4"/>
  <c r="K10" i="4"/>
  <c r="J11" i="4"/>
  <c r="K11" i="4"/>
  <c r="J12" i="4"/>
  <c r="K12" i="4"/>
  <c r="K8" i="4"/>
  <c r="J8" i="4"/>
  <c r="H8" i="4"/>
  <c r="L8" i="4" s="1"/>
  <c r="K7" i="4"/>
  <c r="J7" i="4"/>
  <c r="H7" i="4"/>
  <c r="J6" i="4"/>
  <c r="H6" i="4"/>
  <c r="L6" i="4" s="1"/>
  <c r="J5" i="4"/>
  <c r="H5" i="4"/>
  <c r="K5" i="4"/>
  <c r="K6" i="4"/>
  <c r="K2" i="4"/>
  <c r="J2" i="4"/>
  <c r="M8" i="4" l="1"/>
  <c r="F8" i="11"/>
  <c r="F9" i="11" s="1"/>
  <c r="F10" i="11" s="1"/>
  <c r="F11" i="11" s="1"/>
  <c r="F12" i="11" s="1"/>
  <c r="F13" i="11" s="1"/>
  <c r="L3" i="4"/>
  <c r="M3" i="4" s="1"/>
  <c r="N3" i="4" s="1"/>
  <c r="L9" i="4"/>
  <c r="M6" i="4"/>
  <c r="F4" i="11"/>
  <c r="F5" i="11" s="1"/>
  <c r="F6" i="11" s="1"/>
  <c r="F7" i="11" s="1"/>
  <c r="L2" i="4"/>
  <c r="M2" i="4" s="1"/>
  <c r="N2" i="4" s="1"/>
  <c r="L5" i="4"/>
  <c r="L7" i="4"/>
  <c r="M7" i="4" s="1"/>
  <c r="N7" i="4" s="1"/>
  <c r="L4" i="4"/>
  <c r="M4" i="4" s="1"/>
  <c r="N4" i="4" s="1"/>
  <c r="M5" i="4" l="1"/>
  <c r="F2" i="11"/>
  <c r="N6" i="4"/>
  <c r="H4" i="11" s="1"/>
  <c r="G4" i="11"/>
  <c r="G5" i="11" s="1"/>
  <c r="G6" i="11" s="1"/>
  <c r="G7" i="11" s="1"/>
  <c r="M9" i="4"/>
  <c r="F3" i="11"/>
  <c r="N8" i="4"/>
  <c r="H8" i="11" s="1"/>
  <c r="H9" i="11" s="1"/>
  <c r="H10" i="11" s="1"/>
  <c r="H11" i="11" s="1"/>
  <c r="H12" i="11" s="1"/>
  <c r="H13" i="11" s="1"/>
  <c r="G8" i="11"/>
  <c r="G9" i="11" s="1"/>
  <c r="G10" i="11" s="1"/>
  <c r="G11" i="11" s="1"/>
  <c r="G12" i="11" s="1"/>
  <c r="G13" i="11" s="1"/>
  <c r="D2" i="10"/>
  <c r="Z1" i="10"/>
  <c r="AA1" i="10" s="1"/>
  <c r="N9" i="4" l="1"/>
  <c r="H3" i="11" s="1"/>
  <c r="G3" i="11"/>
  <c r="H5" i="11"/>
  <c r="N5" i="4"/>
  <c r="H2" i="11" s="1"/>
  <c r="G2" i="11"/>
  <c r="H6" i="11" l="1"/>
  <c r="H7" i="11" s="1"/>
  <c r="J4" i="11"/>
  <c r="K3" i="11"/>
  <c r="I5" i="11" l="1"/>
  <c r="C14" i="2" l="1"/>
  <c r="C15" i="2"/>
  <c r="C16" i="2" s="1"/>
  <c r="C1" i="2" l="1"/>
  <c r="Z6" i="6" l="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 i="1" l="1"/>
  <c r="C9" i="2"/>
  <c r="C10" i="2" s="1"/>
  <c r="B9" i="2"/>
  <c r="B10" i="2" s="1"/>
  <c r="D2" i="1" l="1"/>
  <c r="F17" i="1" s="1"/>
  <c r="C16" i="3" l="1"/>
  <c r="F17" i="10"/>
  <c r="AB17" i="10" s="1"/>
  <c r="F22" i="1"/>
  <c r="F15" i="1"/>
  <c r="F10" i="1"/>
  <c r="C10" i="1" s="1"/>
  <c r="C10" i="10" s="1"/>
  <c r="F21" i="1"/>
  <c r="F13" i="1"/>
  <c r="F13" i="10" s="1"/>
  <c r="AB13" i="10" s="1"/>
  <c r="F20" i="1"/>
  <c r="F20" i="10" s="1"/>
  <c r="AB20" i="10" s="1"/>
  <c r="F7" i="1"/>
  <c r="F7" i="10" s="1"/>
  <c r="AB7" i="10" s="1"/>
  <c r="F12" i="1"/>
  <c r="F12" i="10" s="1"/>
  <c r="AB12" i="10" s="1"/>
  <c r="F6" i="1"/>
  <c r="C6" i="1" s="1"/>
  <c r="F11" i="1"/>
  <c r="F8" i="1"/>
  <c r="F8" i="10" s="1"/>
  <c r="AB8" i="10" s="1"/>
  <c r="F18" i="1"/>
  <c r="F18" i="10" s="1"/>
  <c r="AB18" i="10" s="1"/>
  <c r="F5" i="1"/>
  <c r="F5" i="10" s="1"/>
  <c r="AB5" i="10" s="1"/>
  <c r="F16" i="1"/>
  <c r="F16" i="10" s="1"/>
  <c r="AB16" i="10" s="1"/>
  <c r="F19" i="1"/>
  <c r="F19" i="10" s="1"/>
  <c r="AB19" i="10" s="1"/>
  <c r="F9" i="1"/>
  <c r="F9" i="10" s="1"/>
  <c r="AB9" i="10" s="1"/>
  <c r="F14" i="1"/>
  <c r="F14" i="10" s="1"/>
  <c r="AB14" i="10" s="1"/>
  <c r="F4" i="1"/>
  <c r="F4" i="10" s="1"/>
  <c r="AB4" i="10" s="1"/>
  <c r="C17" i="1"/>
  <c r="C17" i="10" s="1"/>
  <c r="C14" i="3" l="1"/>
  <c r="F15" i="10"/>
  <c r="AB15" i="10" s="1"/>
  <c r="C10" i="3"/>
  <c r="F11" i="10"/>
  <c r="AB11" i="10" s="1"/>
  <c r="C21" i="3"/>
  <c r="F22" i="10"/>
  <c r="AB22" i="10" s="1"/>
  <c r="C20" i="3"/>
  <c r="F21" i="10"/>
  <c r="AB21" i="10" s="1"/>
  <c r="C9" i="3"/>
  <c r="F10" i="10"/>
  <c r="AB10" i="10" s="1"/>
  <c r="C15" i="1"/>
  <c r="C15" i="10" s="1"/>
  <c r="C5" i="1"/>
  <c r="C5" i="10" s="1"/>
  <c r="C4" i="3"/>
  <c r="C4" i="1"/>
  <c r="C4" i="10" s="1"/>
  <c r="C3" i="3"/>
  <c r="C21" i="1"/>
  <c r="C21" i="10" s="1"/>
  <c r="C22" i="1"/>
  <c r="C22" i="10" s="1"/>
  <c r="C7" i="1"/>
  <c r="C7" i="10" s="1"/>
  <c r="C6" i="3"/>
  <c r="C20" i="1"/>
  <c r="C20" i="10" s="1"/>
  <c r="C19" i="3"/>
  <c r="C18" i="1"/>
  <c r="C18" i="10" s="1"/>
  <c r="C17" i="3"/>
  <c r="C13" i="1"/>
  <c r="C13" i="10" s="1"/>
  <c r="C12" i="3"/>
  <c r="C12" i="1"/>
  <c r="C12" i="10" s="1"/>
  <c r="C11" i="3"/>
  <c r="C19" i="1"/>
  <c r="C19" i="10" s="1"/>
  <c r="C18" i="3"/>
  <c r="C16" i="1"/>
  <c r="C16" i="10" s="1"/>
  <c r="C15" i="3"/>
  <c r="C8" i="1"/>
  <c r="C8" i="10" s="1"/>
  <c r="C7" i="3"/>
  <c r="C14" i="1"/>
  <c r="C14" i="10" s="1"/>
  <c r="C13" i="3"/>
  <c r="C9" i="1"/>
  <c r="C9" i="10" s="1"/>
  <c r="C8" i="3"/>
  <c r="C11" i="1"/>
  <c r="C11" i="10" s="1"/>
  <c r="F6" i="10"/>
  <c r="AB6" i="10" s="1"/>
  <c r="C5" i="3"/>
  <c r="C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4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4" authorId="0" shapeId="0" xr:uid="{00000000-0006-0000-0700-000001000000}">
      <text>
        <r>
          <rPr>
            <b/>
            <sz val="8"/>
            <color indexed="81"/>
            <rFont val="Tahoma"/>
            <family val="2"/>
          </rPr>
          <t>Sacado del manual no escrito, no se sabe que son estos valores</t>
        </r>
      </text>
    </comment>
    <comment ref="D24"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900-000001000000}">
      <text>
        <r>
          <rPr>
            <sz val="8"/>
            <color indexed="81"/>
            <rFont val="Tahoma"/>
            <family val="2"/>
          </rPr>
          <t>Lid*Lid*Exp</t>
        </r>
      </text>
    </comment>
    <comment ref="H10" authorId="0" shapeId="0" xr:uid="{00000000-0006-0000-0900-000002000000}">
      <text>
        <r>
          <rPr>
            <b/>
            <sz val="8"/>
            <color indexed="81"/>
            <rFont val="Tahoma"/>
            <family val="2"/>
          </rPr>
          <t>Debe ser bajo, muy bajo</t>
        </r>
      </text>
    </comment>
    <comment ref="H12" authorId="0" shapeId="0" xr:uid="{00000000-0006-0000-0900-000003000000}">
      <text>
        <r>
          <rPr>
            <b/>
            <sz val="8"/>
            <color indexed="81"/>
            <rFont val="Tahoma"/>
            <family val="2"/>
          </rPr>
          <t>Debe ser bajo, muy bajo</t>
        </r>
      </text>
    </comment>
  </commentList>
</comments>
</file>

<file path=xl/sharedStrings.xml><?xml version="1.0" encoding="utf-8"?>
<sst xmlns="http://schemas.openxmlformats.org/spreadsheetml/2006/main" count="1543" uniqueCount="486">
  <si>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</si>
  <si>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</si>
  <si>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</si>
  <si>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</si>
  <si>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</si>
  <si>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</si>
  <si>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</si>
  <si>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</si>
  <si>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</si>
  <si>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</si>
  <si>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</si>
  <si>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</si>
  <si>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</si>
  <si>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</si>
  <si>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</si>
  <si>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</si>
  <si>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</si>
  <si>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</si>
  <si>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</si>
  <si>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</si>
  <si>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</si>
  <si>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</si>
  <si>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</si>
  <si>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</si>
  <si>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</si>
  <si>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</si>
  <si>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</si>
  <si>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</si>
  <si>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</si>
  <si>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</si>
  <si>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</si>
  <si>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</si>
  <si>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</si>
  <si>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</si>
  <si>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</si>
  <si>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</si>
  <si>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</si>
  <si>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</si>
  <si>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</si>
  <si>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</si>
  <si>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</si>
  <si>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</si>
  <si>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</si>
  <si>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</si>
  <si>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</si>
  <si>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</si>
  <si>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</si>
  <si>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</si>
  <si>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</si>
  <si>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</si>
  <si>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</si>
  <si>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</si>
  <si>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</si>
  <si>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</si>
  <si>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</si>
  <si>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</si>
  <si>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</si>
  <si>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</si>
  <si>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</si>
  <si>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</si>
  <si>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</si>
  <si>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</si>
  <si>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</si>
  <si>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</si>
  <si>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</si>
  <si>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</si>
  <si>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</si>
  <si>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</si>
  <si>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</si>
  <si>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</si>
  <si>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</si>
  <si>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</si>
  <si>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</si>
  <si>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</si>
  <si>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</si>
  <si>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</si>
  <si>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</si>
  <si>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</si>
  <si>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</si>
  <si>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</si>
  <si>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</si>
  <si>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</si>
  <si>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</si>
  <si>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</si>
  <si>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</si>
  <si>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</si>
  <si>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</si>
  <si>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</si>
  <si>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</si>
  <si>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</si>
  <si>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</si>
  <si>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</si>
  <si>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</si>
  <si>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</si>
  <si>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</si>
  <si>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</si>
  <si>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</si>
  <si>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</si>
  <si>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</si>
  <si>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</si>
  <si>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</si>
  <si>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</si>
  <si>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</si>
  <si>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</si>
  <si>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</si>
  <si>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</si>
  <si>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</si>
  <si>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</si>
  <si>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</si>
  <si>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</si>
  <si>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</si>
  <si>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</si>
  <si>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</si>
  <si>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</si>
  <si>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</si>
  <si>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</si>
  <si>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</si>
  <si>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</si>
  <si>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</si>
  <si>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</si>
  <si>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</si>
  <si>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</si>
  <si>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</si>
  <si>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</si>
  <si>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</si>
  <si>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</si>
  <si>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</si>
  <si>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</si>
  <si>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</si>
  <si>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</si>
  <si>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</si>
  <si>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</si>
  <si>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</si>
  <si>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</si>
  <si>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</si>
  <si>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</si>
  <si>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</si>
  <si>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</si>
  <si>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</si>
  <si>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</si>
  <si>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</si>
  <si>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</si>
  <si>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</si>
  <si>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</si>
  <si>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</si>
  <si>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</si>
  <si>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</si>
  <si>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</si>
  <si>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</si>
  <si>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</si>
  <si>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</si>
  <si>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</si>
  <si>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</si>
  <si>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</si>
  <si>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</si>
  <si>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</si>
  <si>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</si>
  <si>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</si>
  <si>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</si>
  <si>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</si>
  <si>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</si>
  <si>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</si>
  <si>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</si>
  <si>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</si>
  <si>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</si>
  <si>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</si>
  <si>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</si>
  <si>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</si>
  <si>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</si>
  <si>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</si>
  <si>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</si>
  <si>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</si>
  <si>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</si>
  <si>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</si>
  <si>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</si>
  <si>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</si>
  <si>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</si>
  <si>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</si>
  <si>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</si>
  <si>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</si>
  <si>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</si>
  <si>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</si>
  <si>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</si>
  <si>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</si>
  <si>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</si>
  <si>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</si>
  <si>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</si>
  <si>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</si>
  <si>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</si>
  <si>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</si>
  <si>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</si>
  <si>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</si>
  <si>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</si>
  <si>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</si>
  <si>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</si>
  <si>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</si>
  <si>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</si>
  <si>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</si>
  <si>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</si>
  <si>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</si>
  <si>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</si>
  <si>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</si>
  <si>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</si>
  <si>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</si>
  <si>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</si>
  <si>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</si>
  <si>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</si>
  <si>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</si>
  <si>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</si>
  <si>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</si>
  <si>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</si>
  <si>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</si>
  <si>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</si>
  <si>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</si>
  <si>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</si>
  <si>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</si>
  <si>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</si>
  <si>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</si>
  <si>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</si>
  <si>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</si>
  <si>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</si>
  <si>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</si>
  <si>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</si>
  <si>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</si>
  <si>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</si>
  <si>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</si>
  <si>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</si>
  <si>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</si>
  <si>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</si>
  <si>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</si>
  <si>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</si>
  <si>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</si>
  <si>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</si>
  <si>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</si>
  <si>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</si>
  <si>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</si>
  <si>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</si>
  <si>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</si>
  <si>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</si>
  <si>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</si>
  <si>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</si>
  <si>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</si>
  <si>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</si>
  <si>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</si>
  <si>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</si>
  <si>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</si>
  <si>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</si>
  <si>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</si>
  <si>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</si>
  <si>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</si>
  <si>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</si>
  <si>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</si>
  <si>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</si>
  <si>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</si>
  <si>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</si>
  <si>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</si>
  <si>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</si>
  <si>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</si>
  <si>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</si>
  <si>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</si>
  <si>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</si>
  <si>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</si>
  <si>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</si>
  <si>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</si>
  <si>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</si>
  <si>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</si>
  <si>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</si>
  <si>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</si>
  <si>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</si>
  <si>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</si>
  <si>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</si>
  <si>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</si>
  <si>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</si>
  <si>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</si>
  <si>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</si>
  <si>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</si>
  <si>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</si>
  <si>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</si>
  <si>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</si>
  <si>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</si>
  <si>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</si>
  <si>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</si>
  <si>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</si>
  <si>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</si>
  <si>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</si>
  <si>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</si>
  <si>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</si>
  <si>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</si>
  <si>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</si>
  <si>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</si>
  <si>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</si>
  <si>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</si>
  <si>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</si>
  <si>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</si>
  <si>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</si>
  <si>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</si>
  <si>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</si>
  <si>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</si>
  <si>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Roberto Abenoza</t>
  </si>
  <si>
    <t>Roberto Montero</t>
  </si>
  <si>
    <t>Marc Dolz</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</si>
  <si>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</si>
  <si>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</si>
  <si>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</si>
  <si>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</si>
  <si>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</si>
  <si>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</si>
  <si>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</si>
  <si>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</si>
  <si>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</si>
  <si>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</si>
  <si>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</si>
  <si>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</si>
  <si>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</si>
  <si>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</si>
  <si>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</si>
  <si>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</si>
  <si>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</si>
  <si>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</si>
  <si>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</si>
  <si>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</si>
  <si>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</si>
  <si>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</si>
  <si>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</si>
  <si>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</si>
  <si>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</si>
  <si>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</si>
  <si>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</si>
  <si>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</si>
  <si>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</si>
  <si>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</si>
  <si>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</si>
  <si>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</si>
  <si>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</si>
  <si>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</si>
  <si>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</si>
  <si>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</si>
  <si>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</si>
  <si>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</si>
  <si>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</si>
  <si>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</si>
  <si>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</si>
  <si>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</si>
  <si>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</si>
  <si>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</si>
  <si>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</si>
  <si>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</si>
  <si>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</si>
  <si>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</si>
  <si>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</si>
  <si>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</si>
  <si>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</si>
  <si>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</si>
  <si>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</si>
  <si>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</si>
  <si>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</si>
  <si>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</si>
  <si>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</si>
  <si>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#26</t>
  </si>
  <si>
    <t>#28</t>
  </si>
  <si>
    <t>CEN</t>
  </si>
  <si>
    <t>Ioannis Avramopoulos</t>
  </si>
  <si>
    <t>Paso1</t>
  </si>
  <si>
    <t>Paso2</t>
  </si>
  <si>
    <t>Ent</t>
  </si>
  <si>
    <t>Tem</t>
  </si>
  <si>
    <t>Paso3</t>
  </si>
  <si>
    <t>Paso4</t>
  </si>
  <si>
    <t>Paso5</t>
  </si>
  <si>
    <t>Paso6</t>
  </si>
  <si>
    <t>Paso7</t>
  </si>
  <si>
    <t>J. G. de Minaya</t>
  </si>
  <si>
    <t>INN</t>
  </si>
  <si>
    <t>J. G. Peñuela</t>
  </si>
  <si>
    <t>Alberto Ercilla</t>
  </si>
  <si>
    <t>Manuel Parejo</t>
  </si>
  <si>
    <t>Raul Riquelme</t>
  </si>
  <si>
    <t>#30</t>
  </si>
  <si>
    <t>Mauro Vaz</t>
  </si>
  <si>
    <t>Will Duffill</t>
  </si>
  <si>
    <t>Francesc Añigas</t>
  </si>
  <si>
    <t>Actualitzacio</t>
  </si>
  <si>
    <t>Millor partit</t>
  </si>
  <si>
    <t>CASA</t>
  </si>
  <si>
    <t>Vader - rayitos</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</si>
  <si>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</si>
  <si>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</si>
  <si>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</si>
  <si>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</si>
  <si>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</si>
  <si>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</si>
  <si>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</si>
  <si>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</si>
  <si>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</si>
  <si>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</si>
  <si>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</si>
  <si>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</si>
  <si>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</si>
  <si>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</si>
  <si>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</si>
  <si>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</si>
  <si>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</si>
  <si>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</si>
  <si>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</si>
  <si>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</si>
  <si>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</si>
  <si>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</si>
  <si>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</si>
  <si>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</si>
  <si>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</si>
  <si>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</si>
  <si>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</si>
  <si>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</si>
  <si>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</si>
  <si>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</si>
  <si>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</si>
  <si>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</si>
  <si>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</si>
  <si>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</si>
  <si>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</si>
  <si>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</si>
  <si>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</si>
  <si>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</si>
  <si>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</si>
  <si>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</si>
  <si>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</si>
  <si>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</si>
  <si>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</si>
  <si>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</si>
  <si>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</si>
  <si>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</si>
  <si>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</si>
  <si>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</si>
  <si>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</si>
  <si>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</si>
  <si>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</si>
  <si>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</si>
  <si>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</si>
  <si>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</si>
  <si>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</si>
  <si>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Ellák Deák</t>
  </si>
  <si>
    <t>Horacy Dzienis</t>
  </si>
  <si>
    <t>David Knuff</t>
  </si>
  <si>
    <t>Ricardo Esquerdo</t>
  </si>
  <si>
    <t>Nikolas Lakkotripi</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</si>
  <si>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</si>
  <si>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</si>
  <si>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</si>
  <si>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</si>
  <si>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</si>
  <si>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</si>
  <si>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</si>
  <si>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</si>
  <si>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</si>
  <si>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</si>
  <si>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</si>
  <si>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</si>
  <si>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</si>
  <si>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</si>
  <si>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</si>
  <si>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</si>
  <si>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</si>
  <si>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</si>
  <si>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</si>
  <si>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</si>
  <si>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</si>
  <si>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</si>
  <si>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</si>
  <si>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</si>
  <si>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</si>
  <si>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</si>
  <si>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</si>
  <si>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</si>
  <si>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</si>
  <si>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</si>
  <si>
    <t>#37</t>
  </si>
  <si>
    <t>Pablo Goenaga</t>
  </si>
  <si>
    <t>#36</t>
  </si>
  <si>
    <t>Felipe Agulló</t>
  </si>
  <si>
    <t>#22</t>
  </si>
  <si>
    <t>Xofre Taín</t>
  </si>
  <si>
    <t>W. Duffill</t>
  </si>
  <si>
    <t>F. Añigas</t>
  </si>
  <si>
    <t>IMP/RAP</t>
  </si>
  <si>
    <t>Filip Antonijevic</t>
  </si>
  <si>
    <t>Namazbek Baktygazyuly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</si>
</sst>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i/>
      <sz val="11"/>
      <color theme="1"/>
      <name val="Calibri"/>
      <family val="2"/>
      <scheme val="minor"/>
    </font>
    <font>
      <sz val="8"/>
      <color rgb="FFFF0000"/>
      <name val="Verdana"/>
      <family val="2"/>
    </font>
  </fonts>
  <fills count="36">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45">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0" fontId="45" fillId="0" borderId="1" xfId="0" applyFont="1" applyFill="1" applyBorder="1" applyAlignment="1">
      <alignment horizontal="left" vertical="center"/>
    </xf>
    <xf numFmtId="0" fontId="0" fillId="0" borderId="0" xfId="0" applyBorder="1"/>
    <xf numFmtId="0" fontId="0" fillId="0" borderId="0" xfId="0" applyAlignment="1">
      <alignment horizontal="center"/>
    </xf>
    <xf numFmtId="0" fontId="16" fillId="26" borderId="0" xfId="0" applyFont="1" applyFill="1"/>
    <xf numFmtId="0" fontId="46" fillId="0" borderId="0" xfId="0" applyFont="1" applyAlignment="1">
      <alignment horizontal="right"/>
    </xf>
    <xf numFmtId="0" fontId="13" fillId="27" borderId="1" xfId="3" applyFont="1" applyFill="1" applyBorder="1" applyAlignment="1">
      <alignment horizontal="right"/>
    </xf>
    <xf numFmtId="0" fontId="0" fillId="0" borderId="0" xfId="0" applyAlignment="1">
      <alignment horizontal="center"/>
    </xf>
    <xf numFmtId="0" fontId="0" fillId="35" borderId="0" xfId="0" applyFill="1" applyAlignment="1">
      <alignment horizontal="right"/>
    </xf>
    <xf numFmtId="0" fontId="46" fillId="35" borderId="0" xfId="0" applyFont="1" applyFill="1" applyAlignment="1">
      <alignment horizontal="right"/>
    </xf>
    <xf numFmtId="0" fontId="0" fillId="0" borderId="0" xfId="0" applyAlignment="1">
      <alignment horizontal="center"/>
    </xf>
    <xf numFmtId="0" fontId="0" fillId="0" borderId="0" xfId="0" applyAlignment="1">
      <alignment horizontal="center"/>
    </xf>
    <xf numFmtId="43" fontId="16" fillId="0" borderId="0" xfId="1" applyFont="1" applyAlignment="1">
      <alignment horizontal="center"/>
    </xf>
    <xf numFmtId="0" fontId="0" fillId="0" borderId="0" xfId="0" applyAlignment="1">
      <alignment horizont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16" fillId="26" borderId="0" xfId="0" applyFont="1" applyFill="1" applyAlignment="1">
      <alignment horizontal="center"/>
    </xf>
    <xf numFmtId="0" fontId="0" fillId="0" borderId="0" xfId="0" applyAlignment="1">
      <alignment horizontal="center"/>
    </xf>
    <xf numFmtId="0" fontId="47" fillId="4" borderId="1" xfId="0" applyFont="1" applyFill="1" applyBorder="1" applyAlignment="1">
      <alignment horizontal="right" vertical="center"/>
    </xf>
  </cellXfs>
  <cellStyles count="5">
    <cellStyle name="Excel Built-in Normal" xfId="3" xr:uid="{00000000-0005-0000-0000-000000000000}"/>
    <cellStyle name="Millares" xfId="1" builtinId="3"/>
    <cellStyle name="Moneda" xfId="4" builtinId="4"/>
    <cellStyle name="Normal" xfId="0" builtinId="0"/>
    <cellStyle name="Porcentaje" xfId="2" builtinId="5"/>
  </cellStyles>
  <dxfs count="21">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6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6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6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6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6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6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6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6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6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6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6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6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6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6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6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6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6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6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6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6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6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6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6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6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6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6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6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6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6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6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6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6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6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6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6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6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6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6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6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6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6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6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6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6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6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6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6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6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6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6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6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6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6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6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6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6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6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6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6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6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6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6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6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6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6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6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6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6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6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6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6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6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6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6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6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6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6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6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6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6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6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6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6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6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6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6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6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6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6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6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6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6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6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6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6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6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6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6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6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6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6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6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6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6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6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6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6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6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6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6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6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6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6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6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6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6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6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6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6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6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6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6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6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6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6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6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6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6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6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6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6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6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6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6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6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6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6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6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6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6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6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6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6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6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6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6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6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6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6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6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6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6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6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6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6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6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6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6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6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6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6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6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6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6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6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6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6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6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6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6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6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6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6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6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6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6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6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6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6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6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6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6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6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6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6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6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6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6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6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6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6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6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6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6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6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6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6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6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6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6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6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6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6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6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6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6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6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6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6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6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6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6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6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6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6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6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6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6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6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6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6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6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6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6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6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6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6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6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6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6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6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6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6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6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6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6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6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6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6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6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6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6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6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6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6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6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6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6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6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6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6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6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6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6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6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6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6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6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6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6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6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6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6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6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6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6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6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6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6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6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6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6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6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6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6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6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6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6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6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6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6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6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6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6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6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6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6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6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6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6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6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6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6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6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6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6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6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6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6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6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6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6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6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6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6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6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6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6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6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6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6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6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6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6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6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6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6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6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6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6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6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6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6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6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6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6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6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6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6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6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6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6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6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6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6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6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6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6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6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6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6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6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6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6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6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6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6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6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6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6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6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6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6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6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6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6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6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6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6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6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6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6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6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6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6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6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6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6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6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6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6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6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6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6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6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6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6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6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6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6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6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6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6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6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6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6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6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6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6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6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6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6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6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6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6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6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6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6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6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6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6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6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6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6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6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6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6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6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6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6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6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6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6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6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6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6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6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6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6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6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6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6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6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6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6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6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6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6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6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6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6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6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6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6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6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6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6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6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6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6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6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6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6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6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6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6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6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6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6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6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6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6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6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6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6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6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6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6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6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6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6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6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6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6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6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6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6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6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6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6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6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6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6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6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6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6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6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6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6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6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6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6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6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6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6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6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6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6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6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6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6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6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6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6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6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6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6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6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6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6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6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6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6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6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6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6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6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6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6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6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6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6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6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6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6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6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6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6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6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6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6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6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6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6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6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6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6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6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6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6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6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6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6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6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6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6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6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6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6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6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6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6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6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6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6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6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6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6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6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6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6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6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6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6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6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6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6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6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6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6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6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6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6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6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6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6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6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6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6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6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6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6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6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6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6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6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6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6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6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6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6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6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6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6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6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6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600-00009B020000}"/>
            </a:ext>
          </a:extLst>
        </xdr:cNvPr>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6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600-00009D020000}"/>
            </a:ext>
          </a:extLst>
        </xdr:cNvPr>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600-00009E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600-00009F020000}"/>
            </a:ext>
          </a:extLst>
        </xdr:cNvP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6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600-0000A1020000}"/>
            </a:ext>
          </a:extLst>
        </xdr:cNvPr>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6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6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6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6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6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6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6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6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6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6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6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6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6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6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6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6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6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6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6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6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6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6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6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6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6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6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6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6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6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6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6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6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6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6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6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6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6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6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6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6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6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6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6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6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6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6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6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6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6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6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6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6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6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6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6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6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6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6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6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6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6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6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6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6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6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6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6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6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6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6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6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6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6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6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6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6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6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6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6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6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6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6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6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6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6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6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6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6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6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6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6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6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6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6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6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6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6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6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6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6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6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6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6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6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6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6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6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6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6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6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6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6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6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6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6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6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6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6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6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6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6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6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6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6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6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6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6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6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6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6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6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6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6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6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6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6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6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6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6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6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6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6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6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6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6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6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6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6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6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6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6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6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6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6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6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6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6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6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6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6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6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6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6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6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6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6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6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6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6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6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6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6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6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6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6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6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6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6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6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6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6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6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6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6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6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6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6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6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6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6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6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6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6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6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6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6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6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6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6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6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6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6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6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6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6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6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6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6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6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6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6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6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6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6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6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6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6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6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6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6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6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6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6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6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6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6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6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6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6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6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6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6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6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6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6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6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6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6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6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6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6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6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6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6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6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6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6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6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6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6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6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6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6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6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6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6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6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6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6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6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6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6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6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6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6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6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6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6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6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6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6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6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6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6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6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6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6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6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6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6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6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6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6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6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6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6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6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6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6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6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6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6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6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6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6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6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6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6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6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6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6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6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6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6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6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6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6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6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6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6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6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6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6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6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6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6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6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6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6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6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6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6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6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6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6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6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6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6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6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6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6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6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6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6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6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6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6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6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6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6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6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6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6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6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6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6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6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6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6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6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6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6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6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6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6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6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6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6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6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6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6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6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6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6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6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6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6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6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6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6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6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6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6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6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6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6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6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6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6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6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6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6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6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6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6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6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6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6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6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6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6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6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6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6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6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6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6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6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6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6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6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6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6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6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6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6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6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6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6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6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6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6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6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6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6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6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6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6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6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6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6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6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6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6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6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6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6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6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6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6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6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6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6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6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6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6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6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6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6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6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6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6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6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6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6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6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6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6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6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6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6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6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6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6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6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6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6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6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6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6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6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6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6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6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6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6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6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6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6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6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6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6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6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6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6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6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6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6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6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6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6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6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6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6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6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6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6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6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6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6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6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6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6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6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6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6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6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6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6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6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6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6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6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6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6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6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6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6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6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6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6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6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6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6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6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6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6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6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6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6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6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6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6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6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6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6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6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6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6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6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6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6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6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6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6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6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6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6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6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6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6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6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6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6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6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6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6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6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6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6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6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6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6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6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6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6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6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6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6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6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6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6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6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6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6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6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6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6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6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6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6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6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6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6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6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6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6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6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6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6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6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6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6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6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6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6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6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6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6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6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6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6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6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6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6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6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6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6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6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6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6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6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6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6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6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6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6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6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6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6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6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6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6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6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6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6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6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6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6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6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6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6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6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6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6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6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6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6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6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6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6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6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6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6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6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6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6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6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6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6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6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6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6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6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6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6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6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6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6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6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6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6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6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6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6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6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6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6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6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6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6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6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6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6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6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6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6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6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6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6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6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6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6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6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6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6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6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6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6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6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6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6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6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6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6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6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6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6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6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6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6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6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6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6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6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6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6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6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6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6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6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6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6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6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6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6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6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6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6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6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6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6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6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6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6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6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6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6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6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6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6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6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6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6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6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6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6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6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6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6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6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6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6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6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6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6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6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6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6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6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6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6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6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6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6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6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6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6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6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6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6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6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6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6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6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6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6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6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6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6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6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6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6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6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6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6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6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6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6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6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6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6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6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6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6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6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6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6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6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6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6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6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6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6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6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6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6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6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6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6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6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6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6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6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6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6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6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6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6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6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6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6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6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6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6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6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6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6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6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6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6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6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6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6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6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6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6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6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6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6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6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6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6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6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6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6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6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6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6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6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6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6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6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6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6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6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6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6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6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6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6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6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6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6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6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6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6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6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6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6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6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6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6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6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6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6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6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6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6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6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6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6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6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6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6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6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6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6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6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6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6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6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6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6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6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6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6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6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6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6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6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6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6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6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6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6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6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6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6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6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6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6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6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6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6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6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6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6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6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6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6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6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6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6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6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6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6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6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6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6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6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6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6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6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6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6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6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6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6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6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6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6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6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6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6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6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6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6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6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6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6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6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6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6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6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6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6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6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6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6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6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6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6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6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6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6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6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6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6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6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6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6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6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6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6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6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6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6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6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6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6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6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6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6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6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6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6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6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6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6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6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6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6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6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6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6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6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6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6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6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6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6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6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6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6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6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6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6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6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6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6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6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6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6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6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6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6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6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6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6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6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6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6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6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6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6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6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6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6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6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6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6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6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6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6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6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6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6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6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6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6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6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6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6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6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6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6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6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6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6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6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6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6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6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6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6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6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6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6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6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6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6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6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6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6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6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6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6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6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6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6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6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6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6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6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6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6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6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6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6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6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6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6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6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6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6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6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6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6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6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6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6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6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6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6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6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6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6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6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6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6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6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6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6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6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6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6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6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6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6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6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6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6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6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6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6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6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6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6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6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6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6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6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6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6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6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6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6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6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6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6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6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6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6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6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6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6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6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6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6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6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6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6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6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6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6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6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6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6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6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6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6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6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6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6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6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6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6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6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6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6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6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6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6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6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6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6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6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6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6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6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6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6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6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6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6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6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6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6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6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6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6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6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6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6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6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6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6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6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6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6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6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6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6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6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6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6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6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6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6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6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6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6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6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6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6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6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6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6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6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6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6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6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6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6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6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6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6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6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6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6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6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6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6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6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6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6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6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6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6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6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6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6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6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6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6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6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6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6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6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6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6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6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6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6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6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6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6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6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6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6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6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6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6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6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6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6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6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6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6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6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6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6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6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6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6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6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6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6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6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6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6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6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6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6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6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6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6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6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6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6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6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6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6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6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6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6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6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6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6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6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6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6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6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6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6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6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6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6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6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6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6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6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6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6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6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6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6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6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6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6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6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6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6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6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6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6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6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6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6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6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6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6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6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6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6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6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6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6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6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6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6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6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6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6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6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6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6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6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6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6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6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6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6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6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6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6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6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6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6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6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6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6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6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6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6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6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6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6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6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6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6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6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6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6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6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6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6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6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6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6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6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6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6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6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6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6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6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6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6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6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6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6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6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6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6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6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6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6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6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6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6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6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6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6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6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6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6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6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6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6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6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6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6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6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6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6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6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6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6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6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6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6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6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6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6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6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6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6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6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6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6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6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6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6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6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6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6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6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6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6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6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6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6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6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6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6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6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6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6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6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6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6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6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6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6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6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6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6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6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6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6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6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6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6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6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6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6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6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6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6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6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6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6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6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6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6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6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6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6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6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6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6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6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6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6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6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6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6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6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6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6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6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6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6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6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6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6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6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6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6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6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6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6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6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6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6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6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6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6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6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6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6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6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6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6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6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6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6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6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6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6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6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6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6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6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6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6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6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6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6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6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6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6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6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6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6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6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6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6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6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6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6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6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6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6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6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6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6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6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6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6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6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6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6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6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6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6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6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6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6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6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6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6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6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6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6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6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6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6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6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6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6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6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6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6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6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6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6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6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6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6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6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6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6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6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6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6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6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6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6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6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6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6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6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6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6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6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6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6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6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6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6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6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6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6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6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6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6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6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6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6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6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6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6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6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6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6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6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6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6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6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6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6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6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6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6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6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6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6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6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6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6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6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6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6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6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6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6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6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6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6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6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6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6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6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6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6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6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6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6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6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6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6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6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6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6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6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6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6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6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6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6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6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6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6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6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6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6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6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6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6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6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6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6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6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6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6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6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6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6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6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6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6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6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6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6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6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6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6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6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6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6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6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6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6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6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6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6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6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6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6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6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6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6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6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6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6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6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6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6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6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6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6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6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6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6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6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6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6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6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6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6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6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6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6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6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6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6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6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6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6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6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6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6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6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6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6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6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6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6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6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6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6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6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6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6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6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6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6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6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6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6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6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6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6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6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6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6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6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6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6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6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6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6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6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6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6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6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6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6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6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6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6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6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6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6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6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6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6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6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6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6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6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6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6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6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6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6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6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6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6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6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6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6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6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6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6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6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6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6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6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6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6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6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6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6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6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6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6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6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6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6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6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6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6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6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6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6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6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6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6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6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6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6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6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6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6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6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6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6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6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6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6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6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6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6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6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6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6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6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6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6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6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6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6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6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6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6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6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6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6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6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6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6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6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6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6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6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6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6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6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6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6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6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6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6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6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6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6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6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6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6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6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6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6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6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6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6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6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6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6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6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6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6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6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6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6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6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6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6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6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6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6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6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6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6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6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6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6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6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6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6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6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6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6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6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6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6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6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6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6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6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6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6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6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6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6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6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6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6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6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6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6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6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6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6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6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6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6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6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6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6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6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6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6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6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6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6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6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6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6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6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6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6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6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6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6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6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6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6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6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6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6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6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6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6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6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6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6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6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6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6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6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6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6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6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6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6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6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6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6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6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6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6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6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6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6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6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6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6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6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6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6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6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6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6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6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6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6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6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6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6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6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6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6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6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6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6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6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6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6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6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6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6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6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6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6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6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6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6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6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6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6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6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6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6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6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6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6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6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6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6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6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6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6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6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6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6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6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6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6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6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6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6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6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6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6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6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6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6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6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6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6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6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6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6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6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6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6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6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6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6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6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6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6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6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6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6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6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6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6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6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6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6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6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6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6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6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6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6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6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6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6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6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6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6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6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6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6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6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6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6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6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6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6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6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6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6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6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6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6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6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6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6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6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6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6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6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6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6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6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6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6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6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6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6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6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6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6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6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6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6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6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6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6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6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6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6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6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6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6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6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6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6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6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6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6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6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6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6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6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6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6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6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6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6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6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6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6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6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6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6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6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6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6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6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6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6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6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6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6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6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6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6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6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6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6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6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6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6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6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6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6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6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6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6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6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6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6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6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6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6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6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6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6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6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6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6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6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6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6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6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6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6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6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6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6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6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6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6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6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6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6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6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6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6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6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6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6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6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6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6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6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6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6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6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6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6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6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6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6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6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6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6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6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6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6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6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6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6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6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6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6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6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6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6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6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6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6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6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6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6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6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6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6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6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6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6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6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6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6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6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6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6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6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6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6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6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6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6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6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6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6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6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6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6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6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6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6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6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6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6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6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6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6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6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6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6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6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6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6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6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6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6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6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6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6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6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6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6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6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6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6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6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6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6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6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6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6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6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6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6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6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6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6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6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6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6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6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6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6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6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6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6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6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6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6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6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6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6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6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6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6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6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6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6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6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6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6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6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6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6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6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6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6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6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6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6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6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6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6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6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6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6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6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6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6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6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6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6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6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6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6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6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6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6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6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6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6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6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6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6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6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6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6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6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6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6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6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6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6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6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6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6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6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6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6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6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6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6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6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6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6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6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6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6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6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6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6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6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6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6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6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6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6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6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6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6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6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6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6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6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6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6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6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6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6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6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6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6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6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6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6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6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6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6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6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6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6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6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6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6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6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6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6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6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6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6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6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6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6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6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6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6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6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6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6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6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6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6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6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6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6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6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6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6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6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6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6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6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6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6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6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6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6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6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6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6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6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6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6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6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6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6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6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6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6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6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6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6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6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6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6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6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6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6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6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6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6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6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6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6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6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6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6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6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6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6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6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6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6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6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6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6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6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6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6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6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6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6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6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6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6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6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6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6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6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6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6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6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6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6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6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6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6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6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6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6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6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6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6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6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6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6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6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6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6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6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6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6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6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6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6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6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6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6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6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6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6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6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6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6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6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6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6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6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6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6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6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6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6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6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6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6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6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6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6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6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6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6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6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6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6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6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6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6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6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6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6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6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6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6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6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6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6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6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6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6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6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6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6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6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6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6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6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6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6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6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6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6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6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6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6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6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6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6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6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6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6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6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6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6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6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6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6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6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6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6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6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6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6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6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6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6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6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6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6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6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6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6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6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6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6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6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6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6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6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6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6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6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6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6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6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6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6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6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6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6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6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6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6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6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6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6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6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6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6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6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6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6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6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6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6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6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6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6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6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6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6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6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6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6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6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6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6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6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6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6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6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6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6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6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6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6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6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6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6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6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6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6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6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6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6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6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6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6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6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6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6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6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6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6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6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6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6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6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6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6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6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6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6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6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6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6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6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6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6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6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6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6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6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6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6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6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6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6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6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6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6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6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6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6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6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6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6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6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6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6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6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6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6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6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6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6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6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6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6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6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6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6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6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6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6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6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6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6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6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6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6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6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6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6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6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6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6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6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6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6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6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6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6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6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6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6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6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6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6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6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6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6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6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6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6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6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6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6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6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6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6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6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6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6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6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6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6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6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6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6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6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6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6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6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6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6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6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6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6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6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6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6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6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6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6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6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6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6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6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6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6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6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6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6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6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6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6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6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6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6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6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6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6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6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6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6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a:extLst>
            <a:ext uri="{FF2B5EF4-FFF2-40B4-BE49-F238E27FC236}">
              <a16:creationId xmlns:a16="http://schemas.microsoft.com/office/drawing/2014/main" id="{00000000-0008-0000-0600-00009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a:extLst>
            <a:ext uri="{FF2B5EF4-FFF2-40B4-BE49-F238E27FC236}">
              <a16:creationId xmlns:a16="http://schemas.microsoft.com/office/drawing/2014/main" id="{00000000-0008-0000-0600-00009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a:extLst>
            <a:ext uri="{FF2B5EF4-FFF2-40B4-BE49-F238E27FC236}">
              <a16:creationId xmlns:a16="http://schemas.microsoft.com/office/drawing/2014/main" id="{00000000-0008-0000-0600-00009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a:extLst>
            <a:ext uri="{FF2B5EF4-FFF2-40B4-BE49-F238E27FC236}">
              <a16:creationId xmlns:a16="http://schemas.microsoft.com/office/drawing/2014/main" id="{00000000-0008-0000-0600-00009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a:extLst>
            <a:ext uri="{FF2B5EF4-FFF2-40B4-BE49-F238E27FC236}">
              <a16:creationId xmlns:a16="http://schemas.microsoft.com/office/drawing/2014/main" id="{00000000-0008-0000-0600-00009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a:extLst>
            <a:ext uri="{FF2B5EF4-FFF2-40B4-BE49-F238E27FC236}">
              <a16:creationId xmlns:a16="http://schemas.microsoft.com/office/drawing/2014/main" id="{00000000-0008-0000-0600-00009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a:extLst>
            <a:ext uri="{FF2B5EF4-FFF2-40B4-BE49-F238E27FC236}">
              <a16:creationId xmlns:a16="http://schemas.microsoft.com/office/drawing/2014/main" id="{00000000-0008-0000-0600-00009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a:extLst>
            <a:ext uri="{FF2B5EF4-FFF2-40B4-BE49-F238E27FC236}">
              <a16:creationId xmlns:a16="http://schemas.microsoft.com/office/drawing/2014/main" id="{00000000-0008-0000-0600-00009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a:extLst>
            <a:ext uri="{FF2B5EF4-FFF2-40B4-BE49-F238E27FC236}">
              <a16:creationId xmlns:a16="http://schemas.microsoft.com/office/drawing/2014/main" id="{00000000-0008-0000-0600-00009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a:extLst>
            <a:ext uri="{FF2B5EF4-FFF2-40B4-BE49-F238E27FC236}">
              <a16:creationId xmlns:a16="http://schemas.microsoft.com/office/drawing/2014/main" id="{00000000-0008-0000-0600-00009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a:extLst>
            <a:ext uri="{FF2B5EF4-FFF2-40B4-BE49-F238E27FC236}">
              <a16:creationId xmlns:a16="http://schemas.microsoft.com/office/drawing/2014/main" id="{00000000-0008-0000-0600-00009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a:extLst>
            <a:ext uri="{FF2B5EF4-FFF2-40B4-BE49-F238E27FC236}">
              <a16:creationId xmlns:a16="http://schemas.microsoft.com/office/drawing/2014/main" id="{00000000-0008-0000-0600-0000A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a:extLst>
            <a:ext uri="{FF2B5EF4-FFF2-40B4-BE49-F238E27FC236}">
              <a16:creationId xmlns:a16="http://schemas.microsoft.com/office/drawing/2014/main" id="{00000000-0008-0000-0600-0000A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a:extLst>
            <a:ext uri="{FF2B5EF4-FFF2-40B4-BE49-F238E27FC236}">
              <a16:creationId xmlns:a16="http://schemas.microsoft.com/office/drawing/2014/main" id="{00000000-0008-0000-0600-0000A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a:extLst>
            <a:ext uri="{FF2B5EF4-FFF2-40B4-BE49-F238E27FC236}">
              <a16:creationId xmlns:a16="http://schemas.microsoft.com/office/drawing/2014/main" id="{00000000-0008-0000-0600-0000A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a:extLst>
            <a:ext uri="{FF2B5EF4-FFF2-40B4-BE49-F238E27FC236}">
              <a16:creationId xmlns:a16="http://schemas.microsoft.com/office/drawing/2014/main" id="{00000000-0008-0000-0600-0000A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a:extLst>
            <a:ext uri="{FF2B5EF4-FFF2-40B4-BE49-F238E27FC236}">
              <a16:creationId xmlns:a16="http://schemas.microsoft.com/office/drawing/2014/main" id="{00000000-0008-0000-0600-0000A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a:extLst>
            <a:ext uri="{FF2B5EF4-FFF2-40B4-BE49-F238E27FC236}">
              <a16:creationId xmlns:a16="http://schemas.microsoft.com/office/drawing/2014/main" id="{00000000-0008-0000-0600-0000A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a:extLst>
            <a:ext uri="{FF2B5EF4-FFF2-40B4-BE49-F238E27FC236}">
              <a16:creationId xmlns:a16="http://schemas.microsoft.com/office/drawing/2014/main" id="{00000000-0008-0000-0600-0000A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a:extLst>
            <a:ext uri="{FF2B5EF4-FFF2-40B4-BE49-F238E27FC236}">
              <a16:creationId xmlns:a16="http://schemas.microsoft.com/office/drawing/2014/main" id="{00000000-0008-0000-0600-0000A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a:extLst>
            <a:ext uri="{FF2B5EF4-FFF2-40B4-BE49-F238E27FC236}">
              <a16:creationId xmlns:a16="http://schemas.microsoft.com/office/drawing/2014/main" id="{00000000-0008-0000-0600-0000A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a:extLst>
            <a:ext uri="{FF2B5EF4-FFF2-40B4-BE49-F238E27FC236}">
              <a16:creationId xmlns:a16="http://schemas.microsoft.com/office/drawing/2014/main" id="{00000000-0008-0000-0600-0000A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a:extLst>
            <a:ext uri="{FF2B5EF4-FFF2-40B4-BE49-F238E27FC236}">
              <a16:creationId xmlns:a16="http://schemas.microsoft.com/office/drawing/2014/main" id="{00000000-0008-0000-0600-0000A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a:extLst>
            <a:ext uri="{FF2B5EF4-FFF2-40B4-BE49-F238E27FC236}">
              <a16:creationId xmlns:a16="http://schemas.microsoft.com/office/drawing/2014/main" id="{00000000-0008-0000-0600-0000A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a:extLst>
            <a:ext uri="{FF2B5EF4-FFF2-40B4-BE49-F238E27FC236}">
              <a16:creationId xmlns:a16="http://schemas.microsoft.com/office/drawing/2014/main" id="{00000000-0008-0000-0600-0000A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a:extLst>
            <a:ext uri="{FF2B5EF4-FFF2-40B4-BE49-F238E27FC236}">
              <a16:creationId xmlns:a16="http://schemas.microsoft.com/office/drawing/2014/main" id="{00000000-0008-0000-0600-0000A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a:extLst>
            <a:ext uri="{FF2B5EF4-FFF2-40B4-BE49-F238E27FC236}">
              <a16:creationId xmlns:a16="http://schemas.microsoft.com/office/drawing/2014/main" id="{00000000-0008-0000-0600-0000A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a:extLst>
            <a:ext uri="{FF2B5EF4-FFF2-40B4-BE49-F238E27FC236}">
              <a16:creationId xmlns:a16="http://schemas.microsoft.com/office/drawing/2014/main" id="{00000000-0008-0000-0600-0000B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a:extLst>
            <a:ext uri="{FF2B5EF4-FFF2-40B4-BE49-F238E27FC236}">
              <a16:creationId xmlns:a16="http://schemas.microsoft.com/office/drawing/2014/main" id="{00000000-0008-0000-0600-0000B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a:extLst>
            <a:ext uri="{FF2B5EF4-FFF2-40B4-BE49-F238E27FC236}">
              <a16:creationId xmlns:a16="http://schemas.microsoft.com/office/drawing/2014/main" id="{00000000-0008-0000-0600-0000B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a:extLst>
            <a:ext uri="{FF2B5EF4-FFF2-40B4-BE49-F238E27FC236}">
              <a16:creationId xmlns:a16="http://schemas.microsoft.com/office/drawing/2014/main" id="{00000000-0008-0000-0600-0000B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a:extLst>
            <a:ext uri="{FF2B5EF4-FFF2-40B4-BE49-F238E27FC236}">
              <a16:creationId xmlns:a16="http://schemas.microsoft.com/office/drawing/2014/main" id="{00000000-0008-0000-0600-0000B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a:extLst>
            <a:ext uri="{FF2B5EF4-FFF2-40B4-BE49-F238E27FC236}">
              <a16:creationId xmlns:a16="http://schemas.microsoft.com/office/drawing/2014/main" id="{00000000-0008-0000-0600-0000B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a:extLst>
            <a:ext uri="{FF2B5EF4-FFF2-40B4-BE49-F238E27FC236}">
              <a16:creationId xmlns:a16="http://schemas.microsoft.com/office/drawing/2014/main" id="{00000000-0008-0000-0600-0000B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a:extLst>
            <a:ext uri="{FF2B5EF4-FFF2-40B4-BE49-F238E27FC236}">
              <a16:creationId xmlns:a16="http://schemas.microsoft.com/office/drawing/2014/main" id="{00000000-0008-0000-0600-0000B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a:extLst>
            <a:ext uri="{FF2B5EF4-FFF2-40B4-BE49-F238E27FC236}">
              <a16:creationId xmlns:a16="http://schemas.microsoft.com/office/drawing/2014/main" id="{00000000-0008-0000-0600-0000B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a:extLst>
            <a:ext uri="{FF2B5EF4-FFF2-40B4-BE49-F238E27FC236}">
              <a16:creationId xmlns:a16="http://schemas.microsoft.com/office/drawing/2014/main" id="{00000000-0008-0000-0600-0000B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a:extLst>
            <a:ext uri="{FF2B5EF4-FFF2-40B4-BE49-F238E27FC236}">
              <a16:creationId xmlns:a16="http://schemas.microsoft.com/office/drawing/2014/main" id="{00000000-0008-0000-0600-0000B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a:extLst>
            <a:ext uri="{FF2B5EF4-FFF2-40B4-BE49-F238E27FC236}">
              <a16:creationId xmlns:a16="http://schemas.microsoft.com/office/drawing/2014/main" id="{00000000-0008-0000-0600-0000B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a:extLst>
            <a:ext uri="{FF2B5EF4-FFF2-40B4-BE49-F238E27FC236}">
              <a16:creationId xmlns:a16="http://schemas.microsoft.com/office/drawing/2014/main" id="{00000000-0008-0000-0600-0000B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a:extLst>
            <a:ext uri="{FF2B5EF4-FFF2-40B4-BE49-F238E27FC236}">
              <a16:creationId xmlns:a16="http://schemas.microsoft.com/office/drawing/2014/main" id="{00000000-0008-0000-0600-0000B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a:extLst>
            <a:ext uri="{FF2B5EF4-FFF2-40B4-BE49-F238E27FC236}">
              <a16:creationId xmlns:a16="http://schemas.microsoft.com/office/drawing/2014/main" id="{00000000-0008-0000-0600-0000B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T145"/>
  <sheetViews>
    <sheetView zoomScale="80" zoomScaleNormal="80" workbookViewId="0">
      <selection activeCell="I10" sqref="I10"/>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33" t="s">
        <v>106</v>
      </c>
      <c r="C59" s="96" t="s">
        <v>105</v>
      </c>
      <c r="D59" s="237" t="s">
        <v>137</v>
      </c>
      <c r="E59" s="237" t="s">
        <v>137</v>
      </c>
      <c r="F59" s="97" t="s">
        <v>103</v>
      </c>
      <c r="H59" s="98" t="s">
        <v>138</v>
      </c>
      <c r="X59" s="89"/>
    </row>
    <row r="60" spans="1:24" ht="15.75" x14ac:dyDescent="0.25">
      <c r="A60" s="99">
        <v>18</v>
      </c>
      <c r="B60" s="233"/>
      <c r="C60" s="96" t="s">
        <v>139</v>
      </c>
      <c r="D60" s="237"/>
      <c r="E60" s="237"/>
      <c r="F60" s="97" t="s">
        <v>140</v>
      </c>
      <c r="H60" s="92" t="s">
        <v>141</v>
      </c>
      <c r="X60" s="89"/>
    </row>
    <row r="61" spans="1:24" ht="15.75" x14ac:dyDescent="0.25">
      <c r="A61" s="95">
        <v>19</v>
      </c>
      <c r="B61" s="233"/>
      <c r="C61" s="100"/>
      <c r="D61" s="237"/>
      <c r="E61" s="237"/>
      <c r="F61" s="101"/>
      <c r="H61" s="92" t="s">
        <v>142</v>
      </c>
      <c r="I61" s="91"/>
      <c r="X61" s="89"/>
    </row>
    <row r="62" spans="1:24" ht="15.75" x14ac:dyDescent="0.25">
      <c r="A62" s="99">
        <v>20</v>
      </c>
      <c r="B62" s="233"/>
      <c r="C62" s="97" t="s">
        <v>137</v>
      </c>
      <c r="D62" s="238" t="s">
        <v>103</v>
      </c>
      <c r="E62" s="97" t="s">
        <v>103</v>
      </c>
      <c r="F62" s="101"/>
      <c r="H62" s="92" t="s">
        <v>143</v>
      </c>
      <c r="X62" s="89"/>
    </row>
    <row r="63" spans="1:24" ht="15.75" x14ac:dyDescent="0.25">
      <c r="A63" s="95">
        <v>21</v>
      </c>
      <c r="B63" s="235" t="s">
        <v>105</v>
      </c>
      <c r="C63" s="97" t="s">
        <v>144</v>
      </c>
      <c r="D63" s="238"/>
      <c r="E63" s="97" t="s">
        <v>140</v>
      </c>
      <c r="F63" s="101"/>
      <c r="H63" s="92" t="s">
        <v>145</v>
      </c>
      <c r="X63" s="89"/>
    </row>
    <row r="64" spans="1:24" ht="15.75" x14ac:dyDescent="0.25">
      <c r="A64" s="99">
        <v>22</v>
      </c>
      <c r="B64" s="235"/>
      <c r="C64" s="101"/>
      <c r="D64" s="238"/>
      <c r="E64" s="101"/>
      <c r="F64" s="101"/>
      <c r="H64" s="92" t="s">
        <v>146</v>
      </c>
      <c r="X64" s="89"/>
    </row>
    <row r="65" spans="1:24" ht="15.75" x14ac:dyDescent="0.25">
      <c r="A65" s="95">
        <v>23</v>
      </c>
      <c r="B65" s="235"/>
      <c r="C65" s="101"/>
      <c r="D65" s="238"/>
      <c r="E65" s="101"/>
      <c r="F65" s="101"/>
      <c r="H65" s="92"/>
      <c r="X65" s="89"/>
    </row>
    <row r="66" spans="1:24" ht="15.75" x14ac:dyDescent="0.25">
      <c r="A66" s="99">
        <v>24</v>
      </c>
      <c r="B66" s="235"/>
      <c r="C66" s="101"/>
      <c r="D66" s="238"/>
      <c r="E66" s="101"/>
      <c r="F66" s="101"/>
      <c r="H66" s="92" t="s">
        <v>147</v>
      </c>
      <c r="X66" s="89"/>
    </row>
    <row r="67" spans="1:24" ht="15.75" x14ac:dyDescent="0.25">
      <c r="A67" s="95">
        <v>25</v>
      </c>
      <c r="B67" s="235"/>
      <c r="C67" s="101"/>
      <c r="D67" s="237" t="s">
        <v>137</v>
      </c>
      <c r="E67" s="101"/>
      <c r="F67" s="101"/>
      <c r="H67" s="92" t="s">
        <v>148</v>
      </c>
      <c r="X67" s="89"/>
    </row>
    <row r="68" spans="1:24" ht="15.75" x14ac:dyDescent="0.25">
      <c r="A68" s="99">
        <v>26</v>
      </c>
      <c r="B68" s="235"/>
      <c r="C68" s="237" t="s">
        <v>137</v>
      </c>
      <c r="D68" s="237"/>
      <c r="E68" s="101"/>
      <c r="F68" s="101"/>
      <c r="H68" s="92"/>
      <c r="X68" s="89"/>
    </row>
    <row r="69" spans="1:24" ht="15.75" x14ac:dyDescent="0.25">
      <c r="A69" s="95">
        <v>27</v>
      </c>
      <c r="B69" s="233" t="s">
        <v>106</v>
      </c>
      <c r="C69" s="237"/>
      <c r="D69" s="237"/>
      <c r="E69" s="101"/>
      <c r="F69" s="101"/>
      <c r="H69" s="92"/>
      <c r="X69" s="89"/>
    </row>
    <row r="70" spans="1:24" ht="15.75" x14ac:dyDescent="0.25">
      <c r="A70" s="99">
        <v>28</v>
      </c>
      <c r="B70" s="233"/>
      <c r="C70" s="235" t="s">
        <v>105</v>
      </c>
      <c r="D70" s="237"/>
      <c r="E70" s="101"/>
      <c r="F70" s="101"/>
      <c r="H70" s="92" t="s">
        <v>149</v>
      </c>
      <c r="X70" s="89"/>
    </row>
    <row r="71" spans="1:24" ht="15.75" x14ac:dyDescent="0.25">
      <c r="A71" s="95">
        <v>29</v>
      </c>
      <c r="B71" s="233"/>
      <c r="C71" s="235"/>
      <c r="D71" s="237"/>
      <c r="E71" s="101"/>
      <c r="F71" s="101"/>
      <c r="H71" s="92"/>
      <c r="X71" s="89"/>
    </row>
    <row r="72" spans="1:24" ht="15.75" x14ac:dyDescent="0.25">
      <c r="A72" s="99">
        <v>30</v>
      </c>
      <c r="B72" s="233"/>
      <c r="C72" s="235"/>
      <c r="D72" s="235" t="s">
        <v>105</v>
      </c>
      <c r="E72" s="101"/>
      <c r="F72" s="101"/>
      <c r="H72" s="92" t="s">
        <v>150</v>
      </c>
      <c r="X72" s="89"/>
    </row>
    <row r="73" spans="1:24" ht="15.75" x14ac:dyDescent="0.25">
      <c r="A73" s="95">
        <v>31</v>
      </c>
      <c r="B73" s="233"/>
      <c r="C73" s="235"/>
      <c r="D73" s="235"/>
      <c r="E73" s="97" t="s">
        <v>137</v>
      </c>
      <c r="F73" s="101"/>
      <c r="H73" s="92"/>
      <c r="X73" s="89"/>
    </row>
    <row r="74" spans="1:24" ht="15.75" x14ac:dyDescent="0.25">
      <c r="A74" s="99">
        <v>32</v>
      </c>
      <c r="B74" s="233"/>
      <c r="C74" s="235"/>
      <c r="D74" s="235"/>
      <c r="E74" s="97" t="s">
        <v>144</v>
      </c>
      <c r="F74" s="101"/>
      <c r="H74" s="92" t="s">
        <v>151</v>
      </c>
      <c r="X74" s="89"/>
    </row>
    <row r="75" spans="1:24" ht="15.75" x14ac:dyDescent="0.25">
      <c r="A75" s="95">
        <v>33</v>
      </c>
      <c r="B75" s="233"/>
      <c r="C75" s="233" t="s">
        <v>106</v>
      </c>
      <c r="D75" s="235"/>
      <c r="E75" s="96" t="s">
        <v>105</v>
      </c>
      <c r="F75" s="96" t="s">
        <v>105</v>
      </c>
      <c r="H75" s="92"/>
      <c r="X75" s="89"/>
    </row>
    <row r="76" spans="1:24" ht="15.75" x14ac:dyDescent="0.25">
      <c r="A76" s="99">
        <v>34</v>
      </c>
      <c r="B76" s="236" t="s">
        <v>152</v>
      </c>
      <c r="C76" s="233"/>
      <c r="D76" s="235"/>
      <c r="E76" s="96" t="s">
        <v>139</v>
      </c>
      <c r="F76" s="96" t="s">
        <v>139</v>
      </c>
      <c r="H76" s="92" t="s">
        <v>153</v>
      </c>
      <c r="X76" s="89"/>
    </row>
    <row r="77" spans="1:24" ht="15.75" x14ac:dyDescent="0.25">
      <c r="A77" s="95">
        <v>35</v>
      </c>
      <c r="B77" s="236"/>
      <c r="C77" s="236" t="s">
        <v>152</v>
      </c>
      <c r="D77" s="233" t="s">
        <v>106</v>
      </c>
      <c r="E77" s="233" t="s">
        <v>106</v>
      </c>
      <c r="F77" s="100"/>
      <c r="H77" s="92"/>
      <c r="X77" s="89"/>
    </row>
    <row r="78" spans="1:24" ht="15.75" x14ac:dyDescent="0.25">
      <c r="A78" s="99">
        <v>36</v>
      </c>
      <c r="B78" s="236"/>
      <c r="C78" s="236"/>
      <c r="D78" s="233"/>
      <c r="E78" s="233"/>
      <c r="F78" s="102" t="s">
        <v>106</v>
      </c>
      <c r="H78" s="92" t="s">
        <v>154</v>
      </c>
      <c r="X78" s="89"/>
    </row>
    <row r="79" spans="1:24" ht="15.75" x14ac:dyDescent="0.25">
      <c r="A79" s="234" t="s">
        <v>155</v>
      </c>
      <c r="B79" s="234"/>
      <c r="C79" s="234"/>
      <c r="D79" s="234"/>
      <c r="E79" s="234"/>
      <c r="F79" s="234"/>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0" priority="4" operator="lessThan">
      <formula>6</formula>
    </cfRule>
    <cfRule type="cellIs" dxfId="19" priority="5" operator="greaterThan">
      <formula>7</formula>
    </cfRule>
  </conditionalFormatting>
  <conditionalFormatting sqref="B23:W23">
    <cfRule type="cellIs" dxfId="18" priority="1" operator="lessThan">
      <formula>6</formula>
    </cfRule>
    <cfRule type="cellIs" dxfId="17"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
    <tabColor rgb="FF00B0F0"/>
  </sheetPr>
  <dimension ref="A1:CE31"/>
  <sheetViews>
    <sheetView workbookViewId="0">
      <pane xSplit="9" ySplit="2" topLeftCell="J3" activePane="bottomRight" state="frozen"/>
      <selection pane="topRight" activeCell="J1" sqref="J1"/>
      <selection pane="bottomLeft" activeCell="A3" sqref="A3"/>
      <selection pane="bottomRight" activeCell="A19" sqref="A19"/>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Nicolae Hornet</v>
      </c>
      <c r="B3">
        <f>PLANTILLA!E4</f>
        <v>19</v>
      </c>
      <c r="C3" s="33">
        <f ca="1">PLANTILLA!F4</f>
        <v>94</v>
      </c>
      <c r="D3" s="229"/>
      <c r="E3" s="30">
        <f>PLANTILLA!M4</f>
        <v>43190</v>
      </c>
      <c r="F3" s="47">
        <f>PLANTILLA!Q4</f>
        <v>7</v>
      </c>
      <c r="G3" s="48">
        <f t="shared" ref="G3:G4" si="0">(F3/7)^0.5</f>
        <v>1</v>
      </c>
      <c r="H3" s="48">
        <f t="shared" ref="H3:H4" si="1">IF(F3=7,1,((F3+0.99)/7)^0.5)</f>
        <v>1</v>
      </c>
      <c r="I3" s="51">
        <f t="shared" ref="I3:I4" ca="1" si="2">IF(TODAY()-E3&gt;335,1,((TODAY()-E3)^0.5)/336^0.5)</f>
        <v>0.62678317052800869</v>
      </c>
      <c r="J3" s="39">
        <f>PLANTILLA!I4</f>
        <v>0.7</v>
      </c>
      <c r="K3" s="46">
        <f>PLANTILLA!X4</f>
        <v>6</v>
      </c>
      <c r="L3" s="46">
        <f>PLANTILLA!Y4</f>
        <v>3</v>
      </c>
      <c r="M3" s="46">
        <f>PLANTILLA!Z4</f>
        <v>0</v>
      </c>
      <c r="N3" s="46">
        <f>PLANTILLA!AA4</f>
        <v>1</v>
      </c>
      <c r="O3" s="46">
        <f>PLANTILLA!AB4</f>
        <v>0</v>
      </c>
      <c r="P3" s="46">
        <f>PLANTILLA!AC4</f>
        <v>1</v>
      </c>
      <c r="Q3" s="46">
        <f>PLANTILLA!AD4</f>
        <v>1</v>
      </c>
      <c r="R3" s="46">
        <f t="shared" ref="R3:R4" si="3">((2*(O3+1))+(L3+1))/8</f>
        <v>0.75</v>
      </c>
      <c r="S3" s="46">
        <f t="shared" ref="S3:S4" si="4">(0.5*P3+ 0.3*Q3)/10</f>
        <v>0.08</v>
      </c>
      <c r="T3" s="46">
        <f t="shared" ref="T3:T4" si="5">(0.4*L3+0.3*Q3)/10</f>
        <v>0.15000000000000002</v>
      </c>
      <c r="U3" s="46">
        <f t="shared" ref="U3:U4" ca="1" si="6">(Q3+I3+(LOG(J3)*4/3))*(F3/7)^0.5</f>
        <v>1.4202472238803512</v>
      </c>
      <c r="V3" s="46">
        <f t="shared" ref="V3:V4" ca="1" si="7">IF(F3=7,U3,(Q3+I3+(LOG(J3)*4/3))*((F3+0.99)/7)^0.5)</f>
        <v>1.4202472238803512</v>
      </c>
      <c r="W3" s="37">
        <f t="shared" ref="W3:W4" ca="1" si="8">((K3+I3+(LOG(J3)*4/3))*0.597)+((L3+I3+(LOG(J3)*4/3))*0.276)</f>
        <v>4.7768758264475464</v>
      </c>
      <c r="X3" s="37">
        <f t="shared" ref="X3:X4" ca="1" si="9">((K3+I3+(LOG(J3)*4/3))*0.866)+((L3+I3+(LOG(J3)*4/3))*0.425)</f>
        <v>7.0135391660295339</v>
      </c>
      <c r="Y3" s="37">
        <f t="shared" ref="Y3:Y4" ca="1" si="10">W3</f>
        <v>4.7768758264475464</v>
      </c>
      <c r="Z3" s="37">
        <f ca="1">((L3+I3+(LOG(J3)*4/3))*0.516)</f>
        <v>1.7648475675222612</v>
      </c>
      <c r="AA3" s="37">
        <f ca="1">((L3+I3+(LOG(J3)*4/3))*1)</f>
        <v>3.420247223880351</v>
      </c>
      <c r="AB3" s="37">
        <f t="shared" ref="AB3:AB4" ca="1" si="11">Z3/2</f>
        <v>0.88242378376113062</v>
      </c>
      <c r="AC3" s="37">
        <f ca="1">((M3+I3+(LOG(J3)*4/3))*0.238)</f>
        <v>0.10001883928352355</v>
      </c>
      <c r="AD3" s="37">
        <f ca="1">((L3+I3+(LOG(J3)*4/3))*0.378)</f>
        <v>1.2928534506267726</v>
      </c>
      <c r="AE3" s="37">
        <f ca="1">((L3+I3+(LOG(J3)*4/3))*0.723)</f>
        <v>2.4728387428654939</v>
      </c>
      <c r="AF3" s="37">
        <f t="shared" ref="AF3:AF4" ca="1" si="12">AD3/2</f>
        <v>0.6464267253133863</v>
      </c>
      <c r="AG3" s="37">
        <f ca="1">((M3+I3+(LOG(J3)*4/3))*0.385)</f>
        <v>0.16179518119393516</v>
      </c>
      <c r="AH3" s="37">
        <f ca="1">((L3+I3+(LOG(J3)*4/3))*0.92)</f>
        <v>3.1466274459699228</v>
      </c>
      <c r="AI3" s="37">
        <f ca="1">((L3+I3+(LOG(J3)*4/3))*0.414)</f>
        <v>1.4159823506864653</v>
      </c>
      <c r="AJ3" s="37">
        <f ca="1">((M3+I3+(LOG(J3)*4/3))*0.167)</f>
        <v>7.0181286388018627E-2</v>
      </c>
      <c r="AK3" s="37">
        <f ca="1">((N3+I3+(LOG(J3)*4/3))*0.588)</f>
        <v>0.83510536764164645</v>
      </c>
      <c r="AL3" s="37">
        <f ca="1">((L3+I3+(LOG(J3)*4/3))*0.754)</f>
        <v>2.5788664068057847</v>
      </c>
      <c r="AM3" s="37">
        <f ca="1">((L3+I3+(LOG(J3)*4/3))*0.708)</f>
        <v>2.4215350345072886</v>
      </c>
      <c r="AN3" s="37">
        <f ca="1">((Q3+I3+(LOG(J3)*4/3))*0.167)</f>
        <v>0.23718128638801866</v>
      </c>
      <c r="AO3" s="37">
        <f ca="1">((R3+I3+(LOG(J3)*4/3))*0.288)</f>
        <v>0.33703120047754109</v>
      </c>
      <c r="AP3" s="37">
        <f ca="1">((L3+I3+(LOG(J3)*4/3))*0.27)</f>
        <v>0.92346675044769477</v>
      </c>
      <c r="AQ3" s="37">
        <f ca="1">((L3+I3+(LOG(J3)*4/3))*0.594)</f>
        <v>2.0316268509849285</v>
      </c>
      <c r="AR3" s="37">
        <f t="shared" ref="AR3:AR4" ca="1" si="13">AP3/2</f>
        <v>0.46173337522384739</v>
      </c>
      <c r="AS3" s="37">
        <f ca="1">((M3+I3+(LOG(J3)*4/3))*0.944)</f>
        <v>0.3967133793430514</v>
      </c>
      <c r="AT3" s="37">
        <f ca="1">((O3+I3+(LOG(J3)*4/3))*0.13)</f>
        <v>5.4632139104445643E-2</v>
      </c>
      <c r="AU3" s="37">
        <f ca="1">((P3+I3+(LOG(J3)*4/3))*0.173)+((O3+I3+(LOG(J3)*4/3))*0.12)</f>
        <v>0.29613243659694288</v>
      </c>
      <c r="AV3" s="37">
        <f t="shared" ref="AV3:AV4" ca="1" si="14">AT3/2</f>
        <v>2.7316069552222821E-2</v>
      </c>
      <c r="AW3" s="37">
        <f ca="1">((L3+I3+(LOG(J3)*4/3))*0.189)</f>
        <v>0.6464267253133863</v>
      </c>
      <c r="AX3" s="37">
        <f ca="1">((L3+I3+(LOG(J3)*4/3))*0.4)</f>
        <v>1.3680988895521404</v>
      </c>
      <c r="AY3" s="37">
        <f t="shared" ref="AY3:AY4" ca="1" si="15">AW3/2</f>
        <v>0.32321336265669315</v>
      </c>
      <c r="AZ3" s="37">
        <f ca="1">((M3+I3+(LOG(J3)*4/3))*1)</f>
        <v>0.42024722388035107</v>
      </c>
      <c r="BA3" s="37">
        <f ca="1">((O3+I3+(LOG(J3)*4/3))*0.253)</f>
        <v>0.10632254764172883</v>
      </c>
      <c r="BB3" s="37">
        <f ca="1">((P3+I3+(LOG(J3)*4/3))*0.21)+((O3+I3+(LOG(J3)*4/3))*0.341)</f>
        <v>0.44155622035807346</v>
      </c>
      <c r="BC3" s="37">
        <f t="shared" ref="BC3:BC4" ca="1" si="16">BA3/2</f>
        <v>5.3161273820864413E-2</v>
      </c>
      <c r="BD3" s="37">
        <f ca="1">((L3+I3+(LOG(J3)*4/3))*0.291)</f>
        <v>0.99529194214918204</v>
      </c>
      <c r="BE3" s="37">
        <f ca="1">((L3+I3+(LOG(J3)*4/3))*0.348)</f>
        <v>1.190246033910362</v>
      </c>
      <c r="BF3" s="37">
        <f ca="1">((M3+I3+(LOG(J3)*4/3))*0.881)</f>
        <v>0.37023780423858932</v>
      </c>
      <c r="BG3" s="37">
        <f ca="1">((N3+I3+(LOG(J3)*4/3))*0.574)+((O3+I3+(LOG(J3)*4/3))*0.315)</f>
        <v>0.94759978202963213</v>
      </c>
      <c r="BH3" s="37">
        <f ca="1">((O3+I3+(LOG(J3)*4/3))*0.241)</f>
        <v>0.10127958095516461</v>
      </c>
      <c r="BI3" s="37">
        <f ca="1">((L3+I3+(LOG(J3)*4/3))*0.485)</f>
        <v>1.6588199035819702</v>
      </c>
      <c r="BJ3" s="37">
        <f ca="1">((L3+I3+(LOG(J3)*4/3))*0.264)</f>
        <v>0.9029452671044127</v>
      </c>
      <c r="BK3" s="37">
        <f ca="1">((M3+I3+(LOG(J3)*4/3))*0.381)</f>
        <v>0.16011419229841375</v>
      </c>
      <c r="BL3" s="37">
        <f ca="1">((N3+I3+(LOG(J3)*4/3))*0.673)+((O3+I3+(LOG(J3)*4/3))*0.201)</f>
        <v>1.0402960736714268</v>
      </c>
      <c r="BM3" s="37">
        <f ca="1">((O3+I3+(LOG(J3)*4/3))*0.052)</f>
        <v>2.1852855641778256E-2</v>
      </c>
      <c r="BN3" s="37">
        <f ca="1">((L3+I3+(LOG(J3)*4/3))*0.18)</f>
        <v>0.61564450029846318</v>
      </c>
      <c r="BO3" s="37">
        <f ca="1">((L3+I3+(LOG(J3)*4/3))*0.068)</f>
        <v>0.23257681122386389</v>
      </c>
      <c r="BP3" s="37">
        <f ca="1">((M3+I3+(LOG(J3)*4/3))*0.305)</f>
        <v>0.12817540328350707</v>
      </c>
      <c r="BQ3" s="37">
        <f ca="1">((N3+I3+(LOG(J3)*4/3))*1)+((O3+I3+(LOG(J3)*4/3))*0.286)</f>
        <v>1.5404379299101316</v>
      </c>
      <c r="BR3" s="37">
        <f ca="1">((O3+I3+(LOG(J3)*4/3))*0.135)</f>
        <v>5.6733375223847402E-2</v>
      </c>
      <c r="BS3" s="37">
        <f ca="1">((L3+I3+(LOG(J3)*4/3))*0.284)</f>
        <v>0.97135021158201962</v>
      </c>
      <c r="BT3" s="37">
        <f ca="1">((L3+I3+(LOG(J3)*4/3))*0.244)</f>
        <v>0.83454032262680566</v>
      </c>
      <c r="BU3" s="37">
        <f ca="1">((M3+I3+(LOG(J3)*4/3))*0.631)</f>
        <v>0.26517599826850152</v>
      </c>
      <c r="BV3" s="37">
        <f ca="1">((N3+I3+(LOG(J3)*4/3))*0.702)+((O3+I3+(LOG(J3)*4/3))*0.193)</f>
        <v>1.0781212653729142</v>
      </c>
      <c r="BW3" s="37">
        <f ca="1">((O3+I3+(LOG(J3)*4/3))*0.148)</f>
        <v>6.2196589134291956E-2</v>
      </c>
      <c r="BX3" s="37">
        <f ca="1">((M3+I3+(LOG(J3)*4/3))*0.406)</f>
        <v>0.17062037289542253</v>
      </c>
      <c r="BY3" s="37">
        <f ca="1">IF(D3="TEC",((N3+I3+(LOG(J3)*4/3))*0.15)+((O3+I3+(LOG(J3)*4/3))*0.324)+((P3+I3+(LOG(J3)*4/3))*0.127),((N3+I3+(LOG(J3)*4/3))*0.144)+((O3+I3+(LOG(J3)*4/3))*0.25)+((P3+I3+(LOG(J3)*4/3))*0.127))</f>
        <v>0.48994880364166293</v>
      </c>
      <c r="BZ3" s="37">
        <f ca="1">IF(D3="TEC",((O3+I3+(LOG(J3)*4/3))*0.543)+((P3+I3+(LOG(J3)*4/3))*0.583),((O3+I3+(LOG(J3)*4/3))*0.543)+((P3+I3+(LOG(J3)*4/3))*0.583))</f>
        <v>1.0561983740892753</v>
      </c>
      <c r="CA3" s="37">
        <f t="shared" ref="CA3:CA4" ca="1" si="17">BY3</f>
        <v>0.48994880364166293</v>
      </c>
      <c r="CB3" s="37">
        <f ca="1">((P3+I3+(LOG(J3)*4/3))*0.26)+((N3+I3+(LOG(J3)*4/3))*0.221)+((O3+I3+(LOG(J3)*4/3))*0.142)</f>
        <v>0.7428140204774587</v>
      </c>
      <c r="CC3" s="37">
        <f ca="1">((P3+I3+(LOG(J3)*4/3))*1)+((O3+I3+(LOG(J3)*4/3))*0.369)</f>
        <v>1.5753184494922008</v>
      </c>
      <c r="CD3" s="37">
        <f t="shared" ref="CD3:CD4" ca="1" si="18">CB3</f>
        <v>0.7428140204774587</v>
      </c>
      <c r="CE3" s="37">
        <f ca="1">((M3+I3+(LOG(J3)*4/3))*0.25)</f>
        <v>0.10506180597008777</v>
      </c>
    </row>
    <row r="4" spans="1:83" x14ac:dyDescent="0.25">
      <c r="A4" t="str">
        <f>PLANTILLA!D5</f>
        <v>Pablo Goenaga</v>
      </c>
      <c r="B4">
        <f>PLANTILLA!E5</f>
        <v>19</v>
      </c>
      <c r="C4" s="33">
        <f ca="1">PLANTILLA!F5</f>
        <v>87</v>
      </c>
      <c r="D4" s="229"/>
      <c r="E4" s="30">
        <f>PLANTILLA!M5</f>
        <v>43242</v>
      </c>
      <c r="F4" s="47">
        <f>PLANTILLA!Q5</f>
        <v>7</v>
      </c>
      <c r="G4" s="48">
        <f t="shared" si="0"/>
        <v>1</v>
      </c>
      <c r="H4" s="48">
        <f t="shared" si="1"/>
        <v>1</v>
      </c>
      <c r="I4" s="51">
        <f t="shared" ca="1" si="2"/>
        <v>0.48795003647426666</v>
      </c>
      <c r="J4" s="39">
        <f>PLANTILLA!I5</f>
        <v>1</v>
      </c>
      <c r="K4" s="46">
        <f>PLANTILLA!X5</f>
        <v>4</v>
      </c>
      <c r="L4" s="46">
        <f>PLANTILLA!Y5</f>
        <v>3</v>
      </c>
      <c r="M4" s="46">
        <f>PLANTILLA!Z5</f>
        <v>0</v>
      </c>
      <c r="N4" s="46">
        <f>PLANTILLA!AA5</f>
        <v>1</v>
      </c>
      <c r="O4" s="46">
        <f>PLANTILLA!AB5</f>
        <v>1</v>
      </c>
      <c r="P4" s="46">
        <f>PLANTILLA!AC5</f>
        <v>1</v>
      </c>
      <c r="Q4" s="46">
        <f>PLANTILLA!AD5</f>
        <v>4</v>
      </c>
      <c r="R4" s="46">
        <f t="shared" si="3"/>
        <v>1</v>
      </c>
      <c r="S4" s="46">
        <f t="shared" si="4"/>
        <v>0.16999999999999998</v>
      </c>
      <c r="T4" s="46">
        <f t="shared" si="5"/>
        <v>0.24000000000000005</v>
      </c>
      <c r="U4" s="46">
        <f t="shared" ca="1" si="6"/>
        <v>4.4879500364742668</v>
      </c>
      <c r="V4" s="46">
        <f t="shared" ca="1" si="7"/>
        <v>4.4879500364742668</v>
      </c>
      <c r="W4" s="37">
        <f t="shared" ca="1" si="8"/>
        <v>3.6419803818420347</v>
      </c>
      <c r="X4" s="37">
        <f t="shared" ca="1" si="9"/>
        <v>5.3689434970882788</v>
      </c>
      <c r="Y4" s="37">
        <f t="shared" ca="1" si="10"/>
        <v>3.6419803818420347</v>
      </c>
      <c r="Z4" s="37">
        <f t="shared" ref="Z4:Z21" ca="1" si="19">((L4+I4+(LOG(J4)*4/3))*0.516)</f>
        <v>1.7997822188207218</v>
      </c>
      <c r="AA4" s="37">
        <f t="shared" ref="AA4:AA21" ca="1" si="20">((L4+I4+(LOG(J4)*4/3))*1)</f>
        <v>3.4879500364742668</v>
      </c>
      <c r="AB4" s="37">
        <f t="shared" ca="1" si="11"/>
        <v>0.89989110941036088</v>
      </c>
      <c r="AC4" s="37">
        <f t="shared" ref="AC4:AC21" ca="1" si="21">((M4+I4+(LOG(J4)*4/3))*0.238)</f>
        <v>0.11613210868087546</v>
      </c>
      <c r="AD4" s="37">
        <f t="shared" ref="AD4:AD21" ca="1" si="22">((L4+I4+(LOG(J4)*4/3))*0.378)</f>
        <v>1.3184451137872728</v>
      </c>
      <c r="AE4" s="37">
        <f t="shared" ref="AE4:AE21" ca="1" si="23">((L4+I4+(LOG(J4)*4/3))*0.723)</f>
        <v>2.5217878763708947</v>
      </c>
      <c r="AF4" s="37">
        <f t="shared" ca="1" si="12"/>
        <v>0.6592225568936364</v>
      </c>
      <c r="AG4" s="37">
        <f t="shared" ref="AG4:AG21" ca="1" si="24">((M4+I4+(LOG(J4)*4/3))*0.385)</f>
        <v>0.18786076404259267</v>
      </c>
      <c r="AH4" s="37">
        <f t="shared" ref="AH4:AH21" ca="1" si="25">((L4+I4+(LOG(J4)*4/3))*0.92)</f>
        <v>3.2089140335563258</v>
      </c>
      <c r="AI4" s="37">
        <f t="shared" ref="AI4:AI21" ca="1" si="26">((L4+I4+(LOG(J4)*4/3))*0.414)</f>
        <v>1.4440113151003464</v>
      </c>
      <c r="AJ4" s="37">
        <f t="shared" ref="AJ4:AJ21" ca="1" si="27">((M4+I4+(LOG(J4)*4/3))*0.167)</f>
        <v>8.1487656091202537E-2</v>
      </c>
      <c r="AK4" s="37">
        <f t="shared" ref="AK4:AK21" ca="1" si="28">((N4+I4+(LOG(J4)*4/3))*0.588)</f>
        <v>0.87491462144686871</v>
      </c>
      <c r="AL4" s="37">
        <f t="shared" ref="AL4:AL21" ca="1" si="29">((L4+I4+(LOG(J4)*4/3))*0.754)</f>
        <v>2.6299143275015973</v>
      </c>
      <c r="AM4" s="37">
        <f t="shared" ref="AM4:AM21" ca="1" si="30">((L4+I4+(LOG(J4)*4/3))*0.708)</f>
        <v>2.4694686258237808</v>
      </c>
      <c r="AN4" s="37">
        <f t="shared" ref="AN4:AN21" ca="1" si="31">((Q4+I4+(LOG(J4)*4/3))*0.167)</f>
        <v>0.7494876560912026</v>
      </c>
      <c r="AO4" s="37">
        <f t="shared" ref="AO4:AO21" ca="1" si="32">((R4+I4+(LOG(J4)*4/3))*0.288)</f>
        <v>0.42852961050458876</v>
      </c>
      <c r="AP4" s="37">
        <f t="shared" ref="AP4:AP21" ca="1" si="33">((L4+I4+(LOG(J4)*4/3))*0.27)</f>
        <v>0.94174650984805208</v>
      </c>
      <c r="AQ4" s="37">
        <f t="shared" ref="AQ4:AQ21" ca="1" si="34">((L4+I4+(LOG(J4)*4/3))*0.594)</f>
        <v>2.0718423216657142</v>
      </c>
      <c r="AR4" s="37">
        <f t="shared" ca="1" si="13"/>
        <v>0.47087325492402604</v>
      </c>
      <c r="AS4" s="37">
        <f t="shared" ref="AS4:AS21" ca="1" si="35">((M4+I4+(LOG(J4)*4/3))*0.944)</f>
        <v>0.46062483443170771</v>
      </c>
      <c r="AT4" s="37">
        <f t="shared" ref="AT4:AT21" ca="1" si="36">((O4+I4+(LOG(J4)*4/3))*0.13)</f>
        <v>0.19343350474165466</v>
      </c>
      <c r="AU4" s="37">
        <f t="shared" ref="AU4:AU21" ca="1" si="37">((P4+I4+(LOG(J4)*4/3))*0.173)+((O4+I4+(LOG(J4)*4/3))*0.12)</f>
        <v>0.43596936068696007</v>
      </c>
      <c r="AV4" s="37">
        <f t="shared" ca="1" si="14"/>
        <v>9.671675237082733E-2</v>
      </c>
      <c r="AW4" s="37">
        <f t="shared" ref="AW4:AW21" ca="1" si="38">((L4+I4+(LOG(J4)*4/3))*0.189)</f>
        <v>0.6592225568936364</v>
      </c>
      <c r="AX4" s="37">
        <f t="shared" ref="AX4:AX21" ca="1" si="39">((L4+I4+(LOG(J4)*4/3))*0.4)</f>
        <v>1.3951800145897069</v>
      </c>
      <c r="AY4" s="37">
        <f t="shared" ca="1" si="15"/>
        <v>0.3296112784468182</v>
      </c>
      <c r="AZ4" s="37">
        <f t="shared" ref="AZ4:AZ21" ca="1" si="40">((M4+I4+(LOG(J4)*4/3))*1)</f>
        <v>0.48795003647426666</v>
      </c>
      <c r="BA4" s="37">
        <f t="shared" ref="BA4:BA21" ca="1" si="41">((O4+I4+(LOG(J4)*4/3))*0.253)</f>
        <v>0.37645135922798945</v>
      </c>
      <c r="BB4" s="37">
        <f t="shared" ref="BB4:BB21" ca="1" si="42">((P4+I4+(LOG(J4)*4/3))*0.21)+((O4+I4+(LOG(J4)*4/3))*0.341)</f>
        <v>0.81986047009732088</v>
      </c>
      <c r="BC4" s="37">
        <f t="shared" ca="1" si="16"/>
        <v>0.18822567961399472</v>
      </c>
      <c r="BD4" s="37">
        <f t="shared" ref="BD4:BD21" ca="1" si="43">((L4+I4+(LOG(J4)*4/3))*0.291)</f>
        <v>1.0149934606140116</v>
      </c>
      <c r="BE4" s="37">
        <f t="shared" ref="BE4:BE21" ca="1" si="44">((L4+I4+(LOG(J4)*4/3))*0.348)</f>
        <v>1.2138066126930447</v>
      </c>
      <c r="BF4" s="37">
        <f t="shared" ref="BF4:BF21" ca="1" si="45">((M4+I4+(LOG(J4)*4/3))*0.881)</f>
        <v>0.42988398213382895</v>
      </c>
      <c r="BG4" s="37">
        <f t="shared" ref="BG4:BG21" ca="1" si="46">((N4+I4+(LOG(J4)*4/3))*0.574)+((O4+I4+(LOG(J4)*4/3))*0.315)</f>
        <v>1.322787582425623</v>
      </c>
      <c r="BH4" s="37">
        <f t="shared" ref="BH4:BH21" ca="1" si="47">((O4+I4+(LOG(J4)*4/3))*0.241)</f>
        <v>0.35859595879029826</v>
      </c>
      <c r="BI4" s="37">
        <f t="shared" ref="BI4:BI21" ca="1" si="48">((L4+I4+(LOG(J4)*4/3))*0.485)</f>
        <v>1.6916557676900195</v>
      </c>
      <c r="BJ4" s="37">
        <f t="shared" ref="BJ4:BJ21" ca="1" si="49">((L4+I4+(LOG(J4)*4/3))*0.264)</f>
        <v>0.92081880962920648</v>
      </c>
      <c r="BK4" s="37">
        <f t="shared" ref="BK4:BK21" ca="1" si="50">((M4+I4+(LOG(J4)*4/3))*0.381)</f>
        <v>0.18590896389669559</v>
      </c>
      <c r="BL4" s="37">
        <f t="shared" ref="BL4:BL21" ca="1" si="51">((N4+I4+(LOG(J4)*4/3))*0.673)+((O4+I4+(LOG(J4)*4/3))*0.201)</f>
        <v>1.3004683318785091</v>
      </c>
      <c r="BM4" s="37">
        <f t="shared" ref="BM4:BM21" ca="1" si="52">((O4+I4+(LOG(J4)*4/3))*0.052)</f>
        <v>7.7373401896661864E-2</v>
      </c>
      <c r="BN4" s="37">
        <f t="shared" ref="BN4:BN21" ca="1" si="53">((L4+I4+(LOG(J4)*4/3))*0.18)</f>
        <v>0.62783100656536805</v>
      </c>
      <c r="BO4" s="37">
        <f t="shared" ref="BO4:BO21" ca="1" si="54">((L4+I4+(LOG(J4)*4/3))*0.068)</f>
        <v>0.23718060248025016</v>
      </c>
      <c r="BP4" s="37">
        <f t="shared" ref="BP4:BP21" ca="1" si="55">((M4+I4+(LOG(J4)*4/3))*0.305)</f>
        <v>0.14882476112465132</v>
      </c>
      <c r="BQ4" s="37">
        <f t="shared" ref="BQ4:BQ21" ca="1" si="56">((N4+I4+(LOG(J4)*4/3))*1)+((O4+I4+(LOG(J4)*4/3))*0.286)</f>
        <v>1.9135037469059069</v>
      </c>
      <c r="BR4" s="37">
        <f t="shared" ref="BR4:BR21" ca="1" si="57">((O4+I4+(LOG(J4)*4/3))*0.135)</f>
        <v>0.200873254924026</v>
      </c>
      <c r="BS4" s="37">
        <f t="shared" ref="BS4:BS21" ca="1" si="58">((L4+I4+(LOG(J4)*4/3))*0.284)</f>
        <v>0.99057781035869163</v>
      </c>
      <c r="BT4" s="37">
        <f t="shared" ref="BT4:BT21" ca="1" si="59">((L4+I4+(LOG(J4)*4/3))*0.244)</f>
        <v>0.8510598088997211</v>
      </c>
      <c r="BU4" s="37">
        <f t="shared" ref="BU4:BU21" ca="1" si="60">((M4+I4+(LOG(J4)*4/3))*0.631)</f>
        <v>0.30789647301526224</v>
      </c>
      <c r="BV4" s="37">
        <f t="shared" ref="BV4:BV21" ca="1" si="61">((N4+I4+(LOG(J4)*4/3))*0.702)+((O4+I4+(LOG(J4)*4/3))*0.193)</f>
        <v>1.3317152826444687</v>
      </c>
      <c r="BW4" s="37">
        <f t="shared" ref="BW4:BW21" ca="1" si="62">((O4+I4+(LOG(J4)*4/3))*0.148)</f>
        <v>0.22021660539819143</v>
      </c>
      <c r="BX4" s="37">
        <f t="shared" ref="BX4:BX21" ca="1" si="63">((M4+I4+(LOG(J4)*4/3))*0.406)</f>
        <v>0.19810771480855227</v>
      </c>
      <c r="BY4" s="37">
        <f t="shared" ref="BY4:BY21" ca="1" si="64">IF(D4="TEC",((N4+I4+(LOG(J4)*4/3))*0.15)+((O4+I4+(LOG(J4)*4/3))*0.324)+((P4+I4+(LOG(J4)*4/3))*0.127),((N4+I4+(LOG(J4)*4/3))*0.144)+((O4+I4+(LOG(J4)*4/3))*0.25)+((P4+I4+(LOG(J4)*4/3))*0.127))</f>
        <v>0.77522196900309281</v>
      </c>
      <c r="BZ4" s="37">
        <f t="shared" ref="BZ4:BZ21" ca="1" si="65">IF(D4="TEC",((O4+I4+(LOG(J4)*4/3))*0.543)+((P4+I4+(LOG(J4)*4/3))*0.583),((O4+I4+(LOG(J4)*4/3))*0.543)+((P4+I4+(LOG(J4)*4/3))*0.583))</f>
        <v>1.6754317410700241</v>
      </c>
      <c r="CA4" s="37">
        <f t="shared" ca="1" si="17"/>
        <v>0.77522196900309281</v>
      </c>
      <c r="CB4" s="37">
        <f t="shared" ref="CB4:CB21" ca="1" si="66">((P4+I4+(LOG(J4)*4/3))*0.26)+((N4+I4+(LOG(J4)*4/3))*0.221)+((O4+I4+(LOG(J4)*4/3))*0.142)</f>
        <v>0.92699287272346809</v>
      </c>
      <c r="CC4" s="37">
        <f t="shared" ref="CC4:CC21" ca="1" si="67">((P4+I4+(LOG(J4)*4/3))*1)+((O4+I4+(LOG(J4)*4/3))*0.369)</f>
        <v>2.037003599933271</v>
      </c>
      <c r="CD4" s="37">
        <f t="shared" ca="1" si="18"/>
        <v>0.92699287272346809</v>
      </c>
      <c r="CE4" s="37">
        <f t="shared" ref="CE4:CE21" ca="1" si="68">((M4+I4+(LOG(J4)*4/3))*0.25)</f>
        <v>0.12198750911856666</v>
      </c>
    </row>
    <row r="5" spans="1:83" x14ac:dyDescent="0.25">
      <c r="A5" t="str">
        <f>PLANTILLA!D6</f>
        <v>Alberto Ercilla</v>
      </c>
      <c r="B5">
        <f>PLANTILLA!E6</f>
        <v>24</v>
      </c>
      <c r="C5" s="33">
        <f ca="1">PLANTILLA!F6</f>
        <v>5</v>
      </c>
      <c r="D5" s="219" t="str">
        <f>PLANTILLA!G6</f>
        <v>IMP</v>
      </c>
      <c r="E5" s="30">
        <f>PLANTILLA!M6</f>
        <v>43097</v>
      </c>
      <c r="F5" s="47">
        <f>PLANTILLA!Q6</f>
        <v>7</v>
      </c>
      <c r="G5" s="48">
        <f>(F5/7)^0.5</f>
        <v>1</v>
      </c>
      <c r="H5" s="48">
        <f>IF(F5=7,1,((F5+0.99)/7)^0.5)</f>
        <v>1</v>
      </c>
      <c r="I5" s="51">
        <f ca="1">IF(TODAY()-E5&gt;335,1,((TODAY()-E5)^0.5)/336^0.5)</f>
        <v>0.81831708838497141</v>
      </c>
      <c r="J5" s="39">
        <f>PLANTILLA!I6</f>
        <v>3.2</v>
      </c>
      <c r="K5" s="46">
        <f>PLANTILLA!X6</f>
        <v>0</v>
      </c>
      <c r="L5" s="46">
        <f>PLANTILLA!Y6</f>
        <v>7</v>
      </c>
      <c r="M5" s="46">
        <f>PLANTILLA!Z6</f>
        <v>2</v>
      </c>
      <c r="N5" s="46">
        <f>PLANTILLA!AA6</f>
        <v>6</v>
      </c>
      <c r="O5" s="46">
        <f>PLANTILLA!AB6</f>
        <v>7.0305555555555559</v>
      </c>
      <c r="P5" s="46">
        <f>PLANTILLA!AC6</f>
        <v>5.5714285714285694</v>
      </c>
      <c r="Q5" s="46">
        <f>PLANTILLA!AD6</f>
        <v>4</v>
      </c>
      <c r="R5" s="46">
        <f t="shared" ref="R5" si="69">((2*(O5+1))+(L5+1))/8</f>
        <v>3.0076388888888888</v>
      </c>
      <c r="S5" s="46">
        <f t="shared" ref="S5" si="70">(0.5*P5+ 0.3*Q5)/10</f>
        <v>0.39857142857142847</v>
      </c>
      <c r="T5" s="46">
        <f t="shared" ref="T5" si="71">(0.4*L5+0.3*Q5)/10</f>
        <v>0.4</v>
      </c>
      <c r="U5" s="46">
        <f ca="1">(Q5+I5+(LOG(J5)*4/3))*(F5/7)^0.5</f>
        <v>5.4918503928115134</v>
      </c>
      <c r="V5" s="46">
        <f ca="1">IF(F5=7,U5,(Q5+I5+(LOG(J5)*4/3))*((F5+0.99)/7)^0.5)</f>
        <v>5.4918503928115134</v>
      </c>
      <c r="W5" s="37">
        <f ca="1">((K5+I5+(LOG(J5)*4/3))*0.597)+((L5+I5+(LOG(J5)*4/3))*0.276)</f>
        <v>3.2343853929244508</v>
      </c>
      <c r="X5" s="37">
        <f ca="1">((K5+I5+(LOG(J5)*4/3))*0.866)+((L5+I5+(LOG(J5)*4/3))*0.425)</f>
        <v>4.9009788571196626</v>
      </c>
      <c r="Y5" s="37">
        <f t="shared" ref="Y5" ca="1" si="72">W5</f>
        <v>3.2343853929244508</v>
      </c>
      <c r="Z5" s="37">
        <f t="shared" ca="1" si="19"/>
        <v>4.3817948026907407</v>
      </c>
      <c r="AA5" s="37">
        <f t="shared" ca="1" si="20"/>
        <v>8.4918503928115125</v>
      </c>
      <c r="AB5" s="37">
        <f t="shared" ref="AB5" ca="1" si="73">Z5/2</f>
        <v>2.1908974013453704</v>
      </c>
      <c r="AC5" s="37">
        <f t="shared" ca="1" si="21"/>
        <v>0.83106039348913996</v>
      </c>
      <c r="AD5" s="37">
        <f t="shared" ca="1" si="22"/>
        <v>3.2099194484827516</v>
      </c>
      <c r="AE5" s="37">
        <f t="shared" ca="1" si="23"/>
        <v>6.1396078340027236</v>
      </c>
      <c r="AF5" s="37">
        <f t="shared" ref="AF5" ca="1" si="74">AD5/2</f>
        <v>1.6049597242413758</v>
      </c>
      <c r="AG5" s="37">
        <f t="shared" ca="1" si="24"/>
        <v>1.3443624012324324</v>
      </c>
      <c r="AH5" s="37">
        <f t="shared" ca="1" si="25"/>
        <v>7.812502361386592</v>
      </c>
      <c r="AI5" s="37">
        <f t="shared" ca="1" si="26"/>
        <v>3.5156260626239662</v>
      </c>
      <c r="AJ5" s="37">
        <f t="shared" ca="1" si="27"/>
        <v>0.58313901559952264</v>
      </c>
      <c r="AK5" s="37">
        <f t="shared" ca="1" si="28"/>
        <v>4.4052080309731698</v>
      </c>
      <c r="AL5" s="37">
        <f t="shared" ca="1" si="29"/>
        <v>6.4028551961798801</v>
      </c>
      <c r="AM5" s="37">
        <f t="shared" ca="1" si="30"/>
        <v>6.0122300781105507</v>
      </c>
      <c r="AN5" s="37">
        <f t="shared" ca="1" si="31"/>
        <v>0.91713901559952282</v>
      </c>
      <c r="AO5" s="37">
        <f t="shared" ca="1" si="32"/>
        <v>1.2958529131297154</v>
      </c>
      <c r="AP5" s="37">
        <f t="shared" ca="1" si="33"/>
        <v>2.2927996060591087</v>
      </c>
      <c r="AQ5" s="37">
        <f t="shared" ca="1" si="34"/>
        <v>5.0441591333300382</v>
      </c>
      <c r="AR5" s="37">
        <f t="shared" ref="AR5" ca="1" si="75">AP5/2</f>
        <v>1.1463998030295544</v>
      </c>
      <c r="AS5" s="37">
        <f t="shared" ca="1" si="35"/>
        <v>3.2963067708140676</v>
      </c>
      <c r="AT5" s="37">
        <f t="shared" ca="1" si="36"/>
        <v>1.107912773287719</v>
      </c>
      <c r="AU5" s="37">
        <f t="shared" ca="1" si="37"/>
        <v>2.2446359746175828</v>
      </c>
      <c r="AV5" s="37">
        <f t="shared" ref="AV5" ca="1" si="76">AT5/2</f>
        <v>0.55395638664385949</v>
      </c>
      <c r="AW5" s="37">
        <f t="shared" ca="1" si="38"/>
        <v>1.6049597242413758</v>
      </c>
      <c r="AX5" s="37">
        <f t="shared" ca="1" si="39"/>
        <v>3.3967401571246052</v>
      </c>
      <c r="AY5" s="37">
        <f t="shared" ref="AY5" ca="1" si="77">AW5/2</f>
        <v>0.80247986212068789</v>
      </c>
      <c r="AZ5" s="37">
        <f t="shared" ca="1" si="40"/>
        <v>3.4918503928115125</v>
      </c>
      <c r="BA5" s="37">
        <f t="shared" ca="1" si="41"/>
        <v>2.1561687049368685</v>
      </c>
      <c r="BB5" s="37">
        <f t="shared" ca="1" si="42"/>
        <v>4.3894290108835881</v>
      </c>
      <c r="BC5" s="37">
        <f t="shared" ref="BC5" ca="1" si="78">BA5/2</f>
        <v>1.0780843524684343</v>
      </c>
      <c r="BD5" s="37">
        <f t="shared" ca="1" si="43"/>
        <v>2.4711284643081499</v>
      </c>
      <c r="BE5" s="37">
        <f t="shared" ca="1" si="44"/>
        <v>2.9551639366984062</v>
      </c>
      <c r="BF5" s="37">
        <f t="shared" ca="1" si="45"/>
        <v>3.0763201960669426</v>
      </c>
      <c r="BG5" s="37">
        <f t="shared" ca="1" si="46"/>
        <v>6.9848799992094355</v>
      </c>
      <c r="BH5" s="37">
        <f t="shared" ca="1" si="47"/>
        <v>2.0538998335564638</v>
      </c>
      <c r="BI5" s="37">
        <f t="shared" ca="1" si="48"/>
        <v>4.1185474405135833</v>
      </c>
      <c r="BJ5" s="37">
        <f t="shared" ca="1" si="49"/>
        <v>2.2418485037022395</v>
      </c>
      <c r="BK5" s="37">
        <f t="shared" ca="1" si="50"/>
        <v>1.3303949996611864</v>
      </c>
      <c r="BL5" s="37">
        <f t="shared" ca="1" si="51"/>
        <v>6.7550189099839297</v>
      </c>
      <c r="BM5" s="37">
        <f t="shared" ca="1" si="52"/>
        <v>0.44316510931508757</v>
      </c>
      <c r="BN5" s="37">
        <f t="shared" ca="1" si="53"/>
        <v>1.5285330707060722</v>
      </c>
      <c r="BO5" s="37">
        <f t="shared" ca="1" si="54"/>
        <v>0.57744582671118294</v>
      </c>
      <c r="BP5" s="37">
        <f t="shared" ca="1" si="55"/>
        <v>1.0650143698075114</v>
      </c>
      <c r="BQ5" s="37">
        <f t="shared" ca="1" si="56"/>
        <v>9.929258494044495</v>
      </c>
      <c r="BR5" s="37">
        <f t="shared" ca="1" si="57"/>
        <v>1.1505248030295545</v>
      </c>
      <c r="BS5" s="37">
        <f t="shared" ca="1" si="58"/>
        <v>2.4116855115584692</v>
      </c>
      <c r="BT5" s="37">
        <f t="shared" ca="1" si="59"/>
        <v>2.072011495846009</v>
      </c>
      <c r="BU5" s="37">
        <f t="shared" ca="1" si="60"/>
        <v>2.2033575978640645</v>
      </c>
      <c r="BV5" s="37">
        <f t="shared" ca="1" si="61"/>
        <v>6.9041033237885268</v>
      </c>
      <c r="BW5" s="37">
        <f t="shared" ca="1" si="62"/>
        <v>1.2613160803583261</v>
      </c>
      <c r="BX5" s="37">
        <f t="shared" ca="1" si="63"/>
        <v>1.4176912594814741</v>
      </c>
      <c r="BY5" s="37">
        <f t="shared" ca="1" si="64"/>
        <v>4.1064643721151155</v>
      </c>
      <c r="BZ5" s="37">
        <f t="shared" ca="1" si="65"/>
        <v>8.7455580661152865</v>
      </c>
      <c r="CA5" s="37">
        <f t="shared" ref="CA5" ca="1" si="79">BY5</f>
        <v>4.1064643721151155</v>
      </c>
      <c r="CB5" s="37">
        <f t="shared" ca="1" si="66"/>
        <v>4.7023331121818899</v>
      </c>
      <c r="CC5" s="37">
        <f t="shared" ca="1" si="67"/>
        <v>10.208046759187532</v>
      </c>
      <c r="CD5" s="37">
        <f t="shared" ref="CD5" ca="1" si="80">CB5</f>
        <v>4.7023331121818899</v>
      </c>
      <c r="CE5" s="37">
        <f t="shared" ca="1" si="68"/>
        <v>0.87296259820287814</v>
      </c>
    </row>
    <row r="6" spans="1:83" x14ac:dyDescent="0.25">
      <c r="A6" t="str">
        <f>PLANTILLA!D7</f>
        <v>Manuel Parejo</v>
      </c>
      <c r="B6">
        <f>PLANTILLA!E7</f>
        <v>19</v>
      </c>
      <c r="C6" s="33">
        <f ca="1">PLANTILLA!F7</f>
        <v>6</v>
      </c>
      <c r="D6" s="229"/>
      <c r="E6" s="30">
        <f>PLANTILLA!M7</f>
        <v>43097</v>
      </c>
      <c r="F6" s="47">
        <f>PLANTILLA!Q7</f>
        <v>6</v>
      </c>
      <c r="G6" s="48">
        <f t="shared" ref="G6:G21" si="81">(F6/7)^0.5</f>
        <v>0.92582009977255142</v>
      </c>
      <c r="H6" s="48">
        <f t="shared" ref="H6:H21" si="82">IF(F6=7,1,((F6+0.99)/7)^0.5)</f>
        <v>0.99928545900129484</v>
      </c>
      <c r="I6" s="51">
        <f t="shared" ref="I6:I21" ca="1" si="83">IF(TODAY()-E6&gt;335,1,((TODAY()-E6)^0.5)/336^0.5)</f>
        <v>0.81831708838497141</v>
      </c>
      <c r="J6" s="39">
        <f>PLANTILLA!I7</f>
        <v>2.7</v>
      </c>
      <c r="K6" s="46">
        <f>PLANTILLA!X7</f>
        <v>0</v>
      </c>
      <c r="L6" s="46">
        <f>PLANTILLA!Y7</f>
        <v>5</v>
      </c>
      <c r="M6" s="46">
        <f>PLANTILLA!Z7</f>
        <v>6.7</v>
      </c>
      <c r="N6" s="46">
        <f>PLANTILLA!AA7</f>
        <v>7.9</v>
      </c>
      <c r="O6" s="46">
        <f>PLANTILLA!AB7</f>
        <v>3</v>
      </c>
      <c r="P6" s="46">
        <f>PLANTILLA!AC7</f>
        <v>3.792592592592595</v>
      </c>
      <c r="Q6" s="46">
        <f>PLANTILLA!AD7</f>
        <v>2</v>
      </c>
      <c r="R6" s="46">
        <f t="shared" ref="R6:R21" si="84">((2*(O6+1))+(L6+1))/8</f>
        <v>1.75</v>
      </c>
      <c r="S6" s="46">
        <f t="shared" ref="S6:S21" si="85">(0.5*P6+ 0.3*Q6)/10</f>
        <v>0.24962962962962973</v>
      </c>
      <c r="T6" s="46">
        <f t="shared" ref="T6:T21" si="86">(0.4*L6+0.3*Q6)/10</f>
        <v>0.26</v>
      </c>
      <c r="U6" s="46">
        <f t="shared" ref="U6:U21" ca="1" si="87">(Q6+I6+(LOG(J6)*4/3))*(F6/7)^0.5</f>
        <v>3.1417415988551767</v>
      </c>
      <c r="V6" s="46">
        <f t="shared" ref="V6:V21" ca="1" si="88">IF(F6=7,U6,(Q6+I6+(LOG(J6)*4/3))*((F6+0.99)/7)^0.5)</f>
        <v>3.3910440013634888</v>
      </c>
      <c r="W6" s="37">
        <f t="shared" ref="W6:W21" ca="1" si="89">((K6+I6+(LOG(J6)*4/3))*0.597)+((L6+I6+(LOG(J6)*4/3))*0.276)</f>
        <v>2.5964982396411416</v>
      </c>
      <c r="X6" s="37">
        <f t="shared" ref="X6:X21" ca="1" si="90">((K6+I6+(LOG(J6)*4/3))*0.866)+((L6+I6+(LOG(J6)*4/3))*0.425)</f>
        <v>3.9239681871440015</v>
      </c>
      <c r="Y6" s="37">
        <f t="shared" ref="Y6:Y21" ca="1" si="91">W6</f>
        <v>2.5964982396411416</v>
      </c>
      <c r="Z6" s="37">
        <f t="shared" ca="1" si="19"/>
        <v>3.2990298873480288</v>
      </c>
      <c r="AA6" s="37">
        <f t="shared" ca="1" si="20"/>
        <v>6.3934687739302882</v>
      </c>
      <c r="AB6" s="37">
        <f t="shared" ref="AB6:AB21" ca="1" si="92">Z6/2</f>
        <v>1.6495149436740144</v>
      </c>
      <c r="AC6" s="37">
        <f t="shared" ca="1" si="21"/>
        <v>1.9262455681954085</v>
      </c>
      <c r="AD6" s="37">
        <f t="shared" ca="1" si="22"/>
        <v>2.4167311965456491</v>
      </c>
      <c r="AE6" s="37">
        <f t="shared" ca="1" si="23"/>
        <v>4.6224779235515978</v>
      </c>
      <c r="AF6" s="37">
        <f t="shared" ref="AF6:AF21" ca="1" si="93">AD6/2</f>
        <v>1.2083655982728245</v>
      </c>
      <c r="AG6" s="37">
        <f t="shared" ca="1" si="24"/>
        <v>3.1159854779631613</v>
      </c>
      <c r="AH6" s="37">
        <f t="shared" ca="1" si="25"/>
        <v>5.8819912720158651</v>
      </c>
      <c r="AI6" s="37">
        <f t="shared" ca="1" si="26"/>
        <v>2.6468960724071393</v>
      </c>
      <c r="AJ6" s="37">
        <f t="shared" ca="1" si="27"/>
        <v>1.3516092852463581</v>
      </c>
      <c r="AK6" s="37">
        <f t="shared" ca="1" si="28"/>
        <v>5.4645596390710089</v>
      </c>
      <c r="AL6" s="37">
        <f t="shared" ca="1" si="29"/>
        <v>4.8206754555434372</v>
      </c>
      <c r="AM6" s="37">
        <f t="shared" ca="1" si="30"/>
        <v>4.5265758919426435</v>
      </c>
      <c r="AN6" s="37">
        <f t="shared" ca="1" si="31"/>
        <v>0.56670928524635811</v>
      </c>
      <c r="AO6" s="37">
        <f t="shared" ca="1" si="32"/>
        <v>0.9053190068919228</v>
      </c>
      <c r="AP6" s="37">
        <f t="shared" ca="1" si="33"/>
        <v>1.7262365689611778</v>
      </c>
      <c r="AQ6" s="37">
        <f t="shared" ca="1" si="34"/>
        <v>3.7977204517145911</v>
      </c>
      <c r="AR6" s="37">
        <f t="shared" ref="AR6:AR21" ca="1" si="94">AP6/2</f>
        <v>0.86311828448058892</v>
      </c>
      <c r="AS6" s="37">
        <f t="shared" ca="1" si="35"/>
        <v>7.640234522590192</v>
      </c>
      <c r="AT6" s="37">
        <f t="shared" ca="1" si="36"/>
        <v>0.57115094061093741</v>
      </c>
      <c r="AU6" s="37">
        <f t="shared" ca="1" si="37"/>
        <v>1.424404869280093</v>
      </c>
      <c r="AV6" s="37">
        <f t="shared" ref="AV6:AV21" ca="1" si="95">AT6/2</f>
        <v>0.2855754703054687</v>
      </c>
      <c r="AW6" s="37">
        <f t="shared" ca="1" si="38"/>
        <v>1.2083655982728245</v>
      </c>
      <c r="AX6" s="37">
        <f t="shared" ca="1" si="39"/>
        <v>2.5573875095721155</v>
      </c>
      <c r="AY6" s="37">
        <f t="shared" ref="AY6:AY21" ca="1" si="96">AW6/2</f>
        <v>0.60418279913641226</v>
      </c>
      <c r="AZ6" s="37">
        <f t="shared" ca="1" si="40"/>
        <v>8.0934687739302884</v>
      </c>
      <c r="BA6" s="37">
        <f t="shared" ca="1" si="41"/>
        <v>1.1115475998043627</v>
      </c>
      <c r="BB6" s="37">
        <f t="shared" ca="1" si="42"/>
        <v>2.5872457388800338</v>
      </c>
      <c r="BC6" s="37">
        <f t="shared" ref="BC6:BC21" ca="1" si="97">BA6/2</f>
        <v>0.55577379990218134</v>
      </c>
      <c r="BD6" s="37">
        <f t="shared" ca="1" si="43"/>
        <v>1.8604994132137138</v>
      </c>
      <c r="BE6" s="37">
        <f t="shared" ca="1" si="44"/>
        <v>2.2249271333277401</v>
      </c>
      <c r="BF6" s="37">
        <f t="shared" ca="1" si="45"/>
        <v>7.1303459898325841</v>
      </c>
      <c r="BG6" s="37">
        <f t="shared" ca="1" si="46"/>
        <v>6.7183937400240259</v>
      </c>
      <c r="BH6" s="37">
        <f t="shared" ca="1" si="47"/>
        <v>1.0588259745171993</v>
      </c>
      <c r="BI6" s="37">
        <f t="shared" ca="1" si="48"/>
        <v>3.1008323553561898</v>
      </c>
      <c r="BJ6" s="37">
        <f t="shared" ca="1" si="49"/>
        <v>1.6878757563175961</v>
      </c>
      <c r="BK6" s="37">
        <f t="shared" ca="1" si="50"/>
        <v>3.0836116028674398</v>
      </c>
      <c r="BL6" s="37">
        <f t="shared" ca="1" si="51"/>
        <v>7.137591708415072</v>
      </c>
      <c r="BM6" s="37">
        <f t="shared" ca="1" si="52"/>
        <v>0.22846037624437493</v>
      </c>
      <c r="BN6" s="37">
        <f t="shared" ca="1" si="53"/>
        <v>1.1508243793074517</v>
      </c>
      <c r="BO6" s="37">
        <f t="shared" ca="1" si="54"/>
        <v>0.43475587662725962</v>
      </c>
      <c r="BP6" s="37">
        <f t="shared" ca="1" si="55"/>
        <v>2.4685079760487381</v>
      </c>
      <c r="BQ6" s="37">
        <f t="shared" ca="1" si="56"/>
        <v>10.550000843274351</v>
      </c>
      <c r="BR6" s="37">
        <f t="shared" ca="1" si="57"/>
        <v>0.59311828448058879</v>
      </c>
      <c r="BS6" s="37">
        <f t="shared" ca="1" si="58"/>
        <v>1.8157451317962017</v>
      </c>
      <c r="BT6" s="37">
        <f t="shared" ca="1" si="59"/>
        <v>1.5600063808389903</v>
      </c>
      <c r="BU6" s="37">
        <f t="shared" ca="1" si="60"/>
        <v>5.1069787963500124</v>
      </c>
      <c r="BV6" s="37">
        <f t="shared" ca="1" si="61"/>
        <v>7.3719545526676074</v>
      </c>
      <c r="BW6" s="37">
        <f t="shared" ca="1" si="62"/>
        <v>0.65023337854168251</v>
      </c>
      <c r="BX6" s="37">
        <f t="shared" ca="1" si="63"/>
        <v>3.2859483222156971</v>
      </c>
      <c r="BY6" s="37">
        <f t="shared" ca="1" si="64"/>
        <v>3.0952564904769391</v>
      </c>
      <c r="BZ6" s="37">
        <f t="shared" ca="1" si="65"/>
        <v>5.4091273209269861</v>
      </c>
      <c r="CA6" s="37">
        <f t="shared" ref="CA6:CA21" ca="1" si="98">BY6</f>
        <v>3.0952564904769391</v>
      </c>
      <c r="CB6" s="37">
        <f t="shared" ca="1" si="66"/>
        <v>4.0261051202326437</v>
      </c>
      <c r="CC6" s="37">
        <f t="shared" ca="1" si="67"/>
        <v>6.8072513441031592</v>
      </c>
      <c r="CD6" s="37">
        <f t="shared" ref="CD6:CD21" ca="1" si="99">CB6</f>
        <v>4.0261051202326437</v>
      </c>
      <c r="CE6" s="37">
        <f t="shared" ca="1" si="68"/>
        <v>2.0233671934825721</v>
      </c>
    </row>
    <row r="7" spans="1:83" x14ac:dyDescent="0.25">
      <c r="A7" t="str">
        <f>PLANTILLA!D8</f>
        <v>Felipe Agulló</v>
      </c>
      <c r="B7">
        <f>PLANTILLA!E8</f>
        <v>19</v>
      </c>
      <c r="C7" s="33">
        <f ca="1">PLANTILLA!F8</f>
        <v>82</v>
      </c>
      <c r="D7" s="229"/>
      <c r="E7" s="30">
        <f>PLANTILLA!M8</f>
        <v>43238</v>
      </c>
      <c r="F7" s="47">
        <f>PLANTILLA!Q8</f>
        <v>6</v>
      </c>
      <c r="G7" s="48">
        <f t="shared" si="81"/>
        <v>0.92582009977255142</v>
      </c>
      <c r="H7" s="48">
        <f t="shared" si="82"/>
        <v>0.99928545900129484</v>
      </c>
      <c r="I7" s="51">
        <f t="shared" ca="1" si="83"/>
        <v>0.5</v>
      </c>
      <c r="J7" s="39">
        <f>PLANTILLA!I8</f>
        <v>2.1</v>
      </c>
      <c r="K7" s="46">
        <f>PLANTILLA!X8</f>
        <v>0</v>
      </c>
      <c r="L7" s="46">
        <f>PLANTILLA!Y8</f>
        <v>6</v>
      </c>
      <c r="M7" s="46">
        <f>PLANTILLA!Z8</f>
        <v>2</v>
      </c>
      <c r="N7" s="46">
        <f>PLANTILLA!AA8</f>
        <v>2</v>
      </c>
      <c r="O7" s="46">
        <f>PLANTILLA!AB8</f>
        <v>2</v>
      </c>
      <c r="P7" s="46">
        <f>PLANTILLA!AC8</f>
        <v>4</v>
      </c>
      <c r="Q7" s="46">
        <f>PLANTILLA!AD8</f>
        <v>5</v>
      </c>
      <c r="R7" s="46">
        <f t="shared" si="84"/>
        <v>1.625</v>
      </c>
      <c r="S7" s="46">
        <f t="shared" si="85"/>
        <v>0.35</v>
      </c>
      <c r="T7" s="46">
        <f t="shared" si="86"/>
        <v>0.39</v>
      </c>
      <c r="U7" s="46">
        <f t="shared" ca="1" si="87"/>
        <v>5.4897666815479633</v>
      </c>
      <c r="V7" s="46">
        <f t="shared" ca="1" si="88"/>
        <v>5.9253887656234658</v>
      </c>
      <c r="W7" s="37">
        <f t="shared" ca="1" si="89"/>
        <v>2.4675632590702818</v>
      </c>
      <c r="X7" s="37">
        <f t="shared" ca="1" si="90"/>
        <v>3.7501468126686528</v>
      </c>
      <c r="Y7" s="37">
        <f t="shared" ca="1" si="91"/>
        <v>2.4675632590702818</v>
      </c>
      <c r="Z7" s="37">
        <f t="shared" ca="1" si="19"/>
        <v>3.5756868747769364</v>
      </c>
      <c r="AA7" s="37">
        <f t="shared" ca="1" si="20"/>
        <v>6.9296257263118921</v>
      </c>
      <c r="AB7" s="37">
        <f t="shared" ca="1" si="92"/>
        <v>1.7878434373884682</v>
      </c>
      <c r="AC7" s="37">
        <f t="shared" ca="1" si="21"/>
        <v>0.69725092286223045</v>
      </c>
      <c r="AD7" s="37">
        <f t="shared" ca="1" si="22"/>
        <v>2.6193985245458951</v>
      </c>
      <c r="AE7" s="37">
        <f t="shared" ca="1" si="23"/>
        <v>5.0101194001234974</v>
      </c>
      <c r="AF7" s="37">
        <f t="shared" ca="1" si="93"/>
        <v>1.3096992622729475</v>
      </c>
      <c r="AG7" s="37">
        <f t="shared" ca="1" si="24"/>
        <v>1.1279059046300786</v>
      </c>
      <c r="AH7" s="37">
        <f t="shared" ca="1" si="25"/>
        <v>6.3752556682069415</v>
      </c>
      <c r="AI7" s="37">
        <f t="shared" ca="1" si="26"/>
        <v>2.868865050693123</v>
      </c>
      <c r="AJ7" s="37">
        <f t="shared" ca="1" si="27"/>
        <v>0.48924749629408609</v>
      </c>
      <c r="AK7" s="37">
        <f t="shared" ca="1" si="28"/>
        <v>1.7226199270713927</v>
      </c>
      <c r="AL7" s="37">
        <f t="shared" ca="1" si="29"/>
        <v>5.2249377976391669</v>
      </c>
      <c r="AM7" s="37">
        <f t="shared" ca="1" si="30"/>
        <v>4.9061750142288192</v>
      </c>
      <c r="AN7" s="37">
        <f t="shared" ca="1" si="31"/>
        <v>0.99024749629408604</v>
      </c>
      <c r="AO7" s="37">
        <f t="shared" ca="1" si="32"/>
        <v>0.735732209177825</v>
      </c>
      <c r="AP7" s="37">
        <f t="shared" ca="1" si="33"/>
        <v>1.8709989461042109</v>
      </c>
      <c r="AQ7" s="37">
        <f t="shared" ca="1" si="34"/>
        <v>4.1161976814292638</v>
      </c>
      <c r="AR7" s="37">
        <f t="shared" ca="1" si="94"/>
        <v>0.93549947305210546</v>
      </c>
      <c r="AS7" s="37">
        <f t="shared" ca="1" si="35"/>
        <v>2.7655666856384262</v>
      </c>
      <c r="AT7" s="37">
        <f t="shared" ca="1" si="36"/>
        <v>0.38085134442054602</v>
      </c>
      <c r="AU7" s="37">
        <f t="shared" ca="1" si="37"/>
        <v>1.2043803378093845</v>
      </c>
      <c r="AV7" s="37">
        <f t="shared" ca="1" si="95"/>
        <v>0.19042567221027301</v>
      </c>
      <c r="AW7" s="37">
        <f t="shared" ca="1" si="38"/>
        <v>1.3096992622729475</v>
      </c>
      <c r="AX7" s="37">
        <f t="shared" ca="1" si="39"/>
        <v>2.7718502905247568</v>
      </c>
      <c r="AY7" s="37">
        <f t="shared" ca="1" si="96"/>
        <v>0.65484963113647376</v>
      </c>
      <c r="AZ7" s="37">
        <f t="shared" ca="1" si="40"/>
        <v>2.9296257263118926</v>
      </c>
      <c r="BA7" s="37">
        <f t="shared" ca="1" si="41"/>
        <v>0.74119530875690887</v>
      </c>
      <c r="BB7" s="37">
        <f t="shared" ca="1" si="42"/>
        <v>2.0342237751978529</v>
      </c>
      <c r="BC7" s="37">
        <f t="shared" ca="1" si="97"/>
        <v>0.37059765437845443</v>
      </c>
      <c r="BD7" s="37">
        <f t="shared" ca="1" si="43"/>
        <v>2.0165210863567604</v>
      </c>
      <c r="BE7" s="37">
        <f t="shared" ca="1" si="44"/>
        <v>2.4115097527565381</v>
      </c>
      <c r="BF7" s="37">
        <f t="shared" ca="1" si="45"/>
        <v>2.5810002648807773</v>
      </c>
      <c r="BG7" s="37">
        <f t="shared" ca="1" si="46"/>
        <v>2.6044372706912724</v>
      </c>
      <c r="BH7" s="37">
        <f t="shared" ca="1" si="47"/>
        <v>0.70603980004116607</v>
      </c>
      <c r="BI7" s="37">
        <f t="shared" ca="1" si="48"/>
        <v>3.3608684772612674</v>
      </c>
      <c r="BJ7" s="37">
        <f t="shared" ca="1" si="49"/>
        <v>1.8294211917463397</v>
      </c>
      <c r="BK7" s="37">
        <f t="shared" ca="1" si="50"/>
        <v>1.116187401724831</v>
      </c>
      <c r="BL7" s="37">
        <f t="shared" ca="1" si="51"/>
        <v>2.5604928847965942</v>
      </c>
      <c r="BM7" s="37">
        <f t="shared" ca="1" si="52"/>
        <v>0.1523405377682184</v>
      </c>
      <c r="BN7" s="37">
        <f t="shared" ca="1" si="53"/>
        <v>1.2473326307361405</v>
      </c>
      <c r="BO7" s="37">
        <f t="shared" ca="1" si="54"/>
        <v>0.4712145493892087</v>
      </c>
      <c r="BP7" s="37">
        <f t="shared" ca="1" si="55"/>
        <v>0.89353584652512719</v>
      </c>
      <c r="BQ7" s="37">
        <f t="shared" ca="1" si="56"/>
        <v>3.7674986840370939</v>
      </c>
      <c r="BR7" s="37">
        <f t="shared" ca="1" si="57"/>
        <v>0.39549947305210553</v>
      </c>
      <c r="BS7" s="37">
        <f t="shared" ca="1" si="58"/>
        <v>1.9680137062725771</v>
      </c>
      <c r="BT7" s="37">
        <f t="shared" ca="1" si="59"/>
        <v>1.6908286772201016</v>
      </c>
      <c r="BU7" s="37">
        <f t="shared" ca="1" si="60"/>
        <v>1.8485938333028042</v>
      </c>
      <c r="BV7" s="37">
        <f t="shared" ca="1" si="61"/>
        <v>2.6220150250491434</v>
      </c>
      <c r="BW7" s="37">
        <f t="shared" ca="1" si="62"/>
        <v>0.43358460749416006</v>
      </c>
      <c r="BX7" s="37">
        <f t="shared" ca="1" si="63"/>
        <v>1.1894280448826284</v>
      </c>
      <c r="BY7" s="37">
        <f t="shared" ca="1" si="64"/>
        <v>1.7803350034084962</v>
      </c>
      <c r="BZ7" s="37">
        <f t="shared" ca="1" si="65"/>
        <v>4.4647585678271913</v>
      </c>
      <c r="CA7" s="37">
        <f t="shared" ca="1" si="98"/>
        <v>1.7803350034084962</v>
      </c>
      <c r="CB7" s="37">
        <f t="shared" ca="1" si="66"/>
        <v>2.3451568274923091</v>
      </c>
      <c r="CC7" s="37">
        <f t="shared" ca="1" si="67"/>
        <v>6.0106576193209804</v>
      </c>
      <c r="CD7" s="37">
        <f t="shared" ca="1" si="99"/>
        <v>2.3451568274923091</v>
      </c>
      <c r="CE7" s="37">
        <f t="shared" ca="1" si="68"/>
        <v>0.73240643157797314</v>
      </c>
    </row>
    <row r="8" spans="1:83" x14ac:dyDescent="0.25">
      <c r="A8" t="str">
        <f>PLANTILLA!D9</f>
        <v>J. G. de Minaya</v>
      </c>
      <c r="B8">
        <f>PLANTILLA!E9</f>
        <v>19</v>
      </c>
      <c r="C8" s="33">
        <f ca="1">PLANTILLA!F9</f>
        <v>72</v>
      </c>
      <c r="D8" s="229" t="str">
        <f>PLANTILLA!G9</f>
        <v>TEC</v>
      </c>
      <c r="E8" s="30">
        <f>PLANTILLA!M9</f>
        <v>43081</v>
      </c>
      <c r="F8" s="47">
        <f>PLANTILLA!Q9</f>
        <v>7</v>
      </c>
      <c r="G8" s="48">
        <f t="shared" si="81"/>
        <v>1</v>
      </c>
      <c r="H8" s="48">
        <f t="shared" si="82"/>
        <v>1</v>
      </c>
      <c r="I8" s="51">
        <f t="shared" ca="1" si="83"/>
        <v>0.84691316246821013</v>
      </c>
      <c r="J8" s="39">
        <f>PLANTILLA!I9</f>
        <v>2.7</v>
      </c>
      <c r="K8" s="46">
        <f>PLANTILLA!X9</f>
        <v>0</v>
      </c>
      <c r="L8" s="46">
        <f>PLANTILLA!Y9</f>
        <v>6</v>
      </c>
      <c r="M8" s="46">
        <f>PLANTILLA!Z9</f>
        <v>5</v>
      </c>
      <c r="N8" s="46">
        <f>PLANTILLA!AA9</f>
        <v>9.3000000000000007</v>
      </c>
      <c r="O8" s="46">
        <f>PLANTILLA!AB9</f>
        <v>6.2</v>
      </c>
      <c r="P8" s="46">
        <f>PLANTILLA!AC9</f>
        <v>8.25</v>
      </c>
      <c r="Q8" s="46">
        <f>PLANTILLA!AD9</f>
        <v>0</v>
      </c>
      <c r="R8" s="46">
        <f t="shared" si="84"/>
        <v>2.6749999999999998</v>
      </c>
      <c r="S8" s="46">
        <f t="shared" si="85"/>
        <v>0.41249999999999998</v>
      </c>
      <c r="T8" s="46">
        <f t="shared" si="86"/>
        <v>0.24000000000000005</v>
      </c>
      <c r="U8" s="46">
        <f t="shared" ca="1" si="87"/>
        <v>1.4220648480135267</v>
      </c>
      <c r="V8" s="46">
        <f t="shared" ca="1" si="88"/>
        <v>1.4220648480135267</v>
      </c>
      <c r="W8" s="37">
        <f t="shared" ca="1" si="89"/>
        <v>2.8974626123158087</v>
      </c>
      <c r="X8" s="37">
        <f t="shared" ca="1" si="90"/>
        <v>4.3858857187854632</v>
      </c>
      <c r="Y8" s="37">
        <f t="shared" ca="1" si="91"/>
        <v>2.8974626123158087</v>
      </c>
      <c r="Z8" s="37">
        <f t="shared" ca="1" si="19"/>
        <v>3.8297854615749798</v>
      </c>
      <c r="AA8" s="37">
        <f t="shared" ca="1" si="20"/>
        <v>7.4220648480135267</v>
      </c>
      <c r="AB8" s="37">
        <f t="shared" ca="1" si="92"/>
        <v>1.9148927307874899</v>
      </c>
      <c r="AC8" s="37">
        <f t="shared" ca="1" si="21"/>
        <v>1.5284514338272193</v>
      </c>
      <c r="AD8" s="37">
        <f t="shared" ca="1" si="22"/>
        <v>2.8055405125491131</v>
      </c>
      <c r="AE8" s="37">
        <f t="shared" ca="1" si="23"/>
        <v>5.3661528851137801</v>
      </c>
      <c r="AF8" s="37">
        <f t="shared" ca="1" si="93"/>
        <v>1.4027702562745565</v>
      </c>
      <c r="AG8" s="37">
        <f t="shared" ca="1" si="24"/>
        <v>2.4724949664852081</v>
      </c>
      <c r="AH8" s="37">
        <f t="shared" ca="1" si="25"/>
        <v>6.8282996601724451</v>
      </c>
      <c r="AI8" s="37">
        <f t="shared" ca="1" si="26"/>
        <v>3.0727348470775997</v>
      </c>
      <c r="AJ8" s="37">
        <f t="shared" ca="1" si="27"/>
        <v>1.072484829618259</v>
      </c>
      <c r="AK8" s="37">
        <f t="shared" ca="1" si="28"/>
        <v>6.3045741306319538</v>
      </c>
      <c r="AL8" s="37">
        <f t="shared" ca="1" si="29"/>
        <v>5.5962368954021988</v>
      </c>
      <c r="AM8" s="37">
        <f t="shared" ca="1" si="30"/>
        <v>5.2548219123935764</v>
      </c>
      <c r="AN8" s="37">
        <f t="shared" ca="1" si="31"/>
        <v>0.23748482961825898</v>
      </c>
      <c r="AO8" s="37">
        <f t="shared" ca="1" si="32"/>
        <v>1.1799546762278956</v>
      </c>
      <c r="AP8" s="37">
        <f t="shared" ca="1" si="33"/>
        <v>2.0039575089636523</v>
      </c>
      <c r="AQ8" s="37">
        <f t="shared" ca="1" si="34"/>
        <v>4.4087065197200346</v>
      </c>
      <c r="AR8" s="37">
        <f t="shared" ca="1" si="94"/>
        <v>1.0019787544818262</v>
      </c>
      <c r="AS8" s="37">
        <f t="shared" ca="1" si="35"/>
        <v>6.0624292165247686</v>
      </c>
      <c r="AT8" s="37">
        <f t="shared" ca="1" si="36"/>
        <v>0.99086843024175852</v>
      </c>
      <c r="AU8" s="37">
        <f t="shared" ca="1" si="37"/>
        <v>2.5879150004679632</v>
      </c>
      <c r="AV8" s="37">
        <f t="shared" ca="1" si="95"/>
        <v>0.49543421512087926</v>
      </c>
      <c r="AW8" s="37">
        <f t="shared" ca="1" si="38"/>
        <v>1.4027702562745565</v>
      </c>
      <c r="AX8" s="37">
        <f t="shared" ca="1" si="39"/>
        <v>2.968825939205411</v>
      </c>
      <c r="AY8" s="37">
        <f t="shared" ca="1" si="96"/>
        <v>0.70138512813727827</v>
      </c>
      <c r="AZ8" s="37">
        <f t="shared" ca="1" si="40"/>
        <v>6.4220648480135267</v>
      </c>
      <c r="BA8" s="37">
        <f t="shared" ca="1" si="41"/>
        <v>1.9283824065474224</v>
      </c>
      <c r="BB8" s="37">
        <f t="shared" ca="1" si="42"/>
        <v>4.6302577312554529</v>
      </c>
      <c r="BC8" s="37">
        <f t="shared" ca="1" si="97"/>
        <v>0.96419120327371122</v>
      </c>
      <c r="BD8" s="37">
        <f t="shared" ca="1" si="43"/>
        <v>2.1598208707719362</v>
      </c>
      <c r="BE8" s="37">
        <f t="shared" ca="1" si="44"/>
        <v>2.5828785671087071</v>
      </c>
      <c r="BF8" s="37">
        <f t="shared" ca="1" si="45"/>
        <v>5.6578391310999168</v>
      </c>
      <c r="BG8" s="37">
        <f t="shared" ca="1" si="46"/>
        <v>8.5554156498840257</v>
      </c>
      <c r="BH8" s="37">
        <f t="shared" ca="1" si="47"/>
        <v>1.8369176283712598</v>
      </c>
      <c r="BI8" s="37">
        <f t="shared" ca="1" si="48"/>
        <v>3.5997014512865602</v>
      </c>
      <c r="BJ8" s="37">
        <f t="shared" ca="1" si="49"/>
        <v>1.9594251198755712</v>
      </c>
      <c r="BK8" s="37">
        <f t="shared" ca="1" si="50"/>
        <v>2.4468067070931538</v>
      </c>
      <c r="BL8" s="37">
        <f t="shared" ca="1" si="51"/>
        <v>8.7479846771638226</v>
      </c>
      <c r="BM8" s="37">
        <f t="shared" ca="1" si="52"/>
        <v>0.3963473720967034</v>
      </c>
      <c r="BN8" s="37">
        <f t="shared" ca="1" si="53"/>
        <v>1.3359716726424347</v>
      </c>
      <c r="BO8" s="37">
        <f t="shared" ca="1" si="54"/>
        <v>0.5047004096649198</v>
      </c>
      <c r="BP8" s="37">
        <f t="shared" ca="1" si="55"/>
        <v>1.9587297786441256</v>
      </c>
      <c r="BQ8" s="37">
        <f t="shared" ca="1" si="56"/>
        <v>12.901975394545396</v>
      </c>
      <c r="BR8" s="37">
        <f t="shared" ca="1" si="57"/>
        <v>1.0289787544818263</v>
      </c>
      <c r="BS8" s="37">
        <f t="shared" ca="1" si="58"/>
        <v>2.1078664168358414</v>
      </c>
      <c r="BT8" s="37">
        <f t="shared" ca="1" si="59"/>
        <v>1.8109838229153006</v>
      </c>
      <c r="BU8" s="37">
        <f t="shared" ca="1" si="60"/>
        <v>4.0523229190965351</v>
      </c>
      <c r="BV8" s="37">
        <f t="shared" ca="1" si="61"/>
        <v>8.9979480389721065</v>
      </c>
      <c r="BW8" s="37">
        <f t="shared" ca="1" si="62"/>
        <v>1.1280655975060019</v>
      </c>
      <c r="BX8" s="37">
        <f t="shared" ca="1" si="63"/>
        <v>2.607358328293492</v>
      </c>
      <c r="BY8" s="37">
        <f t="shared" ca="1" si="64"/>
        <v>5.30621097365613</v>
      </c>
      <c r="BZ8" s="37">
        <f t="shared" ca="1" si="65"/>
        <v>9.7775950188632308</v>
      </c>
      <c r="CA8" s="37">
        <f t="shared" ca="1" si="98"/>
        <v>5.30621097365613</v>
      </c>
      <c r="CB8" s="37">
        <f t="shared" ca="1" si="66"/>
        <v>5.9666464003124267</v>
      </c>
      <c r="CC8" s="37">
        <f t="shared" ca="1" si="67"/>
        <v>12.484606776930518</v>
      </c>
      <c r="CD8" s="37">
        <f t="shared" ca="1" si="99"/>
        <v>5.9666464003124267</v>
      </c>
      <c r="CE8" s="37">
        <f t="shared" ca="1" si="68"/>
        <v>1.6055162120033817</v>
      </c>
    </row>
    <row r="9" spans="1:83" x14ac:dyDescent="0.25">
      <c r="A9" t="str">
        <f>PLANTILLA!D10</f>
        <v>Francesc Añigas</v>
      </c>
      <c r="B9">
        <f>PLANTILLA!E10</f>
        <v>19</v>
      </c>
      <c r="C9" s="33">
        <f ca="1">PLANTILLA!F10</f>
        <v>62</v>
      </c>
      <c r="D9" s="229" t="str">
        <f>PLANTILLA!G10</f>
        <v>IMP</v>
      </c>
      <c r="E9" s="30">
        <f>PLANTILLA!M10</f>
        <v>43137</v>
      </c>
      <c r="F9" s="47">
        <f>PLANTILLA!Q10</f>
        <v>6</v>
      </c>
      <c r="G9" s="48">
        <f t="shared" si="81"/>
        <v>0.92582009977255142</v>
      </c>
      <c r="H9" s="48">
        <f t="shared" si="82"/>
        <v>0.99928545900129484</v>
      </c>
      <c r="I9" s="51">
        <f t="shared" ca="1" si="83"/>
        <v>0.74202104963082971</v>
      </c>
      <c r="J9" s="39">
        <f>PLANTILLA!I10</f>
        <v>2.1</v>
      </c>
      <c r="K9" s="46">
        <f>PLANTILLA!X10</f>
        <v>0</v>
      </c>
      <c r="L9" s="46">
        <f>PLANTILLA!Y10</f>
        <v>8</v>
      </c>
      <c r="M9" s="46">
        <f>PLANTILLA!Z10</f>
        <v>4</v>
      </c>
      <c r="N9" s="46">
        <f>PLANTILLA!AA10</f>
        <v>9</v>
      </c>
      <c r="O9" s="46">
        <f>PLANTILLA!AB10</f>
        <v>4.25</v>
      </c>
      <c r="P9" s="46">
        <f>PLANTILLA!AC10</f>
        <v>7</v>
      </c>
      <c r="Q9" s="46">
        <f>PLANTILLA!AD10</f>
        <v>3</v>
      </c>
      <c r="R9" s="46">
        <f t="shared" si="84"/>
        <v>2.4375</v>
      </c>
      <c r="S9" s="46">
        <f t="shared" si="85"/>
        <v>0.44000000000000006</v>
      </c>
      <c r="T9" s="46">
        <f t="shared" si="86"/>
        <v>0.41</v>
      </c>
      <c r="U9" s="46">
        <f t="shared" ca="1" si="87"/>
        <v>3.8621944343191328</v>
      </c>
      <c r="V9" s="46">
        <f t="shared" ca="1" si="88"/>
        <v>4.168665963289194</v>
      </c>
      <c r="W9" s="37">
        <f t="shared" ca="1" si="89"/>
        <v>3.2308476353979962</v>
      </c>
      <c r="X9" s="37">
        <f t="shared" ca="1" si="90"/>
        <v>4.912595987742054</v>
      </c>
      <c r="Y9" s="37">
        <f t="shared" ca="1" si="91"/>
        <v>3.2308476353979962</v>
      </c>
      <c r="Z9" s="37">
        <f t="shared" ca="1" si="19"/>
        <v>4.732569736386445</v>
      </c>
      <c r="AA9" s="37">
        <f t="shared" ca="1" si="20"/>
        <v>9.1716467759427225</v>
      </c>
      <c r="AB9" s="37">
        <f t="shared" ca="1" si="92"/>
        <v>2.3662848681932225</v>
      </c>
      <c r="AC9" s="37">
        <f t="shared" ca="1" si="21"/>
        <v>1.2308519326743677</v>
      </c>
      <c r="AD9" s="37">
        <f t="shared" ca="1" si="22"/>
        <v>3.466882481306349</v>
      </c>
      <c r="AE9" s="37">
        <f t="shared" ca="1" si="23"/>
        <v>6.6311006190065882</v>
      </c>
      <c r="AF9" s="37">
        <f t="shared" ca="1" si="93"/>
        <v>1.7334412406531745</v>
      </c>
      <c r="AG9" s="37">
        <f t="shared" ca="1" si="24"/>
        <v>1.9910840087379478</v>
      </c>
      <c r="AH9" s="37">
        <f t="shared" ca="1" si="25"/>
        <v>8.4379150338673057</v>
      </c>
      <c r="AI9" s="37">
        <f t="shared" ca="1" si="26"/>
        <v>3.7970617652402869</v>
      </c>
      <c r="AJ9" s="37">
        <f t="shared" ca="1" si="27"/>
        <v>0.86366501158243458</v>
      </c>
      <c r="AK9" s="37">
        <f t="shared" ca="1" si="28"/>
        <v>5.9809283042543209</v>
      </c>
      <c r="AL9" s="37">
        <f t="shared" ca="1" si="29"/>
        <v>6.9154216690608123</v>
      </c>
      <c r="AM9" s="37">
        <f t="shared" ca="1" si="30"/>
        <v>6.4935259173674469</v>
      </c>
      <c r="AN9" s="37">
        <f t="shared" ca="1" si="31"/>
        <v>0.69666501158243455</v>
      </c>
      <c r="AO9" s="37">
        <f t="shared" ca="1" si="32"/>
        <v>1.0394342714715039</v>
      </c>
      <c r="AP9" s="37">
        <f t="shared" ca="1" si="33"/>
        <v>2.4763446295045353</v>
      </c>
      <c r="AQ9" s="37">
        <f t="shared" ca="1" si="34"/>
        <v>5.447958184909977</v>
      </c>
      <c r="AR9" s="37">
        <f t="shared" ca="1" si="94"/>
        <v>1.2381723147522676</v>
      </c>
      <c r="AS9" s="37">
        <f t="shared" ca="1" si="35"/>
        <v>4.8820345564899288</v>
      </c>
      <c r="AT9" s="37">
        <f t="shared" ca="1" si="36"/>
        <v>0.70481408087255382</v>
      </c>
      <c r="AU9" s="37">
        <f t="shared" ca="1" si="37"/>
        <v>2.0642925053512178</v>
      </c>
      <c r="AV9" s="37">
        <f t="shared" ca="1" si="95"/>
        <v>0.35240704043627691</v>
      </c>
      <c r="AW9" s="37">
        <f t="shared" ca="1" si="38"/>
        <v>1.7334412406531745</v>
      </c>
      <c r="AX9" s="37">
        <f t="shared" ca="1" si="39"/>
        <v>3.6686587103770893</v>
      </c>
      <c r="AY9" s="37">
        <f t="shared" ca="1" si="96"/>
        <v>0.86672062032658725</v>
      </c>
      <c r="AZ9" s="37">
        <f t="shared" ca="1" si="40"/>
        <v>5.1716467759427216</v>
      </c>
      <c r="BA9" s="37">
        <f t="shared" ca="1" si="41"/>
        <v>1.3716766343135085</v>
      </c>
      <c r="BB9" s="37">
        <f t="shared" ca="1" si="42"/>
        <v>3.56482737354444</v>
      </c>
      <c r="BC9" s="37">
        <f t="shared" ca="1" si="97"/>
        <v>0.68583831715675425</v>
      </c>
      <c r="BD9" s="37">
        <f t="shared" ca="1" si="43"/>
        <v>2.6689492117993319</v>
      </c>
      <c r="BE9" s="37">
        <f t="shared" ca="1" si="44"/>
        <v>3.1917330780280673</v>
      </c>
      <c r="BF9" s="37">
        <f t="shared" ca="1" si="45"/>
        <v>4.5562208096055379</v>
      </c>
      <c r="BG9" s="37">
        <f t="shared" ca="1" si="46"/>
        <v>7.5463439838130801</v>
      </c>
      <c r="BH9" s="37">
        <f t="shared" ca="1" si="47"/>
        <v>1.3066168730021959</v>
      </c>
      <c r="BI9" s="37">
        <f t="shared" ca="1" si="48"/>
        <v>4.4482486863322199</v>
      </c>
      <c r="BJ9" s="37">
        <f t="shared" ca="1" si="49"/>
        <v>2.4213147488488787</v>
      </c>
      <c r="BK9" s="37">
        <f t="shared" ca="1" si="50"/>
        <v>1.9703974216341769</v>
      </c>
      <c r="BL9" s="37">
        <f t="shared" ca="1" si="51"/>
        <v>7.9352692821739392</v>
      </c>
      <c r="BM9" s="37">
        <f t="shared" ca="1" si="52"/>
        <v>0.28192563234902152</v>
      </c>
      <c r="BN9" s="37">
        <f t="shared" ca="1" si="53"/>
        <v>1.65089641966969</v>
      </c>
      <c r="BO9" s="37">
        <f t="shared" ca="1" si="54"/>
        <v>0.62367198076410513</v>
      </c>
      <c r="BP9" s="37">
        <f t="shared" ca="1" si="55"/>
        <v>1.5773522666625301</v>
      </c>
      <c r="BQ9" s="37">
        <f t="shared" ca="1" si="56"/>
        <v>11.722237753862341</v>
      </c>
      <c r="BR9" s="37">
        <f t="shared" ca="1" si="57"/>
        <v>0.73192231475226743</v>
      </c>
      <c r="BS9" s="37">
        <f t="shared" ca="1" si="58"/>
        <v>2.6047476843677329</v>
      </c>
      <c r="BT9" s="37">
        <f t="shared" ca="1" si="59"/>
        <v>2.2378818133300244</v>
      </c>
      <c r="BU9" s="37">
        <f t="shared" ca="1" si="60"/>
        <v>3.2633091156198573</v>
      </c>
      <c r="BV9" s="37">
        <f t="shared" ca="1" si="61"/>
        <v>8.1868738644687369</v>
      </c>
      <c r="BW9" s="37">
        <f t="shared" ca="1" si="62"/>
        <v>0.80240372283952277</v>
      </c>
      <c r="BX9" s="37">
        <f t="shared" ca="1" si="63"/>
        <v>2.099688591032745</v>
      </c>
      <c r="BY9" s="37">
        <f t="shared" ca="1" si="64"/>
        <v>3.8579279702661582</v>
      </c>
      <c r="BZ9" s="37">
        <f t="shared" ca="1" si="65"/>
        <v>7.7080242697115047</v>
      </c>
      <c r="CA9" s="37">
        <f t="shared" ca="1" si="98"/>
        <v>3.8579279702661582</v>
      </c>
      <c r="CB9" s="37">
        <f t="shared" ca="1" si="66"/>
        <v>5.142435941412316</v>
      </c>
      <c r="CC9" s="37">
        <f t="shared" ca="1" si="67"/>
        <v>10.172234436265587</v>
      </c>
      <c r="CD9" s="37">
        <f t="shared" ca="1" si="99"/>
        <v>5.142435941412316</v>
      </c>
      <c r="CE9" s="37">
        <f t="shared" ca="1" si="68"/>
        <v>1.2929116939856804</v>
      </c>
    </row>
    <row r="10" spans="1:83" x14ac:dyDescent="0.25">
      <c r="A10" t="str">
        <f>PLANTILLA!D11</f>
        <v>Will Duffill</v>
      </c>
      <c r="B10">
        <f>PLANTILLA!E11</f>
        <v>19</v>
      </c>
      <c r="C10" s="33">
        <f ca="1">PLANTILLA!F11</f>
        <v>23</v>
      </c>
      <c r="D10" s="229" t="str">
        <f>PLANTILLA!G11</f>
        <v>RAP</v>
      </c>
      <c r="E10" s="30">
        <f>PLANTILLA!M11</f>
        <v>43122</v>
      </c>
      <c r="F10" s="47">
        <f>PLANTILLA!Q11</f>
        <v>5</v>
      </c>
      <c r="G10" s="48">
        <f t="shared" si="81"/>
        <v>0.84515425472851657</v>
      </c>
      <c r="H10" s="48">
        <f t="shared" si="82"/>
        <v>0.92504826128926143</v>
      </c>
      <c r="I10" s="51">
        <f t="shared" ca="1" si="83"/>
        <v>0.77151674981045959</v>
      </c>
      <c r="J10" s="39">
        <f>PLANTILLA!I11</f>
        <v>2.6</v>
      </c>
      <c r="K10" s="46">
        <f>PLANTILLA!X11</f>
        <v>0</v>
      </c>
      <c r="L10" s="46">
        <f>PLANTILLA!Y11</f>
        <v>6</v>
      </c>
      <c r="M10" s="46">
        <f>PLANTILLA!Z11</f>
        <v>3</v>
      </c>
      <c r="N10" s="46">
        <f>PLANTILLA!AA11</f>
        <v>9.4</v>
      </c>
      <c r="O10" s="46">
        <f>PLANTILLA!AB11</f>
        <v>7</v>
      </c>
      <c r="P10" s="46">
        <f>PLANTILLA!AC11</f>
        <v>7</v>
      </c>
      <c r="Q10" s="46">
        <f>PLANTILLA!AD11</f>
        <v>3</v>
      </c>
      <c r="R10" s="46">
        <f t="shared" si="84"/>
        <v>2.875</v>
      </c>
      <c r="S10" s="46">
        <f t="shared" si="85"/>
        <v>0.44000000000000006</v>
      </c>
      <c r="T10" s="46">
        <f t="shared" si="86"/>
        <v>0.33</v>
      </c>
      <c r="U10" s="46">
        <f t="shared" ca="1" si="87"/>
        <v>3.6551354153974751</v>
      </c>
      <c r="V10" s="46">
        <f t="shared" ca="1" si="88"/>
        <v>4.0006621771978779</v>
      </c>
      <c r="W10" s="37">
        <f t="shared" ca="1" si="89"/>
        <v>2.8125630996225635</v>
      </c>
      <c r="X10" s="37">
        <f t="shared" ca="1" si="90"/>
        <v>4.2603355803124039</v>
      </c>
      <c r="Y10" s="37">
        <f t="shared" ca="1" si="91"/>
        <v>2.8125630996225635</v>
      </c>
      <c r="Z10" s="37">
        <f t="shared" ca="1" si="19"/>
        <v>3.77960430630612</v>
      </c>
      <c r="AA10" s="37">
        <f t="shared" ca="1" si="20"/>
        <v>7.3248145471048831</v>
      </c>
      <c r="AB10" s="37">
        <f t="shared" ca="1" si="92"/>
        <v>1.88980215315306</v>
      </c>
      <c r="AC10" s="37">
        <f t="shared" ca="1" si="21"/>
        <v>1.0293058622109623</v>
      </c>
      <c r="AD10" s="37">
        <f t="shared" ca="1" si="22"/>
        <v>2.7687798988056458</v>
      </c>
      <c r="AE10" s="37">
        <f t="shared" ca="1" si="23"/>
        <v>5.2958409175568306</v>
      </c>
      <c r="AF10" s="37">
        <f t="shared" ca="1" si="93"/>
        <v>1.3843899494028229</v>
      </c>
      <c r="AG10" s="37">
        <f t="shared" ca="1" si="24"/>
        <v>1.6650536006353804</v>
      </c>
      <c r="AH10" s="37">
        <f t="shared" ca="1" si="25"/>
        <v>6.7388293833364932</v>
      </c>
      <c r="AI10" s="37">
        <f t="shared" ca="1" si="26"/>
        <v>3.0324732225014213</v>
      </c>
      <c r="AJ10" s="37">
        <f t="shared" ca="1" si="27"/>
        <v>0.72224402936651566</v>
      </c>
      <c r="AK10" s="37">
        <f t="shared" ca="1" si="28"/>
        <v>6.3061909536976719</v>
      </c>
      <c r="AL10" s="37">
        <f t="shared" ca="1" si="29"/>
        <v>5.5229101685170816</v>
      </c>
      <c r="AM10" s="37">
        <f t="shared" ca="1" si="30"/>
        <v>5.1859686993502567</v>
      </c>
      <c r="AN10" s="37">
        <f t="shared" ca="1" si="31"/>
        <v>0.72224402936651566</v>
      </c>
      <c r="AO10" s="37">
        <f t="shared" ca="1" si="32"/>
        <v>1.2095465895662065</v>
      </c>
      <c r="AP10" s="37">
        <f t="shared" ca="1" si="33"/>
        <v>1.9776999277183185</v>
      </c>
      <c r="AQ10" s="37">
        <f t="shared" ca="1" si="34"/>
        <v>4.3509398409803</v>
      </c>
      <c r="AR10" s="37">
        <f t="shared" ca="1" si="94"/>
        <v>0.98884996385915924</v>
      </c>
      <c r="AS10" s="37">
        <f t="shared" ca="1" si="35"/>
        <v>4.0826249324670103</v>
      </c>
      <c r="AT10" s="37">
        <f t="shared" ca="1" si="36"/>
        <v>1.0822258911236347</v>
      </c>
      <c r="AU10" s="37">
        <f t="shared" ca="1" si="37"/>
        <v>2.4391706623017302</v>
      </c>
      <c r="AV10" s="37">
        <f t="shared" ca="1" si="95"/>
        <v>0.54111294556181733</v>
      </c>
      <c r="AW10" s="37">
        <f t="shared" ca="1" si="38"/>
        <v>1.3843899494028229</v>
      </c>
      <c r="AX10" s="37">
        <f t="shared" ca="1" si="39"/>
        <v>2.9299258188419532</v>
      </c>
      <c r="AY10" s="37">
        <f t="shared" ca="1" si="96"/>
        <v>0.69219497470141145</v>
      </c>
      <c r="AZ10" s="37">
        <f t="shared" ca="1" si="40"/>
        <v>4.324814547104884</v>
      </c>
      <c r="BA10" s="37">
        <f t="shared" ca="1" si="41"/>
        <v>2.1061780804175352</v>
      </c>
      <c r="BB10" s="37">
        <f t="shared" ca="1" si="42"/>
        <v>4.5869728154547902</v>
      </c>
      <c r="BC10" s="37">
        <f t="shared" ca="1" si="97"/>
        <v>1.0530890402087676</v>
      </c>
      <c r="BD10" s="37">
        <f t="shared" ca="1" si="43"/>
        <v>2.131521033207521</v>
      </c>
      <c r="BE10" s="37">
        <f t="shared" ca="1" si="44"/>
        <v>2.5490354623924993</v>
      </c>
      <c r="BF10" s="37">
        <f t="shared" ca="1" si="45"/>
        <v>3.810161615999403</v>
      </c>
      <c r="BG10" s="37">
        <f t="shared" ca="1" si="46"/>
        <v>8.7783601323762408</v>
      </c>
      <c r="BH10" s="37">
        <f t="shared" ca="1" si="47"/>
        <v>2.0062803058522767</v>
      </c>
      <c r="BI10" s="37">
        <f t="shared" ca="1" si="48"/>
        <v>3.5525350553458681</v>
      </c>
      <c r="BJ10" s="37">
        <f t="shared" ca="1" si="49"/>
        <v>1.9337510404356892</v>
      </c>
      <c r="BK10" s="37">
        <f t="shared" ca="1" si="50"/>
        <v>1.6477543424469607</v>
      </c>
      <c r="BL10" s="37">
        <f t="shared" ca="1" si="51"/>
        <v>8.8910879141696686</v>
      </c>
      <c r="BM10" s="37">
        <f t="shared" ca="1" si="52"/>
        <v>0.43289035644945384</v>
      </c>
      <c r="BN10" s="37">
        <f t="shared" ca="1" si="53"/>
        <v>1.3184666184788789</v>
      </c>
      <c r="BO10" s="37">
        <f t="shared" ca="1" si="54"/>
        <v>0.49808738920313211</v>
      </c>
      <c r="BP10" s="37">
        <f t="shared" ca="1" si="55"/>
        <v>1.3190684368669896</v>
      </c>
      <c r="BQ10" s="37">
        <f t="shared" ca="1" si="56"/>
        <v>13.105711507576881</v>
      </c>
      <c r="BR10" s="37">
        <f t="shared" ca="1" si="57"/>
        <v>1.1238499638591593</v>
      </c>
      <c r="BS10" s="37">
        <f t="shared" ca="1" si="58"/>
        <v>2.0802473313777865</v>
      </c>
      <c r="BT10" s="37">
        <f t="shared" ca="1" si="59"/>
        <v>1.7872547494935915</v>
      </c>
      <c r="BU10" s="37">
        <f t="shared" ca="1" si="60"/>
        <v>2.728957979223182</v>
      </c>
      <c r="BV10" s="37">
        <f t="shared" ca="1" si="61"/>
        <v>9.1355090196588709</v>
      </c>
      <c r="BW10" s="37">
        <f t="shared" ca="1" si="62"/>
        <v>1.2320725529715224</v>
      </c>
      <c r="BX10" s="37">
        <f t="shared" ca="1" si="63"/>
        <v>1.755874706124583</v>
      </c>
      <c r="BY10" s="37">
        <f t="shared" ca="1" si="64"/>
        <v>4.6828283790416432</v>
      </c>
      <c r="BZ10" s="37">
        <f t="shared" ca="1" si="65"/>
        <v>9.3737411800400974</v>
      </c>
      <c r="CA10" s="37">
        <f t="shared" ca="1" si="98"/>
        <v>4.6828283790416432</v>
      </c>
      <c r="CB10" s="37">
        <f t="shared" ca="1" si="66"/>
        <v>5.7167594628463423</v>
      </c>
      <c r="CC10" s="37">
        <f t="shared" ca="1" si="67"/>
        <v>11.396671114986583</v>
      </c>
      <c r="CD10" s="37">
        <f t="shared" ca="1" si="99"/>
        <v>5.7167594628463423</v>
      </c>
      <c r="CE10" s="37">
        <f t="shared" ca="1" si="68"/>
        <v>1.081203636776221</v>
      </c>
    </row>
    <row r="11" spans="1:83" x14ac:dyDescent="0.25">
      <c r="A11" t="str">
        <f>PLANTILLA!D12</f>
        <v>Valeri Gomis</v>
      </c>
      <c r="B11">
        <f>PLANTILLA!E12</f>
        <v>19</v>
      </c>
      <c r="C11" s="33">
        <f ca="1">PLANTILLA!F12</f>
        <v>62</v>
      </c>
      <c r="D11" s="229" t="str">
        <f>PLANTILLA!G12</f>
        <v>IMP</v>
      </c>
      <c r="E11" s="30">
        <f>PLANTILLA!M12</f>
        <v>43051</v>
      </c>
      <c r="F11" s="47">
        <f>PLANTILLA!Q12</f>
        <v>6</v>
      </c>
      <c r="G11" s="48">
        <f t="shared" si="81"/>
        <v>0.92582009977255142</v>
      </c>
      <c r="H11" s="48">
        <f t="shared" si="82"/>
        <v>0.99928545900129484</v>
      </c>
      <c r="I11" s="51">
        <f t="shared" ca="1" si="83"/>
        <v>0.89807996250201427</v>
      </c>
      <c r="J11" s="39">
        <f>PLANTILLA!I12</f>
        <v>2.7</v>
      </c>
      <c r="K11" s="46">
        <f>PLANTILLA!X12</f>
        <v>0</v>
      </c>
      <c r="L11" s="46">
        <f>PLANTILLA!Y12</f>
        <v>6</v>
      </c>
      <c r="M11" s="46">
        <f>PLANTILLA!Z12</f>
        <v>3</v>
      </c>
      <c r="N11" s="46">
        <f>PLANTILLA!AA12</f>
        <v>9.9</v>
      </c>
      <c r="O11" s="46">
        <f>PLANTILLA!AB12</f>
        <v>6.0000000000000009</v>
      </c>
      <c r="P11" s="46">
        <f>PLANTILLA!AC12</f>
        <v>7.25</v>
      </c>
      <c r="Q11" s="46">
        <f>PLANTILLA!AD12</f>
        <v>3</v>
      </c>
      <c r="R11" s="46">
        <f t="shared" si="84"/>
        <v>2.625</v>
      </c>
      <c r="S11" s="46">
        <f t="shared" si="85"/>
        <v>0.45250000000000001</v>
      </c>
      <c r="T11" s="46">
        <f t="shared" si="86"/>
        <v>0.33</v>
      </c>
      <c r="U11" s="46">
        <f t="shared" ca="1" si="87"/>
        <v>4.1414077707009147</v>
      </c>
      <c r="V11" s="46">
        <f t="shared" ca="1" si="88"/>
        <v>4.4700353406380957</v>
      </c>
      <c r="W11" s="37">
        <f t="shared" ca="1" si="89"/>
        <v>2.9421312287453198</v>
      </c>
      <c r="X11" s="37">
        <f t="shared" ca="1" si="90"/>
        <v>4.451942057629104</v>
      </c>
      <c r="Y11" s="37">
        <f t="shared" ca="1" si="91"/>
        <v>2.9421312287453198</v>
      </c>
      <c r="Z11" s="37">
        <f t="shared" ca="1" si="19"/>
        <v>3.8561875303924227</v>
      </c>
      <c r="AA11" s="37">
        <f t="shared" ca="1" si="20"/>
        <v>7.4732316480473306</v>
      </c>
      <c r="AB11" s="37">
        <f t="shared" ca="1" si="92"/>
        <v>1.9280937651962113</v>
      </c>
      <c r="AC11" s="37">
        <f t="shared" ca="1" si="21"/>
        <v>1.0646291322352646</v>
      </c>
      <c r="AD11" s="37">
        <f t="shared" ca="1" si="22"/>
        <v>2.8248815629618909</v>
      </c>
      <c r="AE11" s="37">
        <f t="shared" ca="1" si="23"/>
        <v>5.4031464815382195</v>
      </c>
      <c r="AF11" s="37">
        <f t="shared" ca="1" si="93"/>
        <v>1.4124407814809454</v>
      </c>
      <c r="AG11" s="37">
        <f t="shared" ca="1" si="24"/>
        <v>1.7221941844982223</v>
      </c>
      <c r="AH11" s="37">
        <f t="shared" ca="1" si="25"/>
        <v>6.8753731162035443</v>
      </c>
      <c r="AI11" s="37">
        <f t="shared" ca="1" si="26"/>
        <v>3.0939179022915946</v>
      </c>
      <c r="AJ11" s="37">
        <f t="shared" ca="1" si="27"/>
        <v>0.74702968522390423</v>
      </c>
      <c r="AK11" s="37">
        <f t="shared" ca="1" si="28"/>
        <v>6.6874602090518307</v>
      </c>
      <c r="AL11" s="37">
        <f t="shared" ca="1" si="29"/>
        <v>5.6348166626276877</v>
      </c>
      <c r="AM11" s="37">
        <f t="shared" ca="1" si="30"/>
        <v>5.2910480068175101</v>
      </c>
      <c r="AN11" s="37">
        <f t="shared" ca="1" si="31"/>
        <v>0.74702968522390423</v>
      </c>
      <c r="AO11" s="37">
        <f t="shared" ca="1" si="32"/>
        <v>1.1802907146376311</v>
      </c>
      <c r="AP11" s="37">
        <f t="shared" ca="1" si="33"/>
        <v>2.0177725449727792</v>
      </c>
      <c r="AQ11" s="37">
        <f t="shared" ca="1" si="34"/>
        <v>4.4390995989401141</v>
      </c>
      <c r="AR11" s="37">
        <f t="shared" ca="1" si="94"/>
        <v>1.0088862724863896</v>
      </c>
      <c r="AS11" s="37">
        <f t="shared" ca="1" si="35"/>
        <v>4.2227306757566803</v>
      </c>
      <c r="AT11" s="37">
        <f t="shared" ca="1" si="36"/>
        <v>0.97152011424615314</v>
      </c>
      <c r="AU11" s="37">
        <f t="shared" ca="1" si="37"/>
        <v>2.4059068728778681</v>
      </c>
      <c r="AV11" s="37">
        <f t="shared" ca="1" si="95"/>
        <v>0.48576005712307657</v>
      </c>
      <c r="AW11" s="37">
        <f t="shared" ca="1" si="38"/>
        <v>1.4124407814809454</v>
      </c>
      <c r="AX11" s="37">
        <f t="shared" ca="1" si="39"/>
        <v>2.9892926592189326</v>
      </c>
      <c r="AY11" s="37">
        <f t="shared" ca="1" si="96"/>
        <v>0.70622039074047271</v>
      </c>
      <c r="AZ11" s="37">
        <f t="shared" ca="1" si="40"/>
        <v>4.4732316480473306</v>
      </c>
      <c r="BA11" s="37">
        <f t="shared" ca="1" si="41"/>
        <v>1.8907276069559749</v>
      </c>
      <c r="BB11" s="37">
        <f t="shared" ca="1" si="42"/>
        <v>4.3802506380740791</v>
      </c>
      <c r="BC11" s="37">
        <f t="shared" ca="1" si="97"/>
        <v>0.94536380347798743</v>
      </c>
      <c r="BD11" s="37">
        <f t="shared" ca="1" si="43"/>
        <v>2.1747104095817731</v>
      </c>
      <c r="BE11" s="37">
        <f t="shared" ca="1" si="44"/>
        <v>2.6006846135204711</v>
      </c>
      <c r="BF11" s="37">
        <f t="shared" ca="1" si="45"/>
        <v>3.9409170819296984</v>
      </c>
      <c r="BG11" s="37">
        <f t="shared" ca="1" si="46"/>
        <v>8.8823029351140779</v>
      </c>
      <c r="BH11" s="37">
        <f t="shared" ca="1" si="47"/>
        <v>1.8010488271794067</v>
      </c>
      <c r="BI11" s="37">
        <f t="shared" ca="1" si="48"/>
        <v>3.6245173493029554</v>
      </c>
      <c r="BJ11" s="37">
        <f t="shared" ca="1" si="49"/>
        <v>1.9729331550844953</v>
      </c>
      <c r="BK11" s="37">
        <f t="shared" ca="1" si="50"/>
        <v>1.704301257906033</v>
      </c>
      <c r="BL11" s="37">
        <f t="shared" ca="1" si="51"/>
        <v>9.1563044603933683</v>
      </c>
      <c r="BM11" s="37">
        <f t="shared" ca="1" si="52"/>
        <v>0.38860804569846125</v>
      </c>
      <c r="BN11" s="37">
        <f t="shared" ca="1" si="53"/>
        <v>1.3451816966485195</v>
      </c>
      <c r="BO11" s="37">
        <f t="shared" ca="1" si="54"/>
        <v>0.50817975206721855</v>
      </c>
      <c r="BP11" s="37">
        <f t="shared" ca="1" si="55"/>
        <v>1.3643356526544359</v>
      </c>
      <c r="BQ11" s="37">
        <f t="shared" ca="1" si="56"/>
        <v>13.510575899388868</v>
      </c>
      <c r="BR11" s="37">
        <f t="shared" ca="1" si="57"/>
        <v>1.0088862724863898</v>
      </c>
      <c r="BS11" s="37">
        <f t="shared" ca="1" si="58"/>
        <v>2.1223977880454417</v>
      </c>
      <c r="BT11" s="37">
        <f t="shared" ca="1" si="59"/>
        <v>1.8234685221235487</v>
      </c>
      <c r="BU11" s="37">
        <f t="shared" ca="1" si="60"/>
        <v>2.8226091699178655</v>
      </c>
      <c r="BV11" s="37">
        <f t="shared" ca="1" si="61"/>
        <v>9.426342325002361</v>
      </c>
      <c r="BW11" s="37">
        <f t="shared" ca="1" si="62"/>
        <v>1.106038283911005</v>
      </c>
      <c r="BX11" s="37">
        <f t="shared" ca="1" si="63"/>
        <v>1.8161320491072164</v>
      </c>
      <c r="BY11" s="37">
        <f t="shared" ca="1" si="64"/>
        <v>4.6139036886326599</v>
      </c>
      <c r="BZ11" s="37">
        <f t="shared" ca="1" si="65"/>
        <v>9.1436088357012952</v>
      </c>
      <c r="CA11" s="37">
        <f t="shared" ca="1" si="98"/>
        <v>4.6139036886326599</v>
      </c>
      <c r="CB11" s="37">
        <f t="shared" ca="1" si="66"/>
        <v>5.8427233167334878</v>
      </c>
      <c r="CC11" s="37">
        <f t="shared" ca="1" si="67"/>
        <v>11.480854126176798</v>
      </c>
      <c r="CD11" s="37">
        <f t="shared" ca="1" si="99"/>
        <v>5.8427233167334878</v>
      </c>
      <c r="CE11" s="37">
        <f t="shared" ca="1" si="68"/>
        <v>1.1183079120118327</v>
      </c>
    </row>
    <row r="12" spans="1:83" x14ac:dyDescent="0.25">
      <c r="A12" t="str">
        <f>PLANTILLA!D13</f>
        <v>Raul Riquelme</v>
      </c>
      <c r="B12">
        <f>PLANTILLA!E13</f>
        <v>19</v>
      </c>
      <c r="C12" s="33">
        <f ca="1">PLANTILLA!F13</f>
        <v>37</v>
      </c>
      <c r="D12" s="229" t="str">
        <f>PLANTILLA!G13</f>
        <v>RAP</v>
      </c>
      <c r="E12" s="30">
        <f>PLANTILLA!M13</f>
        <v>43097</v>
      </c>
      <c r="F12" s="47">
        <f>PLANTILLA!Q13</f>
        <v>6</v>
      </c>
      <c r="G12" s="48">
        <f t="shared" si="81"/>
        <v>0.92582009977255142</v>
      </c>
      <c r="H12" s="48">
        <f t="shared" si="82"/>
        <v>0.99928545900129484</v>
      </c>
      <c r="I12" s="51">
        <f t="shared" ca="1" si="83"/>
        <v>0.81831708838497141</v>
      </c>
      <c r="J12" s="39">
        <f>PLANTILLA!I13</f>
        <v>2.2999999999999998</v>
      </c>
      <c r="K12" s="46">
        <f>PLANTILLA!X13</f>
        <v>0</v>
      </c>
      <c r="L12" s="46">
        <f>PLANTILLA!Y13</f>
        <v>6</v>
      </c>
      <c r="M12" s="46">
        <f>PLANTILLA!Z13</f>
        <v>3</v>
      </c>
      <c r="N12" s="46">
        <f>PLANTILLA!AA13</f>
        <v>8</v>
      </c>
      <c r="O12" s="46">
        <f>PLANTILLA!AB13</f>
        <v>3.33</v>
      </c>
      <c r="P12" s="46">
        <f>PLANTILLA!AC13</f>
        <v>6.3488235294117636</v>
      </c>
      <c r="Q12" s="46">
        <f>PLANTILLA!AD13</f>
        <v>4</v>
      </c>
      <c r="R12" s="46">
        <f t="shared" si="84"/>
        <v>1.9575</v>
      </c>
      <c r="S12" s="46">
        <f t="shared" si="85"/>
        <v>0.43744117647058822</v>
      </c>
      <c r="T12" s="46">
        <f t="shared" si="86"/>
        <v>0.36000000000000004</v>
      </c>
      <c r="U12" s="46">
        <f t="shared" ca="1" si="87"/>
        <v>4.9074213424807871</v>
      </c>
      <c r="V12" s="46">
        <f t="shared" ca="1" si="88"/>
        <v>5.2968333588117398</v>
      </c>
      <c r="W12" s="37">
        <f t="shared" ca="1" si="89"/>
        <v>2.7914420192845584</v>
      </c>
      <c r="X12" s="37">
        <f t="shared" ca="1" si="90"/>
        <v>4.2291015428366148</v>
      </c>
      <c r="Y12" s="37">
        <f t="shared" ca="1" si="91"/>
        <v>2.7914420192845584</v>
      </c>
      <c r="Z12" s="37">
        <f t="shared" ca="1" si="19"/>
        <v>3.7671203687867494</v>
      </c>
      <c r="AA12" s="37">
        <f t="shared" ca="1" si="20"/>
        <v>7.3006208697417625</v>
      </c>
      <c r="AB12" s="37">
        <f t="shared" ca="1" si="92"/>
        <v>1.8835601843933747</v>
      </c>
      <c r="AC12" s="37">
        <f t="shared" ca="1" si="21"/>
        <v>1.0235477669985391</v>
      </c>
      <c r="AD12" s="37">
        <f t="shared" ca="1" si="22"/>
        <v>2.7596346887623864</v>
      </c>
      <c r="AE12" s="37">
        <f t="shared" ca="1" si="23"/>
        <v>5.2783488888232943</v>
      </c>
      <c r="AF12" s="37">
        <f t="shared" ca="1" si="93"/>
        <v>1.3798173443811932</v>
      </c>
      <c r="AG12" s="37">
        <f t="shared" ca="1" si="24"/>
        <v>1.6557390348505783</v>
      </c>
      <c r="AH12" s="37">
        <f t="shared" ca="1" si="25"/>
        <v>6.7165712001624218</v>
      </c>
      <c r="AI12" s="37">
        <f t="shared" ca="1" si="26"/>
        <v>3.0224570400730895</v>
      </c>
      <c r="AJ12" s="37">
        <f t="shared" ca="1" si="27"/>
        <v>0.71820368524687428</v>
      </c>
      <c r="AK12" s="37">
        <f t="shared" ca="1" si="28"/>
        <v>5.4687650714081553</v>
      </c>
      <c r="AL12" s="37">
        <f t="shared" ca="1" si="29"/>
        <v>5.5046681357852894</v>
      </c>
      <c r="AM12" s="37">
        <f t="shared" ca="1" si="30"/>
        <v>5.1688395757771675</v>
      </c>
      <c r="AN12" s="37">
        <f t="shared" ca="1" si="31"/>
        <v>0.88520368524687443</v>
      </c>
      <c r="AO12" s="37">
        <f t="shared" ca="1" si="32"/>
        <v>0.93833881048562728</v>
      </c>
      <c r="AP12" s="37">
        <f t="shared" ca="1" si="33"/>
        <v>1.971167634830276</v>
      </c>
      <c r="AQ12" s="37">
        <f t="shared" ca="1" si="34"/>
        <v>4.3365687966266071</v>
      </c>
      <c r="AR12" s="37">
        <f t="shared" ca="1" si="94"/>
        <v>0.98558381741513801</v>
      </c>
      <c r="AS12" s="37">
        <f t="shared" ca="1" si="35"/>
        <v>4.0597861010362228</v>
      </c>
      <c r="AT12" s="37">
        <f t="shared" ca="1" si="36"/>
        <v>0.6019807130664292</v>
      </c>
      <c r="AU12" s="37">
        <f t="shared" ca="1" si="37"/>
        <v>1.8790283854225713</v>
      </c>
      <c r="AV12" s="37">
        <f t="shared" ca="1" si="95"/>
        <v>0.3009903565332146</v>
      </c>
      <c r="AW12" s="37">
        <f t="shared" ca="1" si="38"/>
        <v>1.3798173443811932</v>
      </c>
      <c r="AX12" s="37">
        <f t="shared" ca="1" si="39"/>
        <v>2.9202483478967052</v>
      </c>
      <c r="AY12" s="37">
        <f t="shared" ca="1" si="96"/>
        <v>0.68990867219059659</v>
      </c>
      <c r="AZ12" s="37">
        <f t="shared" ca="1" si="40"/>
        <v>4.3006208697417616</v>
      </c>
      <c r="BA12" s="37">
        <f t="shared" ca="1" si="41"/>
        <v>1.1715470800446659</v>
      </c>
      <c r="BB12" s="37">
        <f t="shared" ca="1" si="42"/>
        <v>3.1854250404041817</v>
      </c>
      <c r="BC12" s="37">
        <f t="shared" ca="1" si="97"/>
        <v>0.58577354002233295</v>
      </c>
      <c r="BD12" s="37">
        <f t="shared" ca="1" si="43"/>
        <v>2.1244806730948529</v>
      </c>
      <c r="BE12" s="37">
        <f t="shared" ca="1" si="44"/>
        <v>2.5406160626701331</v>
      </c>
      <c r="BF12" s="37">
        <f t="shared" ca="1" si="45"/>
        <v>3.7888469862424921</v>
      </c>
      <c r="BG12" s="37">
        <f t="shared" ca="1" si="46"/>
        <v>6.7972019532004264</v>
      </c>
      <c r="BH12" s="37">
        <f t="shared" ca="1" si="47"/>
        <v>1.1159796296077646</v>
      </c>
      <c r="BI12" s="37">
        <f t="shared" ca="1" si="48"/>
        <v>3.5408011218247548</v>
      </c>
      <c r="BJ12" s="37">
        <f t="shared" ca="1" si="49"/>
        <v>1.9273639096118254</v>
      </c>
      <c r="BK12" s="37">
        <f t="shared" ca="1" si="50"/>
        <v>1.6385365513716112</v>
      </c>
      <c r="BL12" s="37">
        <f t="shared" ca="1" si="51"/>
        <v>7.1900726401543</v>
      </c>
      <c r="BM12" s="37">
        <f t="shared" ca="1" si="52"/>
        <v>0.24079228522657165</v>
      </c>
      <c r="BN12" s="37">
        <f t="shared" ca="1" si="53"/>
        <v>1.3141117565535172</v>
      </c>
      <c r="BO12" s="37">
        <f t="shared" ca="1" si="54"/>
        <v>0.49644221914243991</v>
      </c>
      <c r="BP12" s="37">
        <f t="shared" ca="1" si="55"/>
        <v>1.3116893652712374</v>
      </c>
      <c r="BQ12" s="37">
        <f t="shared" ca="1" si="56"/>
        <v>10.624978438487906</v>
      </c>
      <c r="BR12" s="37">
        <f t="shared" ca="1" si="57"/>
        <v>0.62513381741513796</v>
      </c>
      <c r="BS12" s="37">
        <f t="shared" ca="1" si="58"/>
        <v>2.0733763270066605</v>
      </c>
      <c r="BT12" s="37">
        <f t="shared" ca="1" si="59"/>
        <v>1.78135149221699</v>
      </c>
      <c r="BU12" s="37">
        <f t="shared" ca="1" si="60"/>
        <v>2.7136917688070517</v>
      </c>
      <c r="BV12" s="37">
        <f t="shared" ca="1" si="61"/>
        <v>7.4227456784188766</v>
      </c>
      <c r="BW12" s="37">
        <f t="shared" ca="1" si="62"/>
        <v>0.68533188872178086</v>
      </c>
      <c r="BX12" s="37">
        <f t="shared" ca="1" si="63"/>
        <v>1.7460520731151554</v>
      </c>
      <c r="BY12" s="37">
        <f t="shared" ca="1" si="64"/>
        <v>3.4684240613707518</v>
      </c>
      <c r="BZ12" s="37">
        <f t="shared" ca="1" si="65"/>
        <v>6.9740532169762819</v>
      </c>
      <c r="CA12" s="37">
        <f t="shared" ca="1" si="98"/>
        <v>3.4684240613707518</v>
      </c>
      <c r="CB12" s="37">
        <f t="shared" ca="1" si="66"/>
        <v>4.7018409194961768</v>
      </c>
      <c r="CC12" s="37">
        <f t="shared" ca="1" si="67"/>
        <v>9.3581435000882358</v>
      </c>
      <c r="CD12" s="37">
        <f t="shared" ca="1" si="99"/>
        <v>4.7018409194961768</v>
      </c>
      <c r="CE12" s="37">
        <f t="shared" ca="1" si="68"/>
        <v>1.0751552174354404</v>
      </c>
    </row>
    <row r="13" spans="1:83" x14ac:dyDescent="0.25">
      <c r="A13" t="str">
        <f>PLANTILLA!D14</f>
        <v>Roberto Montero</v>
      </c>
      <c r="B13">
        <f>PLANTILLA!E14</f>
        <v>19</v>
      </c>
      <c r="C13" s="33">
        <f ca="1">PLANTILLA!F14</f>
        <v>106</v>
      </c>
      <c r="D13" s="229" t="str">
        <f>PLANTILLA!G14</f>
        <v>TEC</v>
      </c>
      <c r="E13" s="30">
        <f>PLANTILLA!M14</f>
        <v>43046</v>
      </c>
      <c r="F13" s="47">
        <f>PLANTILLA!Q14</f>
        <v>5</v>
      </c>
      <c r="G13" s="48">
        <f t="shared" si="81"/>
        <v>0.84515425472851657</v>
      </c>
      <c r="H13" s="48">
        <f t="shared" si="82"/>
        <v>0.92504826128926143</v>
      </c>
      <c r="I13" s="51">
        <f t="shared" ca="1" si="83"/>
        <v>0.90632696717496575</v>
      </c>
      <c r="J13" s="39">
        <f>PLANTILLA!I14</f>
        <v>1.2</v>
      </c>
      <c r="K13" s="46">
        <f>PLANTILLA!X14</f>
        <v>0</v>
      </c>
      <c r="L13" s="46">
        <f>PLANTILLA!Y14</f>
        <v>6</v>
      </c>
      <c r="M13" s="46">
        <f>PLANTILLA!Z14</f>
        <v>4</v>
      </c>
      <c r="N13" s="46">
        <f>PLANTILLA!AA14</f>
        <v>5</v>
      </c>
      <c r="O13" s="46">
        <f>PLANTILLA!AB14</f>
        <v>3.5528</v>
      </c>
      <c r="P13" s="46">
        <f>PLANTILLA!AC14</f>
        <v>4.4666666666666659</v>
      </c>
      <c r="Q13" s="46">
        <f>PLANTILLA!AD14</f>
        <v>6</v>
      </c>
      <c r="R13" s="46">
        <f t="shared" si="84"/>
        <v>2.0131999999999999</v>
      </c>
      <c r="S13" s="46">
        <f t="shared" si="85"/>
        <v>0.40333333333333332</v>
      </c>
      <c r="T13" s="46">
        <f t="shared" si="86"/>
        <v>0.42000000000000004</v>
      </c>
      <c r="U13" s="46">
        <f t="shared" ca="1" si="87"/>
        <v>5.9261387768433558</v>
      </c>
      <c r="V13" s="46">
        <f t="shared" ca="1" si="88"/>
        <v>6.4863477181911033</v>
      </c>
      <c r="W13" s="37">
        <f t="shared" ca="1" si="89"/>
        <v>2.5393904127431806</v>
      </c>
      <c r="X13" s="37">
        <f t="shared" ca="1" si="90"/>
        <v>3.8563654328195258</v>
      </c>
      <c r="Y13" s="37">
        <f t="shared" ca="1" si="91"/>
        <v>2.5393904127431806</v>
      </c>
      <c r="Z13" s="37">
        <f t="shared" ca="1" si="19"/>
        <v>3.6181414123430482</v>
      </c>
      <c r="AA13" s="37">
        <f t="shared" ca="1" si="20"/>
        <v>7.0119019619051324</v>
      </c>
      <c r="AB13" s="37">
        <f t="shared" ca="1" si="92"/>
        <v>1.8090707061715241</v>
      </c>
      <c r="AC13" s="37">
        <f t="shared" ca="1" si="21"/>
        <v>1.1928326669334215</v>
      </c>
      <c r="AD13" s="37">
        <f t="shared" ca="1" si="22"/>
        <v>2.6504989416001399</v>
      </c>
      <c r="AE13" s="37">
        <f t="shared" ca="1" si="23"/>
        <v>5.0696051184574102</v>
      </c>
      <c r="AF13" s="37">
        <f t="shared" ca="1" si="93"/>
        <v>1.3252494708000699</v>
      </c>
      <c r="AG13" s="37">
        <f t="shared" ca="1" si="24"/>
        <v>1.929582255333476</v>
      </c>
      <c r="AH13" s="37">
        <f t="shared" ca="1" si="25"/>
        <v>6.4509498049527219</v>
      </c>
      <c r="AI13" s="37">
        <f t="shared" ca="1" si="26"/>
        <v>2.9029274122287245</v>
      </c>
      <c r="AJ13" s="37">
        <f t="shared" ca="1" si="27"/>
        <v>0.83698762763815715</v>
      </c>
      <c r="AK13" s="37">
        <f t="shared" ca="1" si="28"/>
        <v>3.5349983536002179</v>
      </c>
      <c r="AL13" s="37">
        <f t="shared" ca="1" si="29"/>
        <v>5.2869740792764697</v>
      </c>
      <c r="AM13" s="37">
        <f t="shared" ca="1" si="30"/>
        <v>4.9644265890288333</v>
      </c>
      <c r="AN13" s="37">
        <f t="shared" ca="1" si="31"/>
        <v>1.1709876276381572</v>
      </c>
      <c r="AO13" s="37">
        <f t="shared" ca="1" si="32"/>
        <v>0.87122936502867798</v>
      </c>
      <c r="AP13" s="37">
        <f t="shared" ca="1" si="33"/>
        <v>1.8932135297143859</v>
      </c>
      <c r="AQ13" s="37">
        <f t="shared" ca="1" si="34"/>
        <v>4.1650697653716486</v>
      </c>
      <c r="AR13" s="37">
        <f t="shared" ca="1" si="94"/>
        <v>0.94660676485719297</v>
      </c>
      <c r="AS13" s="37">
        <f t="shared" ca="1" si="35"/>
        <v>4.7312354520384448</v>
      </c>
      <c r="AT13" s="37">
        <f t="shared" ca="1" si="36"/>
        <v>0.59341125504766712</v>
      </c>
      <c r="AU13" s="37">
        <f t="shared" ca="1" si="37"/>
        <v>1.4955566081715368</v>
      </c>
      <c r="AV13" s="37">
        <f t="shared" ca="1" si="95"/>
        <v>0.29670562752383356</v>
      </c>
      <c r="AW13" s="37">
        <f t="shared" ca="1" si="38"/>
        <v>1.3252494708000699</v>
      </c>
      <c r="AX13" s="37">
        <f t="shared" ca="1" si="39"/>
        <v>2.804760784762053</v>
      </c>
      <c r="AY13" s="37">
        <f t="shared" ca="1" si="96"/>
        <v>0.66262473540003497</v>
      </c>
      <c r="AZ13" s="37">
        <f t="shared" ca="1" si="40"/>
        <v>5.0119019619051324</v>
      </c>
      <c r="BA13" s="37">
        <f t="shared" ca="1" si="41"/>
        <v>1.1548695963619984</v>
      </c>
      <c r="BB13" s="37">
        <f t="shared" ca="1" si="42"/>
        <v>2.7070627810097276</v>
      </c>
      <c r="BC13" s="37">
        <f t="shared" ca="1" si="97"/>
        <v>0.57743479818099919</v>
      </c>
      <c r="BD13" s="37">
        <f t="shared" ca="1" si="43"/>
        <v>2.0404634709143932</v>
      </c>
      <c r="BE13" s="37">
        <f t="shared" ca="1" si="44"/>
        <v>2.4401418827429859</v>
      </c>
      <c r="BF13" s="37">
        <f t="shared" ca="1" si="45"/>
        <v>4.4154856284384216</v>
      </c>
      <c r="BG13" s="37">
        <f t="shared" ca="1" si="46"/>
        <v>4.8887128441336625</v>
      </c>
      <c r="BH13" s="37">
        <f t="shared" ca="1" si="47"/>
        <v>1.1000931728191368</v>
      </c>
      <c r="BI13" s="37">
        <f t="shared" ca="1" si="48"/>
        <v>3.4007724515239892</v>
      </c>
      <c r="BJ13" s="37">
        <f t="shared" ca="1" si="49"/>
        <v>1.851142117942955</v>
      </c>
      <c r="BK13" s="37">
        <f t="shared" ca="1" si="50"/>
        <v>1.9095346474858554</v>
      </c>
      <c r="BL13" s="37">
        <f t="shared" ca="1" si="51"/>
        <v>4.9635151147050864</v>
      </c>
      <c r="BM13" s="37">
        <f t="shared" ca="1" si="52"/>
        <v>0.23736450201906684</v>
      </c>
      <c r="BN13" s="37">
        <f t="shared" ca="1" si="53"/>
        <v>1.2621423531429239</v>
      </c>
      <c r="BO13" s="37">
        <f t="shared" ca="1" si="54"/>
        <v>0.47680933340954906</v>
      </c>
      <c r="BP13" s="37">
        <f t="shared" ca="1" si="55"/>
        <v>1.5286300983810654</v>
      </c>
      <c r="BQ13" s="37">
        <f t="shared" ca="1" si="56"/>
        <v>7.3174067230100004</v>
      </c>
      <c r="BR13" s="37">
        <f t="shared" ca="1" si="57"/>
        <v>0.61623476485719286</v>
      </c>
      <c r="BS13" s="37">
        <f t="shared" ca="1" si="58"/>
        <v>1.9913801571810574</v>
      </c>
      <c r="BT13" s="37">
        <f t="shared" ca="1" si="59"/>
        <v>1.7109040787048522</v>
      </c>
      <c r="BU13" s="37">
        <f t="shared" ca="1" si="60"/>
        <v>3.1625101379621388</v>
      </c>
      <c r="BV13" s="37">
        <f t="shared" ca="1" si="61"/>
        <v>5.1013426559050936</v>
      </c>
      <c r="BW13" s="37">
        <f t="shared" ca="1" si="62"/>
        <v>0.67557589036195953</v>
      </c>
      <c r="BX13" s="37">
        <f t="shared" ca="1" si="63"/>
        <v>2.0348321965334839</v>
      </c>
      <c r="BY13" s="37">
        <f t="shared" ca="1" si="64"/>
        <v>3.0765269457716511</v>
      </c>
      <c r="BZ13" s="37">
        <f t="shared" ca="1" si="65"/>
        <v>5.6726386757718448</v>
      </c>
      <c r="CA13" s="37">
        <f t="shared" ca="1" si="98"/>
        <v>3.0765269457716511</v>
      </c>
      <c r="CB13" s="37">
        <f t="shared" ca="1" si="66"/>
        <v>3.401245855600231</v>
      </c>
      <c r="CC13" s="37">
        <f t="shared" ca="1" si="67"/>
        <v>7.1629436525147918</v>
      </c>
      <c r="CD13" s="37">
        <f t="shared" ca="1" si="99"/>
        <v>3.401245855600231</v>
      </c>
      <c r="CE13" s="37">
        <f t="shared" ca="1" si="68"/>
        <v>1.2529754904762831</v>
      </c>
    </row>
    <row r="14" spans="1:83" x14ac:dyDescent="0.25">
      <c r="A14" t="str">
        <f>PLANTILLA!D15</f>
        <v>Eckardt Hägerling</v>
      </c>
      <c r="B14">
        <f>PLANTILLA!E15</f>
        <v>19</v>
      </c>
      <c r="C14" s="33">
        <f ca="1">PLANTILLA!F15</f>
        <v>58</v>
      </c>
      <c r="D14" s="229" t="str">
        <f>PLANTILLA!G15</f>
        <v>IMP</v>
      </c>
      <c r="E14" s="30">
        <f>PLANTILLA!M15</f>
        <v>43045</v>
      </c>
      <c r="F14" s="47">
        <f>PLANTILLA!Q15</f>
        <v>6</v>
      </c>
      <c r="G14" s="48">
        <f t="shared" si="81"/>
        <v>0.92582009977255142</v>
      </c>
      <c r="H14" s="48">
        <f t="shared" si="82"/>
        <v>0.99928545900129484</v>
      </c>
      <c r="I14" s="51">
        <f t="shared" ca="1" si="83"/>
        <v>0.90796737931754024</v>
      </c>
      <c r="J14" s="39">
        <f>PLANTILLA!I15</f>
        <v>1.5</v>
      </c>
      <c r="K14" s="46">
        <f>PLANTILLA!X15</f>
        <v>0</v>
      </c>
      <c r="L14" s="46">
        <f>PLANTILLA!Y15</f>
        <v>5</v>
      </c>
      <c r="M14" s="46">
        <f>PLANTILLA!Z15</f>
        <v>3</v>
      </c>
      <c r="N14" s="46">
        <f>PLANTILLA!AA15</f>
        <v>5.3</v>
      </c>
      <c r="O14" s="46">
        <f>PLANTILLA!AB15</f>
        <v>3</v>
      </c>
      <c r="P14" s="46">
        <f>PLANTILLA!AC15</f>
        <v>4.6633333333333322</v>
      </c>
      <c r="Q14" s="46">
        <f>PLANTILLA!AD15</f>
        <v>3</v>
      </c>
      <c r="R14" s="46">
        <f t="shared" si="84"/>
        <v>1.75</v>
      </c>
      <c r="S14" s="46">
        <f t="shared" si="85"/>
        <v>0.3231666666666666</v>
      </c>
      <c r="T14" s="46">
        <f t="shared" si="86"/>
        <v>0.28999999999999998</v>
      </c>
      <c r="U14" s="46">
        <f t="shared" ca="1" si="87"/>
        <v>3.8354465183983142</v>
      </c>
      <c r="V14" s="46">
        <f t="shared" ca="1" si="88"/>
        <v>4.139795555912178</v>
      </c>
      <c r="W14" s="37">
        <f t="shared" ca="1" si="89"/>
        <v>2.3776257476850255</v>
      </c>
      <c r="X14" s="37">
        <f t="shared" ca="1" si="90"/>
        <v>3.6002976406201235</v>
      </c>
      <c r="Y14" s="37">
        <f t="shared" ca="1" si="91"/>
        <v>2.3776257476850255</v>
      </c>
      <c r="Z14" s="37">
        <f t="shared" ca="1" si="19"/>
        <v>3.1696619539581592</v>
      </c>
      <c r="AA14" s="37">
        <f t="shared" ca="1" si="20"/>
        <v>6.1427557247251148</v>
      </c>
      <c r="AB14" s="37">
        <f t="shared" ca="1" si="92"/>
        <v>1.5848309769790796</v>
      </c>
      <c r="AC14" s="37">
        <f t="shared" ca="1" si="21"/>
        <v>0.98597586248457725</v>
      </c>
      <c r="AD14" s="37">
        <f t="shared" ca="1" si="22"/>
        <v>2.3219616639460936</v>
      </c>
      <c r="AE14" s="37">
        <f t="shared" ca="1" si="23"/>
        <v>4.4412123889762576</v>
      </c>
      <c r="AF14" s="37">
        <f t="shared" ca="1" si="93"/>
        <v>1.1609808319730468</v>
      </c>
      <c r="AG14" s="37">
        <f t="shared" ca="1" si="24"/>
        <v>1.5949609540191692</v>
      </c>
      <c r="AH14" s="37">
        <f t="shared" ca="1" si="25"/>
        <v>5.6513352667471057</v>
      </c>
      <c r="AI14" s="37">
        <f t="shared" ca="1" si="26"/>
        <v>2.5431008700361972</v>
      </c>
      <c r="AJ14" s="37">
        <f t="shared" ca="1" si="27"/>
        <v>0.69184020602909424</v>
      </c>
      <c r="AK14" s="37">
        <f t="shared" ca="1" si="28"/>
        <v>3.7883403661383679</v>
      </c>
      <c r="AL14" s="37">
        <f t="shared" ca="1" si="29"/>
        <v>4.631637816442737</v>
      </c>
      <c r="AM14" s="37">
        <f t="shared" ca="1" si="30"/>
        <v>4.3490710531053809</v>
      </c>
      <c r="AN14" s="37">
        <f t="shared" ca="1" si="31"/>
        <v>0.69184020602909424</v>
      </c>
      <c r="AO14" s="37">
        <f t="shared" ca="1" si="32"/>
        <v>0.83311364872083316</v>
      </c>
      <c r="AP14" s="37">
        <f t="shared" ca="1" si="33"/>
        <v>1.6585440456757812</v>
      </c>
      <c r="AQ14" s="37">
        <f t="shared" ca="1" si="34"/>
        <v>3.648796900486718</v>
      </c>
      <c r="AR14" s="37">
        <f t="shared" ca="1" si="94"/>
        <v>0.82927202283789059</v>
      </c>
      <c r="AS14" s="37">
        <f t="shared" ca="1" si="35"/>
        <v>3.9107614041405081</v>
      </c>
      <c r="AT14" s="37">
        <f t="shared" ca="1" si="36"/>
        <v>0.5385582442142649</v>
      </c>
      <c r="AU14" s="37">
        <f t="shared" ca="1" si="37"/>
        <v>1.5015840940111251</v>
      </c>
      <c r="AV14" s="37">
        <f t="shared" ca="1" si="95"/>
        <v>0.26927912210713245</v>
      </c>
      <c r="AW14" s="37">
        <f t="shared" ca="1" si="38"/>
        <v>1.1609808319730468</v>
      </c>
      <c r="AX14" s="37">
        <f t="shared" ca="1" si="39"/>
        <v>2.4571022898900461</v>
      </c>
      <c r="AY14" s="37">
        <f t="shared" ca="1" si="96"/>
        <v>0.5804904159865234</v>
      </c>
      <c r="AZ14" s="37">
        <f t="shared" ca="1" si="40"/>
        <v>4.1427557247251148</v>
      </c>
      <c r="BA14" s="37">
        <f t="shared" ca="1" si="41"/>
        <v>1.048117198355454</v>
      </c>
      <c r="BB14" s="37">
        <f t="shared" ca="1" si="42"/>
        <v>2.6319584043235382</v>
      </c>
      <c r="BC14" s="37">
        <f t="shared" ca="1" si="97"/>
        <v>0.52405859917772701</v>
      </c>
      <c r="BD14" s="37">
        <f t="shared" ca="1" si="43"/>
        <v>1.7875419158950083</v>
      </c>
      <c r="BE14" s="37">
        <f t="shared" ca="1" si="44"/>
        <v>2.1376789922043398</v>
      </c>
      <c r="BF14" s="37">
        <f t="shared" ca="1" si="45"/>
        <v>3.6497677934828263</v>
      </c>
      <c r="BG14" s="37">
        <f t="shared" ca="1" si="46"/>
        <v>5.0031098392806275</v>
      </c>
      <c r="BH14" s="37">
        <f t="shared" ca="1" si="47"/>
        <v>0.99840412965875258</v>
      </c>
      <c r="BI14" s="37">
        <f t="shared" ca="1" si="48"/>
        <v>2.9792365264916807</v>
      </c>
      <c r="BJ14" s="37">
        <f t="shared" ca="1" si="49"/>
        <v>1.6216875113274303</v>
      </c>
      <c r="BK14" s="37">
        <f t="shared" ca="1" si="50"/>
        <v>1.5783899311202687</v>
      </c>
      <c r="BL14" s="37">
        <f t="shared" ca="1" si="51"/>
        <v>5.1686685034097515</v>
      </c>
      <c r="BM14" s="37">
        <f t="shared" ca="1" si="52"/>
        <v>0.21542329768570595</v>
      </c>
      <c r="BN14" s="37">
        <f t="shared" ca="1" si="53"/>
        <v>1.1056960304505206</v>
      </c>
      <c r="BO14" s="37">
        <f t="shared" ca="1" si="54"/>
        <v>0.41770738928130785</v>
      </c>
      <c r="BP14" s="37">
        <f t="shared" ca="1" si="55"/>
        <v>1.26354049604116</v>
      </c>
      <c r="BQ14" s="37">
        <f t="shared" ca="1" si="56"/>
        <v>7.6275838619964986</v>
      </c>
      <c r="BR14" s="37">
        <f t="shared" ca="1" si="57"/>
        <v>0.55927202283789057</v>
      </c>
      <c r="BS14" s="37">
        <f t="shared" ca="1" si="58"/>
        <v>1.7445426258219325</v>
      </c>
      <c r="BT14" s="37">
        <f t="shared" ca="1" si="59"/>
        <v>1.498832396832928</v>
      </c>
      <c r="BU14" s="37">
        <f t="shared" ca="1" si="60"/>
        <v>2.6140788623015476</v>
      </c>
      <c r="BV14" s="37">
        <f t="shared" ca="1" si="61"/>
        <v>5.3223663736289772</v>
      </c>
      <c r="BW14" s="37">
        <f t="shared" ca="1" si="62"/>
        <v>0.6131278472593169</v>
      </c>
      <c r="BX14" s="37">
        <f t="shared" ca="1" si="63"/>
        <v>1.6819588242383967</v>
      </c>
      <c r="BY14" s="37">
        <f t="shared" ca="1" si="64"/>
        <v>2.7008190659151179</v>
      </c>
      <c r="BZ14" s="37">
        <f t="shared" ca="1" si="65"/>
        <v>5.6344662793738118</v>
      </c>
      <c r="CA14" s="37">
        <f t="shared" ca="1" si="98"/>
        <v>2.7008190659151179</v>
      </c>
      <c r="CB14" s="37">
        <f t="shared" ca="1" si="66"/>
        <v>3.521703483170413</v>
      </c>
      <c r="CC14" s="37">
        <f t="shared" ca="1" si="67"/>
        <v>7.3347659204820141</v>
      </c>
      <c r="CD14" s="37">
        <f t="shared" ca="1" si="99"/>
        <v>3.521703483170413</v>
      </c>
      <c r="CE14" s="37">
        <f t="shared" ca="1" si="68"/>
        <v>1.0356889311812787</v>
      </c>
    </row>
    <row r="15" spans="1:83" x14ac:dyDescent="0.25">
      <c r="A15" t="str">
        <f>PLANTILLA!D16</f>
        <v>Fernando Gazón</v>
      </c>
      <c r="B15">
        <f>PLANTILLA!E16</f>
        <v>19</v>
      </c>
      <c r="C15" s="33">
        <f ca="1">PLANTILLA!F16</f>
        <v>99</v>
      </c>
      <c r="D15" s="229" t="str">
        <f>PLANTILLA!G16</f>
        <v>IMP</v>
      </c>
      <c r="E15" s="30">
        <f>PLANTILLA!M16</f>
        <v>43045</v>
      </c>
      <c r="F15" s="47">
        <f>PLANTILLA!Q16</f>
        <v>6</v>
      </c>
      <c r="G15" s="48">
        <f t="shared" si="81"/>
        <v>0.92582009977255142</v>
      </c>
      <c r="H15" s="48">
        <f t="shared" si="82"/>
        <v>0.99928545900129484</v>
      </c>
      <c r="I15" s="51">
        <f t="shared" ca="1" si="83"/>
        <v>0.90796737931754024</v>
      </c>
      <c r="J15" s="39">
        <f>PLANTILLA!I16</f>
        <v>1.9</v>
      </c>
      <c r="K15" s="46">
        <f>PLANTILLA!X16</f>
        <v>0</v>
      </c>
      <c r="L15" s="46">
        <f>PLANTILLA!Y16</f>
        <v>3</v>
      </c>
      <c r="M15" s="46">
        <f>PLANTILLA!Z16</f>
        <v>6</v>
      </c>
      <c r="N15" s="46">
        <f>PLANTILLA!AA16</f>
        <v>5</v>
      </c>
      <c r="O15" s="46">
        <f>PLANTILLA!AB16</f>
        <v>4.25</v>
      </c>
      <c r="P15" s="46">
        <f>PLANTILLA!AC16</f>
        <v>5.6190261437908475</v>
      </c>
      <c r="Q15" s="46">
        <f>PLANTILLA!AD16</f>
        <v>3</v>
      </c>
      <c r="R15" s="46">
        <f t="shared" si="84"/>
        <v>1.8125</v>
      </c>
      <c r="S15" s="46">
        <f t="shared" si="85"/>
        <v>0.37095130718954239</v>
      </c>
      <c r="T15" s="46">
        <f t="shared" si="86"/>
        <v>0.21000000000000002</v>
      </c>
      <c r="U15" s="46">
        <f t="shared" ca="1" si="87"/>
        <v>3.9621756645557826</v>
      </c>
      <c r="V15" s="46">
        <f t="shared" ca="1" si="88"/>
        <v>4.2765808698386305</v>
      </c>
      <c r="W15" s="37">
        <f t="shared" ca="1" si="89"/>
        <v>1.9451247136533056</v>
      </c>
      <c r="X15" s="37">
        <f t="shared" ca="1" si="90"/>
        <v>2.9270137518057471</v>
      </c>
      <c r="Y15" s="37">
        <f t="shared" ca="1" si="91"/>
        <v>1.9451247136533056</v>
      </c>
      <c r="Z15" s="37">
        <f t="shared" ca="1" si="19"/>
        <v>2.2082936451833972</v>
      </c>
      <c r="AA15" s="37">
        <f t="shared" ca="1" si="20"/>
        <v>4.2796388472546454</v>
      </c>
      <c r="AB15" s="37">
        <f t="shared" ca="1" si="92"/>
        <v>1.1041468225916986</v>
      </c>
      <c r="AC15" s="37">
        <f t="shared" ca="1" si="21"/>
        <v>1.7325540456466055</v>
      </c>
      <c r="AD15" s="37">
        <f t="shared" ca="1" si="22"/>
        <v>1.617703484262256</v>
      </c>
      <c r="AE15" s="37">
        <f t="shared" ca="1" si="23"/>
        <v>3.0941788865651083</v>
      </c>
      <c r="AF15" s="37">
        <f t="shared" ca="1" si="93"/>
        <v>0.80885174213112798</v>
      </c>
      <c r="AG15" s="37">
        <f t="shared" ca="1" si="24"/>
        <v>2.8026609561930385</v>
      </c>
      <c r="AH15" s="37">
        <f t="shared" ca="1" si="25"/>
        <v>3.9372677394742741</v>
      </c>
      <c r="AI15" s="37">
        <f t="shared" ca="1" si="26"/>
        <v>1.7717704827634231</v>
      </c>
      <c r="AJ15" s="37">
        <f t="shared" ca="1" si="27"/>
        <v>1.2156996874915258</v>
      </c>
      <c r="AK15" s="37">
        <f t="shared" ca="1" si="28"/>
        <v>3.6924276421857312</v>
      </c>
      <c r="AL15" s="37">
        <f t="shared" ca="1" si="29"/>
        <v>3.2268476908300028</v>
      </c>
      <c r="AM15" s="37">
        <f t="shared" ca="1" si="30"/>
        <v>3.0299843038562888</v>
      </c>
      <c r="AN15" s="37">
        <f t="shared" ca="1" si="31"/>
        <v>0.71469968749152579</v>
      </c>
      <c r="AO15" s="37">
        <f t="shared" ca="1" si="32"/>
        <v>0.89053598800933775</v>
      </c>
      <c r="AP15" s="37">
        <f t="shared" ca="1" si="33"/>
        <v>1.1555024887587544</v>
      </c>
      <c r="AQ15" s="37">
        <f t="shared" ca="1" si="34"/>
        <v>2.5421054752692593</v>
      </c>
      <c r="AR15" s="37">
        <f t="shared" ca="1" si="94"/>
        <v>0.57775124437937719</v>
      </c>
      <c r="AS15" s="37">
        <f t="shared" ca="1" si="35"/>
        <v>6.8719790718083846</v>
      </c>
      <c r="AT15" s="37">
        <f t="shared" ca="1" si="36"/>
        <v>0.71885305014310397</v>
      </c>
      <c r="AU15" s="37">
        <f t="shared" ca="1" si="37"/>
        <v>1.8570257051214276</v>
      </c>
      <c r="AV15" s="37">
        <f t="shared" ca="1" si="95"/>
        <v>0.35942652507155198</v>
      </c>
      <c r="AW15" s="37">
        <f t="shared" ca="1" si="38"/>
        <v>0.80885174213112798</v>
      </c>
      <c r="AX15" s="37">
        <f t="shared" ca="1" si="39"/>
        <v>1.7118555389018582</v>
      </c>
      <c r="AY15" s="37">
        <f t="shared" ca="1" si="96"/>
        <v>0.40442587106556399</v>
      </c>
      <c r="AZ15" s="37">
        <f t="shared" ca="1" si="40"/>
        <v>7.2796388472546454</v>
      </c>
      <c r="BA15" s="37">
        <f t="shared" ca="1" si="41"/>
        <v>1.3989986283554252</v>
      </c>
      <c r="BB15" s="37">
        <f t="shared" ca="1" si="42"/>
        <v>3.3343264950333875</v>
      </c>
      <c r="BC15" s="37">
        <f t="shared" ca="1" si="97"/>
        <v>0.69949931417771261</v>
      </c>
      <c r="BD15" s="37">
        <f t="shared" ca="1" si="43"/>
        <v>1.2453749045511018</v>
      </c>
      <c r="BE15" s="37">
        <f t="shared" ca="1" si="44"/>
        <v>1.4893143188446165</v>
      </c>
      <c r="BF15" s="37">
        <f t="shared" ca="1" si="45"/>
        <v>6.4133618244313428</v>
      </c>
      <c r="BG15" s="37">
        <f t="shared" ca="1" si="46"/>
        <v>5.3463489352093791</v>
      </c>
      <c r="BH15" s="37">
        <f t="shared" ca="1" si="47"/>
        <v>1.3326429621883695</v>
      </c>
      <c r="BI15" s="37">
        <f t="shared" ca="1" si="48"/>
        <v>2.0756248409185027</v>
      </c>
      <c r="BJ15" s="37">
        <f t="shared" ca="1" si="49"/>
        <v>1.1298246556752265</v>
      </c>
      <c r="BK15" s="37">
        <f t="shared" ca="1" si="50"/>
        <v>2.7735424008040201</v>
      </c>
      <c r="BL15" s="37">
        <f t="shared" ca="1" si="51"/>
        <v>5.3376543525005609</v>
      </c>
      <c r="BM15" s="37">
        <f t="shared" ca="1" si="52"/>
        <v>0.28754122005724153</v>
      </c>
      <c r="BN15" s="37">
        <f t="shared" ca="1" si="53"/>
        <v>0.77033499250583615</v>
      </c>
      <c r="BO15" s="37">
        <f t="shared" ca="1" si="54"/>
        <v>0.29101544161331588</v>
      </c>
      <c r="BP15" s="37">
        <f t="shared" ca="1" si="55"/>
        <v>2.220289848412667</v>
      </c>
      <c r="BQ15" s="37">
        <f t="shared" ca="1" si="56"/>
        <v>7.861115557569474</v>
      </c>
      <c r="BR15" s="37">
        <f t="shared" ca="1" si="57"/>
        <v>0.74650124437937715</v>
      </c>
      <c r="BS15" s="37">
        <f t="shared" ca="1" si="58"/>
        <v>1.2154174326203191</v>
      </c>
      <c r="BT15" s="37">
        <f t="shared" ca="1" si="59"/>
        <v>1.0442318787301335</v>
      </c>
      <c r="BU15" s="37">
        <f t="shared" ca="1" si="60"/>
        <v>4.5934521126176815</v>
      </c>
      <c r="BV15" s="37">
        <f t="shared" ca="1" si="61"/>
        <v>5.475526768292907</v>
      </c>
      <c r="BW15" s="37">
        <f t="shared" ca="1" si="62"/>
        <v>0.81838654939368749</v>
      </c>
      <c r="BX15" s="37">
        <f t="shared" ca="1" si="63"/>
        <v>2.955533371985386</v>
      </c>
      <c r="BY15" s="37">
        <f t="shared" ca="1" si="64"/>
        <v>3.1628081596811075</v>
      </c>
      <c r="BZ15" s="37">
        <f t="shared" ca="1" si="65"/>
        <v>7.0245155838387952</v>
      </c>
      <c r="CA15" s="37">
        <f t="shared" ca="1" si="98"/>
        <v>3.1628081596811075</v>
      </c>
      <c r="CB15" s="37">
        <f t="shared" ca="1" si="66"/>
        <v>3.9666617992252644</v>
      </c>
      <c r="CC15" s="37">
        <f t="shared" ca="1" si="67"/>
        <v>8.9391017256824572</v>
      </c>
      <c r="CD15" s="37">
        <f t="shared" ca="1" si="99"/>
        <v>3.9666617992252644</v>
      </c>
      <c r="CE15" s="37">
        <f t="shared" ca="1" si="68"/>
        <v>1.8199097118136613</v>
      </c>
    </row>
    <row r="16" spans="1:83" x14ac:dyDescent="0.25">
      <c r="A16" t="str">
        <f>PLANTILLA!D17</f>
        <v>Marc Dolz</v>
      </c>
      <c r="B16">
        <f>PLANTILLA!E17</f>
        <v>19</v>
      </c>
      <c r="C16" s="33">
        <f ca="1">PLANTILLA!F17</f>
        <v>59</v>
      </c>
      <c r="D16" s="229" t="str">
        <f>PLANTILLA!G17</f>
        <v>POT</v>
      </c>
      <c r="E16" s="30">
        <f>PLANTILLA!M17</f>
        <v>43046</v>
      </c>
      <c r="F16" s="47">
        <f>PLANTILLA!Q17</f>
        <v>6</v>
      </c>
      <c r="G16" s="48">
        <f t="shared" si="81"/>
        <v>0.92582009977255142</v>
      </c>
      <c r="H16" s="48">
        <f t="shared" si="82"/>
        <v>0.99928545900129484</v>
      </c>
      <c r="I16" s="51">
        <f t="shared" ca="1" si="83"/>
        <v>0.90632696717496575</v>
      </c>
      <c r="J16" s="39">
        <f>PLANTILLA!I17</f>
        <v>1.2</v>
      </c>
      <c r="K16" s="46">
        <f>PLANTILLA!X17</f>
        <v>0</v>
      </c>
      <c r="L16" s="46">
        <f>PLANTILLA!Y17</f>
        <v>4</v>
      </c>
      <c r="M16" s="46">
        <f>PLANTILLA!Z17</f>
        <v>4</v>
      </c>
      <c r="N16" s="46">
        <f>PLANTILLA!AA17</f>
        <v>4</v>
      </c>
      <c r="O16" s="46">
        <f>PLANTILLA!AB17</f>
        <v>4.2926666666666664</v>
      </c>
      <c r="P16" s="46">
        <f>PLANTILLA!AC17</f>
        <v>3.6666666666666687</v>
      </c>
      <c r="Q16" s="46">
        <f>PLANTILLA!AD17</f>
        <v>0.4</v>
      </c>
      <c r="R16" s="46">
        <f t="shared" si="84"/>
        <v>1.9481666666666666</v>
      </c>
      <c r="S16" s="46">
        <f t="shared" si="85"/>
        <v>0.19533333333333344</v>
      </c>
      <c r="T16" s="46">
        <f t="shared" si="86"/>
        <v>0.17200000000000001</v>
      </c>
      <c r="U16" s="46">
        <f t="shared" ca="1" si="87"/>
        <v>1.3071672152400706</v>
      </c>
      <c r="V16" s="46">
        <f t="shared" ca="1" si="88"/>
        <v>1.4108931000671989</v>
      </c>
      <c r="W16" s="37">
        <f t="shared" ca="1" si="89"/>
        <v>1.9873904127431805</v>
      </c>
      <c r="X16" s="37">
        <f t="shared" ca="1" si="90"/>
        <v>3.0063654328195257</v>
      </c>
      <c r="Y16" s="37">
        <f t="shared" ca="1" si="91"/>
        <v>1.9873904127431805</v>
      </c>
      <c r="Z16" s="37">
        <f t="shared" ca="1" si="19"/>
        <v>2.5861414123430482</v>
      </c>
      <c r="AA16" s="37">
        <f t="shared" ca="1" si="20"/>
        <v>5.0119019619051324</v>
      </c>
      <c r="AB16" s="37">
        <f t="shared" ca="1" si="92"/>
        <v>1.2930707061715241</v>
      </c>
      <c r="AC16" s="37">
        <f ca="1">((M16+I16+(LOG(J16)*4/3))*0.238)</f>
        <v>1.1928326669334215</v>
      </c>
      <c r="AD16" s="37">
        <f t="shared" ca="1" si="22"/>
        <v>1.8944989416001401</v>
      </c>
      <c r="AE16" s="37">
        <f t="shared" ca="1" si="23"/>
        <v>3.6236051184574105</v>
      </c>
      <c r="AF16" s="37">
        <f t="shared" ca="1" si="93"/>
        <v>0.94724947080007005</v>
      </c>
      <c r="AG16" s="37">
        <f t="shared" ca="1" si="24"/>
        <v>1.929582255333476</v>
      </c>
      <c r="AH16" s="37">
        <f t="shared" ca="1" si="25"/>
        <v>4.610949804952722</v>
      </c>
      <c r="AI16" s="37">
        <f t="shared" ca="1" si="26"/>
        <v>2.0749274122287247</v>
      </c>
      <c r="AJ16" s="37">
        <f t="shared" ca="1" si="27"/>
        <v>0.83698762763815715</v>
      </c>
      <c r="AK16" s="37">
        <f t="shared" ca="1" si="28"/>
        <v>2.9469983536002178</v>
      </c>
      <c r="AL16" s="37">
        <f t="shared" ca="1" si="29"/>
        <v>3.7789740792764697</v>
      </c>
      <c r="AM16" s="37">
        <f t="shared" ca="1" si="30"/>
        <v>3.5484265890288333</v>
      </c>
      <c r="AN16" s="37">
        <f t="shared" ca="1" si="31"/>
        <v>0.23578762763815711</v>
      </c>
      <c r="AO16" s="37">
        <f t="shared" ca="1" si="32"/>
        <v>0.85249976502867797</v>
      </c>
      <c r="AP16" s="37">
        <f t="shared" ca="1" si="33"/>
        <v>1.3532135297143859</v>
      </c>
      <c r="AQ16" s="37">
        <f t="shared" ca="1" si="34"/>
        <v>2.9770697653716485</v>
      </c>
      <c r="AR16" s="37">
        <f t="shared" ca="1" si="94"/>
        <v>0.67660676485719295</v>
      </c>
      <c r="AS16" s="37">
        <f t="shared" ca="1" si="35"/>
        <v>4.7312354520384448</v>
      </c>
      <c r="AT16" s="37">
        <f t="shared" ca="1" si="36"/>
        <v>0.68959392171433387</v>
      </c>
      <c r="AU16" s="37">
        <f t="shared" ca="1" si="37"/>
        <v>1.4459406081715374</v>
      </c>
      <c r="AV16" s="37">
        <f t="shared" ca="1" si="95"/>
        <v>0.34479696085716693</v>
      </c>
      <c r="AW16" s="37">
        <f t="shared" ca="1" si="38"/>
        <v>0.94724947080007005</v>
      </c>
      <c r="AX16" s="37">
        <f t="shared" ca="1" si="39"/>
        <v>2.0047607847620532</v>
      </c>
      <c r="AY16" s="37">
        <f t="shared" ca="1" si="96"/>
        <v>0.47362473540003502</v>
      </c>
      <c r="AZ16" s="37">
        <f t="shared" ca="1" si="40"/>
        <v>5.0119019619051324</v>
      </c>
      <c r="BA16" s="37">
        <f t="shared" ca="1" si="41"/>
        <v>1.3420558630286652</v>
      </c>
      <c r="BB16" s="37">
        <f t="shared" ca="1" si="42"/>
        <v>2.7913573143430619</v>
      </c>
      <c r="BC16" s="37">
        <f t="shared" ca="1" si="97"/>
        <v>0.6710279315143326</v>
      </c>
      <c r="BD16" s="37">
        <f t="shared" ca="1" si="43"/>
        <v>1.4584634709143933</v>
      </c>
      <c r="BE16" s="37">
        <f t="shared" ca="1" si="44"/>
        <v>1.744141882742986</v>
      </c>
      <c r="BF16" s="37">
        <f t="shared" ca="1" si="45"/>
        <v>4.4154856284384216</v>
      </c>
      <c r="BG16" s="37">
        <f t="shared" ca="1" si="46"/>
        <v>4.5477708441336624</v>
      </c>
      <c r="BH16" s="37">
        <f t="shared" ca="1" si="47"/>
        <v>1.2784010394858034</v>
      </c>
      <c r="BI16" s="37">
        <f t="shared" ca="1" si="48"/>
        <v>2.430772451523989</v>
      </c>
      <c r="BJ16" s="37">
        <f t="shared" ca="1" si="49"/>
        <v>1.323142117942955</v>
      </c>
      <c r="BK16" s="37">
        <f t="shared" ca="1" si="50"/>
        <v>1.9095346474858554</v>
      </c>
      <c r="BL16" s="37">
        <f t="shared" ca="1" si="51"/>
        <v>4.4392283147050859</v>
      </c>
      <c r="BM16" s="37">
        <f t="shared" ca="1" si="52"/>
        <v>0.2758375686857335</v>
      </c>
      <c r="BN16" s="37">
        <f t="shared" ca="1" si="53"/>
        <v>0.90214235314292379</v>
      </c>
      <c r="BO16" s="37">
        <f t="shared" ca="1" si="54"/>
        <v>0.34080933340954905</v>
      </c>
      <c r="BP16" s="37">
        <f t="shared" ca="1" si="55"/>
        <v>1.5286300983810654</v>
      </c>
      <c r="BQ16" s="37">
        <f t="shared" ca="1" si="56"/>
        <v>6.5290085896766668</v>
      </c>
      <c r="BR16" s="37">
        <f t="shared" ca="1" si="57"/>
        <v>0.71611676485719289</v>
      </c>
      <c r="BS16" s="37">
        <f t="shared" ca="1" si="58"/>
        <v>1.4233801571810574</v>
      </c>
      <c r="BT16" s="37">
        <f t="shared" ca="1" si="59"/>
        <v>1.2229040787048522</v>
      </c>
      <c r="BU16" s="37">
        <f t="shared" ca="1" si="60"/>
        <v>3.1625101379621388</v>
      </c>
      <c r="BV16" s="37">
        <f t="shared" ca="1" si="61"/>
        <v>4.5421369225717596</v>
      </c>
      <c r="BW16" s="37">
        <f t="shared" ca="1" si="62"/>
        <v>0.78507615702862621</v>
      </c>
      <c r="BX16" s="37">
        <f t="shared" ca="1" si="63"/>
        <v>2.0348321965334839</v>
      </c>
      <c r="BY16" s="37">
        <f t="shared" ca="1" si="64"/>
        <v>2.6420342554859073</v>
      </c>
      <c r="BZ16" s="37">
        <f t="shared" ca="1" si="65"/>
        <v>5.6079862757718466</v>
      </c>
      <c r="CA16" s="37">
        <f t="shared" ca="1" si="98"/>
        <v>2.6420342554859073</v>
      </c>
      <c r="CB16" s="37">
        <f t="shared" ca="1" si="66"/>
        <v>3.0773069222668981</v>
      </c>
      <c r="CC16" s="37">
        <f t="shared" ca="1" si="67"/>
        <v>6.6359544525147953</v>
      </c>
      <c r="CD16" s="37">
        <f t="shared" ca="1" si="99"/>
        <v>3.0773069222668981</v>
      </c>
      <c r="CE16" s="37">
        <f t="shared" ca="1" si="68"/>
        <v>1.2529754904762831</v>
      </c>
    </row>
    <row r="17" spans="1:83" x14ac:dyDescent="0.25">
      <c r="A17" t="str">
        <f>PLANTILLA!D18</f>
        <v>Mauro Vaz</v>
      </c>
      <c r="B17">
        <f>PLANTILLA!E18</f>
        <v>20</v>
      </c>
      <c r="C17" s="33">
        <f ca="1">PLANTILLA!F18</f>
        <v>104</v>
      </c>
      <c r="D17" s="229"/>
      <c r="E17" s="30">
        <f>PLANTILLA!M18</f>
        <v>43108</v>
      </c>
      <c r="F17" s="47">
        <f>PLANTILLA!Q18</f>
        <v>5</v>
      </c>
      <c r="G17" s="48">
        <f t="shared" si="81"/>
        <v>0.84515425472851657</v>
      </c>
      <c r="H17" s="48">
        <f t="shared" si="82"/>
        <v>0.92504826128926143</v>
      </c>
      <c r="I17" s="51">
        <f t="shared" ca="1" si="83"/>
        <v>0.79806313152830333</v>
      </c>
      <c r="J17" s="39">
        <f>PLANTILLA!I18</f>
        <v>2.1</v>
      </c>
      <c r="K17" s="46">
        <f>PLANTILLA!X18</f>
        <v>0</v>
      </c>
      <c r="L17" s="46">
        <f>PLANTILLA!Y18</f>
        <v>4</v>
      </c>
      <c r="M17" s="46">
        <f>PLANTILLA!Z18</f>
        <v>5</v>
      </c>
      <c r="N17" s="46">
        <f>PLANTILLA!AA18</f>
        <v>3</v>
      </c>
      <c r="O17" s="46">
        <f>PLANTILLA!AB18</f>
        <v>3.25</v>
      </c>
      <c r="P17" s="46">
        <f>PLANTILLA!AC18</f>
        <v>5.4999999999999982</v>
      </c>
      <c r="Q17" s="46">
        <f>PLANTILLA!AD18</f>
        <v>2</v>
      </c>
      <c r="R17" s="46">
        <f t="shared" si="84"/>
        <v>1.6875</v>
      </c>
      <c r="S17" s="46">
        <f t="shared" si="85"/>
        <v>0.33499999999999991</v>
      </c>
      <c r="T17" s="46">
        <f t="shared" si="86"/>
        <v>0.22000000000000003</v>
      </c>
      <c r="U17" s="46">
        <f t="shared" ca="1" si="87"/>
        <v>2.7278949711434675</v>
      </c>
      <c r="V17" s="46">
        <f t="shared" ca="1" si="88"/>
        <v>2.9857679659277951</v>
      </c>
      <c r="W17" s="37">
        <f t="shared" ca="1" si="89"/>
        <v>2.1757723728944911</v>
      </c>
      <c r="X17" s="37">
        <f t="shared" ca="1" si="90"/>
        <v>3.2849463154716929</v>
      </c>
      <c r="Y17" s="37">
        <f t="shared" ca="1" si="91"/>
        <v>2.1757723728944911</v>
      </c>
      <c r="Z17" s="37">
        <f t="shared" ca="1" si="19"/>
        <v>2.6974874506455411</v>
      </c>
      <c r="AA17" s="37">
        <f t="shared" ca="1" si="20"/>
        <v>5.2276888578401959</v>
      </c>
      <c r="AB17" s="37">
        <f t="shared" ca="1" si="92"/>
        <v>1.3487437253227705</v>
      </c>
      <c r="AC17" s="37">
        <f t="shared" ca="1" si="21"/>
        <v>1.4821899481659666</v>
      </c>
      <c r="AD17" s="37">
        <f t="shared" ca="1" si="22"/>
        <v>1.976066388263594</v>
      </c>
      <c r="AE17" s="37">
        <f t="shared" ca="1" si="23"/>
        <v>3.7796190442184616</v>
      </c>
      <c r="AF17" s="37">
        <f t="shared" ca="1" si="93"/>
        <v>0.98803319413179702</v>
      </c>
      <c r="AG17" s="37">
        <f t="shared" ca="1" si="24"/>
        <v>2.3976602102684756</v>
      </c>
      <c r="AH17" s="37">
        <f t="shared" ca="1" si="25"/>
        <v>4.8094737492129802</v>
      </c>
      <c r="AI17" s="37">
        <f t="shared" ca="1" si="26"/>
        <v>2.1642631871458411</v>
      </c>
      <c r="AJ17" s="37">
        <f t="shared" ca="1" si="27"/>
        <v>1.0400240392593127</v>
      </c>
      <c r="AK17" s="37">
        <f t="shared" ca="1" si="28"/>
        <v>2.4858810484100351</v>
      </c>
      <c r="AL17" s="37">
        <f t="shared" ca="1" si="29"/>
        <v>3.9416773988115077</v>
      </c>
      <c r="AM17" s="37">
        <f t="shared" ca="1" si="30"/>
        <v>3.7012037113508587</v>
      </c>
      <c r="AN17" s="37">
        <f t="shared" ca="1" si="31"/>
        <v>0.53902403925931275</v>
      </c>
      <c r="AO17" s="37">
        <f t="shared" ca="1" si="32"/>
        <v>0.83957439105797638</v>
      </c>
      <c r="AP17" s="37">
        <f t="shared" ca="1" si="33"/>
        <v>1.4114759916168529</v>
      </c>
      <c r="AQ17" s="37">
        <f t="shared" ca="1" si="34"/>
        <v>3.1052471815570764</v>
      </c>
      <c r="AR17" s="37">
        <f t="shared" ca="1" si="94"/>
        <v>0.70573799580842644</v>
      </c>
      <c r="AS17" s="37">
        <f t="shared" ca="1" si="35"/>
        <v>5.8789382818011449</v>
      </c>
      <c r="AT17" s="37">
        <f t="shared" ca="1" si="36"/>
        <v>0.58209955151922543</v>
      </c>
      <c r="AU17" s="37">
        <f t="shared" ca="1" si="37"/>
        <v>1.7012128353471772</v>
      </c>
      <c r="AV17" s="37">
        <f t="shared" ca="1" si="95"/>
        <v>0.29104977575961272</v>
      </c>
      <c r="AW17" s="37">
        <f t="shared" ca="1" si="38"/>
        <v>0.98803319413179702</v>
      </c>
      <c r="AX17" s="37">
        <f t="shared" ca="1" si="39"/>
        <v>2.0910755431360784</v>
      </c>
      <c r="AY17" s="37">
        <f t="shared" ca="1" si="96"/>
        <v>0.49401659706589851</v>
      </c>
      <c r="AZ17" s="37">
        <f t="shared" ca="1" si="40"/>
        <v>6.2276888578401959</v>
      </c>
      <c r="BA17" s="37">
        <f t="shared" ca="1" si="41"/>
        <v>1.1328552810335695</v>
      </c>
      <c r="BB17" s="37">
        <f t="shared" ca="1" si="42"/>
        <v>2.9397065606699475</v>
      </c>
      <c r="BC17" s="37">
        <f t="shared" ca="1" si="97"/>
        <v>0.56642764051678474</v>
      </c>
      <c r="BD17" s="37">
        <f t="shared" ca="1" si="43"/>
        <v>1.521257457631497</v>
      </c>
      <c r="BE17" s="37">
        <f t="shared" ca="1" si="44"/>
        <v>1.8192357225283879</v>
      </c>
      <c r="BF17" s="37">
        <f t="shared" ca="1" si="45"/>
        <v>5.4865938837572124</v>
      </c>
      <c r="BG17" s="37">
        <f t="shared" ca="1" si="46"/>
        <v>3.8371653946199338</v>
      </c>
      <c r="BH17" s="37">
        <f t="shared" ca="1" si="47"/>
        <v>1.0791230147394872</v>
      </c>
      <c r="BI17" s="37">
        <f t="shared" ca="1" si="48"/>
        <v>2.535429096052495</v>
      </c>
      <c r="BJ17" s="37">
        <f t="shared" ca="1" si="49"/>
        <v>1.3801098584698117</v>
      </c>
      <c r="BK17" s="37">
        <f t="shared" ca="1" si="50"/>
        <v>2.3727494548371149</v>
      </c>
      <c r="BL17" s="37">
        <f t="shared" ca="1" si="51"/>
        <v>3.7452500617523317</v>
      </c>
      <c r="BM17" s="37">
        <f t="shared" ca="1" si="52"/>
        <v>0.23283982060769018</v>
      </c>
      <c r="BN17" s="37">
        <f t="shared" ca="1" si="53"/>
        <v>0.94098399441123526</v>
      </c>
      <c r="BO17" s="37">
        <f t="shared" ca="1" si="54"/>
        <v>0.35548284233313332</v>
      </c>
      <c r="BP17" s="37">
        <f t="shared" ca="1" si="55"/>
        <v>1.8994451016412597</v>
      </c>
      <c r="BQ17" s="37">
        <f t="shared" ca="1" si="56"/>
        <v>5.5083078711824918</v>
      </c>
      <c r="BR17" s="37">
        <f t="shared" ca="1" si="57"/>
        <v>0.60448799580842649</v>
      </c>
      <c r="BS17" s="37">
        <f t="shared" ca="1" si="58"/>
        <v>1.4846636356266154</v>
      </c>
      <c r="BT17" s="37">
        <f t="shared" ca="1" si="59"/>
        <v>1.2755560813130078</v>
      </c>
      <c r="BU17" s="37">
        <f t="shared" ca="1" si="60"/>
        <v>3.9296716692971638</v>
      </c>
      <c r="BV17" s="37">
        <f t="shared" ca="1" si="61"/>
        <v>3.8320315277669748</v>
      </c>
      <c r="BW17" s="37">
        <f t="shared" ca="1" si="62"/>
        <v>0.662697950960349</v>
      </c>
      <c r="BX17" s="37">
        <f t="shared" ca="1" si="63"/>
        <v>2.5284416762831197</v>
      </c>
      <c r="BY17" s="37">
        <f t="shared" ca="1" si="64"/>
        <v>2.5826258949347416</v>
      </c>
      <c r="BZ17" s="37">
        <f t="shared" ca="1" si="65"/>
        <v>6.3536276539280596</v>
      </c>
      <c r="CA17" s="37">
        <f t="shared" ca="1" si="98"/>
        <v>2.5826258949347416</v>
      </c>
      <c r="CB17" s="37">
        <f t="shared" ca="1" si="66"/>
        <v>3.3193501584344416</v>
      </c>
      <c r="CC17" s="37">
        <f t="shared" ca="1" si="67"/>
        <v>8.3799560463832261</v>
      </c>
      <c r="CD17" s="37">
        <f t="shared" ca="1" si="99"/>
        <v>3.3193501584344416</v>
      </c>
      <c r="CE17" s="37">
        <f t="shared" ca="1" si="68"/>
        <v>1.556922214460049</v>
      </c>
    </row>
    <row r="18" spans="1:83" x14ac:dyDescent="0.25">
      <c r="A18" t="str">
        <f>PLANTILLA!D19</f>
        <v>Roberto Abenoza</v>
      </c>
      <c r="B18">
        <f>PLANTILLA!E19</f>
        <v>19</v>
      </c>
      <c r="C18" s="33">
        <f ca="1">PLANTILLA!F19</f>
        <v>87</v>
      </c>
      <c r="D18" s="229" t="str">
        <f>PLANTILLA!G19</f>
        <v>CAB</v>
      </c>
      <c r="E18" s="30">
        <f>PLANTILLA!M19</f>
        <v>43046</v>
      </c>
      <c r="F18" s="47">
        <f>PLANTILLA!Q19</f>
        <v>6</v>
      </c>
      <c r="G18" s="48">
        <f t="shared" si="81"/>
        <v>0.92582009977255142</v>
      </c>
      <c r="H18" s="48">
        <f t="shared" si="82"/>
        <v>0.99928545900129484</v>
      </c>
      <c r="I18" s="51">
        <f t="shared" ca="1" si="83"/>
        <v>0.90632696717496575</v>
      </c>
      <c r="J18" s="39">
        <f>PLANTILLA!I19</f>
        <v>1.2</v>
      </c>
      <c r="K18" s="46">
        <f>PLANTILLA!X19</f>
        <v>0</v>
      </c>
      <c r="L18" s="46">
        <f>PLANTILLA!Y19</f>
        <v>2</v>
      </c>
      <c r="M18" s="46">
        <f>PLANTILLA!Z19</f>
        <v>5</v>
      </c>
      <c r="N18" s="46">
        <f>PLANTILLA!AA19</f>
        <v>4</v>
      </c>
      <c r="O18" s="46">
        <f>PLANTILLA!AB19</f>
        <v>3</v>
      </c>
      <c r="P18" s="46">
        <f>PLANTILLA!AC19</f>
        <v>5.6999999999999975</v>
      </c>
      <c r="Q18" s="46">
        <f>PLANTILLA!AD19</f>
        <v>5</v>
      </c>
      <c r="R18" s="46">
        <f t="shared" si="84"/>
        <v>1.375</v>
      </c>
      <c r="S18" s="46">
        <f t="shared" si="85"/>
        <v>0.43499999999999989</v>
      </c>
      <c r="T18" s="46">
        <f t="shared" si="86"/>
        <v>0.22999999999999998</v>
      </c>
      <c r="U18" s="46">
        <f t="shared" ca="1" si="87"/>
        <v>5.5659396741938076</v>
      </c>
      <c r="V18" s="46">
        <f t="shared" ca="1" si="88"/>
        <v>6.0076062114731554</v>
      </c>
      <c r="W18" s="37">
        <f t="shared" ca="1" si="89"/>
        <v>1.4353904127431805</v>
      </c>
      <c r="X18" s="37">
        <f t="shared" ca="1" si="90"/>
        <v>2.1563654328195256</v>
      </c>
      <c r="Y18" s="37">
        <f t="shared" ca="1" si="91"/>
        <v>1.4353904127431805</v>
      </c>
      <c r="Z18" s="37">
        <f t="shared" ca="1" si="19"/>
        <v>1.5541414123430484</v>
      </c>
      <c r="AA18" s="37">
        <f t="shared" ca="1" si="20"/>
        <v>3.0119019619051324</v>
      </c>
      <c r="AB18" s="37">
        <f t="shared" ca="1" si="92"/>
        <v>0.77707070617152418</v>
      </c>
      <c r="AC18" s="37">
        <f t="shared" ca="1" si="21"/>
        <v>1.4308326669334215</v>
      </c>
      <c r="AD18" s="37">
        <f t="shared" ca="1" si="22"/>
        <v>1.1384989416001401</v>
      </c>
      <c r="AE18" s="37">
        <f t="shared" ca="1" si="23"/>
        <v>2.1776051184574108</v>
      </c>
      <c r="AF18" s="37">
        <f t="shared" ca="1" si="93"/>
        <v>0.56924947080007005</v>
      </c>
      <c r="AG18" s="37">
        <f t="shared" ca="1" si="24"/>
        <v>2.3145822553334758</v>
      </c>
      <c r="AH18" s="37">
        <f t="shared" ca="1" si="25"/>
        <v>2.7709498049527217</v>
      </c>
      <c r="AI18" s="37">
        <f t="shared" ca="1" si="26"/>
        <v>1.2469274122287248</v>
      </c>
      <c r="AJ18" s="37">
        <f t="shared" ca="1" si="27"/>
        <v>1.0039876276381572</v>
      </c>
      <c r="AK18" s="37">
        <f t="shared" ca="1" si="28"/>
        <v>2.9469983536002178</v>
      </c>
      <c r="AL18" s="37">
        <f t="shared" ca="1" si="29"/>
        <v>2.2709740792764697</v>
      </c>
      <c r="AM18" s="37">
        <f t="shared" ca="1" si="30"/>
        <v>2.1324265890288334</v>
      </c>
      <c r="AN18" s="37">
        <f t="shared" ca="1" si="31"/>
        <v>1.0039876276381572</v>
      </c>
      <c r="AO18" s="37">
        <f t="shared" ca="1" si="32"/>
        <v>0.68742776502867808</v>
      </c>
      <c r="AP18" s="37">
        <f t="shared" ca="1" si="33"/>
        <v>0.81321352971438576</v>
      </c>
      <c r="AQ18" s="37">
        <f t="shared" ca="1" si="34"/>
        <v>1.7890697653716485</v>
      </c>
      <c r="AR18" s="37">
        <f t="shared" ca="1" si="94"/>
        <v>0.40660676485719288</v>
      </c>
      <c r="AS18" s="37">
        <f t="shared" ca="1" si="35"/>
        <v>5.6752354520384447</v>
      </c>
      <c r="AT18" s="37">
        <f t="shared" ca="1" si="36"/>
        <v>0.52154725504766719</v>
      </c>
      <c r="AU18" s="37">
        <f t="shared" ca="1" si="37"/>
        <v>1.6425872748382033</v>
      </c>
      <c r="AV18" s="37">
        <f t="shared" ca="1" si="95"/>
        <v>0.2607736275238336</v>
      </c>
      <c r="AW18" s="37">
        <f t="shared" ca="1" si="38"/>
        <v>0.56924947080007005</v>
      </c>
      <c r="AX18" s="37">
        <f t="shared" ca="1" si="39"/>
        <v>1.2047607847620529</v>
      </c>
      <c r="AY18" s="37">
        <f t="shared" ca="1" si="96"/>
        <v>0.28462473540003502</v>
      </c>
      <c r="AZ18" s="37">
        <f t="shared" ca="1" si="40"/>
        <v>6.0119019619051324</v>
      </c>
      <c r="BA18" s="37">
        <f t="shared" ca="1" si="41"/>
        <v>1.0150111963619985</v>
      </c>
      <c r="BB18" s="37">
        <f t="shared" ca="1" si="42"/>
        <v>2.7775579810097275</v>
      </c>
      <c r="BC18" s="37">
        <f t="shared" ca="1" si="97"/>
        <v>0.50750559818099927</v>
      </c>
      <c r="BD18" s="37">
        <f t="shared" ca="1" si="43"/>
        <v>0.87646347091439347</v>
      </c>
      <c r="BE18" s="37">
        <f t="shared" ca="1" si="44"/>
        <v>1.048141882742986</v>
      </c>
      <c r="BF18" s="37">
        <f t="shared" ca="1" si="45"/>
        <v>5.2964856284384219</v>
      </c>
      <c r="BG18" s="37">
        <f t="shared" ca="1" si="46"/>
        <v>4.1405808441336625</v>
      </c>
      <c r="BH18" s="37">
        <f t="shared" ca="1" si="47"/>
        <v>0.96686837281913685</v>
      </c>
      <c r="BI18" s="37">
        <f t="shared" ca="1" si="48"/>
        <v>1.4607724515239893</v>
      </c>
      <c r="BJ18" s="37">
        <f t="shared" ca="1" si="49"/>
        <v>0.79514211794295497</v>
      </c>
      <c r="BK18" s="37">
        <f t="shared" ca="1" si="50"/>
        <v>2.2905346474858557</v>
      </c>
      <c r="BL18" s="37">
        <f t="shared" ca="1" si="51"/>
        <v>4.1794023147050865</v>
      </c>
      <c r="BM18" s="37">
        <f t="shared" ca="1" si="52"/>
        <v>0.20861890201906688</v>
      </c>
      <c r="BN18" s="37">
        <f t="shared" ca="1" si="53"/>
        <v>0.54214235314292381</v>
      </c>
      <c r="BO18" s="37">
        <f t="shared" ca="1" si="54"/>
        <v>0.20480933340954902</v>
      </c>
      <c r="BP18" s="37">
        <f t="shared" ca="1" si="55"/>
        <v>1.8336300983810654</v>
      </c>
      <c r="BQ18" s="37">
        <f t="shared" ca="1" si="56"/>
        <v>6.1593059230100007</v>
      </c>
      <c r="BR18" s="37">
        <f t="shared" ca="1" si="57"/>
        <v>0.54160676485719295</v>
      </c>
      <c r="BS18" s="37">
        <f t="shared" ca="1" si="58"/>
        <v>0.85538015718105753</v>
      </c>
      <c r="BT18" s="37">
        <f t="shared" ca="1" si="59"/>
        <v>0.7349040787048523</v>
      </c>
      <c r="BU18" s="37">
        <f t="shared" ca="1" si="60"/>
        <v>3.7935101379621385</v>
      </c>
      <c r="BV18" s="37">
        <f t="shared" ca="1" si="61"/>
        <v>4.292652255905093</v>
      </c>
      <c r="BW18" s="37">
        <f t="shared" ca="1" si="62"/>
        <v>0.59376149036195958</v>
      </c>
      <c r="BX18" s="37">
        <f t="shared" ca="1" si="63"/>
        <v>2.440832196533484</v>
      </c>
      <c r="BY18" s="37">
        <f t="shared" ca="1" si="64"/>
        <v>2.5771009221525736</v>
      </c>
      <c r="BZ18" s="37">
        <f t="shared" ca="1" si="65"/>
        <v>6.0915016091051779</v>
      </c>
      <c r="CA18" s="37">
        <f t="shared" ca="1" si="98"/>
        <v>2.5771009221525736</v>
      </c>
      <c r="CB18" s="37">
        <f t="shared" ca="1" si="66"/>
        <v>3.4224149222668969</v>
      </c>
      <c r="CC18" s="37">
        <f t="shared" ca="1" si="67"/>
        <v>8.1922937858481237</v>
      </c>
      <c r="CD18" s="37">
        <f t="shared" ca="1" si="99"/>
        <v>3.4224149222668969</v>
      </c>
      <c r="CE18" s="37">
        <f t="shared" ca="1" si="68"/>
        <v>1.5029754904762831</v>
      </c>
    </row>
    <row r="19" spans="1:83" x14ac:dyDescent="0.25">
      <c r="A19" t="str">
        <f>PLANTILLA!D20</f>
        <v>Enrique Cubas</v>
      </c>
      <c r="B19">
        <f>PLANTILLA!E20</f>
        <v>19</v>
      </c>
      <c r="C19" s="33">
        <f ca="1">PLANTILLA!F20</f>
        <v>58</v>
      </c>
      <c r="D19" s="229" t="str">
        <f>PLANTILLA!G20</f>
        <v>RAP</v>
      </c>
      <c r="E19" s="30">
        <f>PLANTILLA!M20</f>
        <v>43046</v>
      </c>
      <c r="F19" s="47">
        <f>PLANTILLA!Q20</f>
        <v>6</v>
      </c>
      <c r="G19" s="48">
        <f t="shared" si="81"/>
        <v>0.92582009977255142</v>
      </c>
      <c r="H19" s="48">
        <f t="shared" si="82"/>
        <v>0.99928545900129484</v>
      </c>
      <c r="I19" s="231">
        <v>1.5</v>
      </c>
      <c r="J19" s="39">
        <f>PLANTILLA!I20</f>
        <v>2.6</v>
      </c>
      <c r="K19" s="46">
        <f>PLANTILLA!X20</f>
        <v>0</v>
      </c>
      <c r="L19" s="46">
        <f>PLANTILLA!Y20</f>
        <v>2</v>
      </c>
      <c r="M19" s="46">
        <f>PLANTILLA!Z20</f>
        <v>5.7</v>
      </c>
      <c r="N19" s="46">
        <f>PLANTILLA!AA20</f>
        <v>11</v>
      </c>
      <c r="O19" s="46">
        <f>PLANTILLA!AB20</f>
        <v>6</v>
      </c>
      <c r="P19" s="46">
        <f>PLANTILLA!AC20</f>
        <v>7.5</v>
      </c>
      <c r="Q19" s="46">
        <f>PLANTILLA!AD20</f>
        <v>5</v>
      </c>
      <c r="R19" s="46">
        <f t="shared" si="84"/>
        <v>2.125</v>
      </c>
      <c r="S19" s="46">
        <f t="shared" si="85"/>
        <v>0.52500000000000002</v>
      </c>
      <c r="T19" s="46">
        <f t="shared" si="86"/>
        <v>0.22999999999999998</v>
      </c>
      <c r="U19" s="46">
        <f t="shared" si="87"/>
        <v>6.5300848704166405</v>
      </c>
      <c r="V19" s="46">
        <f t="shared" si="88"/>
        <v>7.0482579268421803</v>
      </c>
      <c r="W19" s="37">
        <f t="shared" si="89"/>
        <v>2.3445289770380322</v>
      </c>
      <c r="X19" s="37">
        <f t="shared" si="90"/>
        <v>3.5008074563071014</v>
      </c>
      <c r="Y19" s="37">
        <f t="shared" si="91"/>
        <v>2.3445289770380322</v>
      </c>
      <c r="Z19" s="37">
        <f t="shared" si="19"/>
        <v>2.091501663403923</v>
      </c>
      <c r="AA19" s="37">
        <f t="shared" si="20"/>
        <v>4.053297797294424</v>
      </c>
      <c r="AB19" s="37">
        <f t="shared" si="92"/>
        <v>1.0457508317019615</v>
      </c>
      <c r="AC19" s="37">
        <f t="shared" si="21"/>
        <v>1.8452848757560729</v>
      </c>
      <c r="AD19" s="37">
        <f t="shared" si="22"/>
        <v>1.5321465673772923</v>
      </c>
      <c r="AE19" s="37">
        <f t="shared" si="23"/>
        <v>2.9305343074438683</v>
      </c>
      <c r="AF19" s="37">
        <f t="shared" si="93"/>
        <v>0.76607328368864613</v>
      </c>
      <c r="AG19" s="37">
        <f t="shared" si="24"/>
        <v>2.9850196519583534</v>
      </c>
      <c r="AH19" s="37">
        <f t="shared" si="25"/>
        <v>3.7290339735108704</v>
      </c>
      <c r="AI19" s="37">
        <f t="shared" si="26"/>
        <v>1.6780652880798914</v>
      </c>
      <c r="AJ19" s="37">
        <f t="shared" si="27"/>
        <v>1.2948007321481689</v>
      </c>
      <c r="AK19" s="37">
        <f t="shared" si="28"/>
        <v>7.6753391048091206</v>
      </c>
      <c r="AL19" s="37">
        <f t="shared" si="29"/>
        <v>3.0561865391599956</v>
      </c>
      <c r="AM19" s="37">
        <f t="shared" si="30"/>
        <v>2.869734840484452</v>
      </c>
      <c r="AN19" s="37">
        <f t="shared" si="31"/>
        <v>1.1779007321481689</v>
      </c>
      <c r="AO19" s="37">
        <f t="shared" si="32"/>
        <v>1.2033497656207941</v>
      </c>
      <c r="AP19" s="37">
        <f t="shared" si="33"/>
        <v>1.0943904052694946</v>
      </c>
      <c r="AQ19" s="37">
        <f t="shared" si="34"/>
        <v>2.4076588915928876</v>
      </c>
      <c r="AR19" s="37">
        <f t="shared" si="94"/>
        <v>0.5471952026347473</v>
      </c>
      <c r="AS19" s="37">
        <f t="shared" si="35"/>
        <v>7.3191131206459357</v>
      </c>
      <c r="AT19" s="37">
        <f t="shared" si="36"/>
        <v>1.046928713648275</v>
      </c>
      <c r="AU19" s="37">
        <f t="shared" si="37"/>
        <v>2.6191162546072659</v>
      </c>
      <c r="AV19" s="37">
        <f t="shared" si="95"/>
        <v>0.5234643568241375</v>
      </c>
      <c r="AW19" s="37">
        <f t="shared" si="38"/>
        <v>0.76607328368864613</v>
      </c>
      <c r="AX19" s="37">
        <f t="shared" si="39"/>
        <v>1.6213191189177696</v>
      </c>
      <c r="AY19" s="37">
        <f t="shared" si="96"/>
        <v>0.38303664184432307</v>
      </c>
      <c r="AZ19" s="37">
        <f t="shared" si="40"/>
        <v>7.7532977972944241</v>
      </c>
      <c r="BA19" s="37">
        <f t="shared" si="41"/>
        <v>2.0374843427154889</v>
      </c>
      <c r="BB19" s="37">
        <f t="shared" si="42"/>
        <v>4.7523670863092278</v>
      </c>
      <c r="BC19" s="37">
        <f t="shared" si="97"/>
        <v>1.0187421713577445</v>
      </c>
      <c r="BD19" s="37">
        <f t="shared" si="43"/>
        <v>1.1795096590126772</v>
      </c>
      <c r="BE19" s="37">
        <f t="shared" si="44"/>
        <v>1.4105476334584595</v>
      </c>
      <c r="BF19" s="37">
        <f t="shared" si="45"/>
        <v>6.8306553594163875</v>
      </c>
      <c r="BG19" s="37">
        <f t="shared" si="46"/>
        <v>10.029381741794742</v>
      </c>
      <c r="BH19" s="37">
        <f t="shared" si="47"/>
        <v>1.940844769147956</v>
      </c>
      <c r="BI19" s="37">
        <f t="shared" si="48"/>
        <v>1.9658494316877955</v>
      </c>
      <c r="BJ19" s="37">
        <f t="shared" si="49"/>
        <v>1.070070618485728</v>
      </c>
      <c r="BK19" s="37">
        <f t="shared" si="50"/>
        <v>2.9540064607691758</v>
      </c>
      <c r="BL19" s="37">
        <f t="shared" si="51"/>
        <v>10.403582274835326</v>
      </c>
      <c r="BM19" s="37">
        <f t="shared" si="52"/>
        <v>0.41877148545930998</v>
      </c>
      <c r="BN19" s="37">
        <f t="shared" si="53"/>
        <v>0.72959360351299629</v>
      </c>
      <c r="BO19" s="37">
        <f t="shared" si="54"/>
        <v>0.27562425021602083</v>
      </c>
      <c r="BP19" s="37">
        <f t="shared" si="55"/>
        <v>2.3647558281747991</v>
      </c>
      <c r="BQ19" s="37">
        <f t="shared" si="56"/>
        <v>15.356540967320628</v>
      </c>
      <c r="BR19" s="37">
        <f t="shared" si="57"/>
        <v>1.0871952026347471</v>
      </c>
      <c r="BS19" s="37">
        <f t="shared" si="58"/>
        <v>1.1511365744316162</v>
      </c>
      <c r="BT19" s="37">
        <f t="shared" si="59"/>
        <v>0.98900466253983943</v>
      </c>
      <c r="BU19" s="37">
        <f t="shared" si="60"/>
        <v>4.8923309100927819</v>
      </c>
      <c r="BV19" s="37">
        <f t="shared" si="61"/>
        <v>10.717701528578509</v>
      </c>
      <c r="BW19" s="37">
        <f t="shared" si="62"/>
        <v>1.1918880739995745</v>
      </c>
      <c r="BX19" s="37">
        <f t="shared" si="63"/>
        <v>3.1478389057015366</v>
      </c>
      <c r="BY19" s="37">
        <f t="shared" si="64"/>
        <v>5.1062681523903946</v>
      </c>
      <c r="BZ19" s="37">
        <f t="shared" si="65"/>
        <v>9.9425133197535196</v>
      </c>
      <c r="CA19" s="37">
        <f t="shared" si="98"/>
        <v>5.1062681523903946</v>
      </c>
      <c r="CB19" s="37">
        <f t="shared" si="66"/>
        <v>6.5122045277144247</v>
      </c>
      <c r="CC19" s="37">
        <f t="shared" si="67"/>
        <v>12.524964684496066</v>
      </c>
      <c r="CD19" s="37">
        <f t="shared" si="99"/>
        <v>6.5122045277144247</v>
      </c>
      <c r="CE19" s="37">
        <f t="shared" si="68"/>
        <v>1.938324449323606</v>
      </c>
    </row>
    <row r="20" spans="1:83" x14ac:dyDescent="0.25">
      <c r="A20" t="str">
        <f>PLANTILLA!D21</f>
        <v>J. G. Peñuela</v>
      </c>
      <c r="B20">
        <f>PLANTILLA!E21</f>
        <v>19</v>
      </c>
      <c r="C20" s="33">
        <f ca="1">PLANTILLA!F21</f>
        <v>58</v>
      </c>
      <c r="D20" s="229" t="str">
        <f>PLANTILLA!G21</f>
        <v>IMP</v>
      </c>
      <c r="E20" s="30">
        <f>PLANTILLA!M21</f>
        <v>43054</v>
      </c>
      <c r="F20" s="47">
        <f>PLANTILLA!Q21</f>
        <v>6</v>
      </c>
      <c r="G20" s="48">
        <f t="shared" si="81"/>
        <v>0.92582009977255142</v>
      </c>
      <c r="H20" s="48">
        <f t="shared" si="82"/>
        <v>0.99928545900129484</v>
      </c>
      <c r="I20" s="51">
        <f t="shared" ca="1" si="83"/>
        <v>0.89309520635766926</v>
      </c>
      <c r="J20" s="39">
        <f>PLANTILLA!I21</f>
        <v>2.2999999999999998</v>
      </c>
      <c r="K20" s="46">
        <f>PLANTILLA!X21</f>
        <v>0</v>
      </c>
      <c r="L20" s="46">
        <f>PLANTILLA!Y21</f>
        <v>3</v>
      </c>
      <c r="M20" s="46">
        <f>PLANTILLA!Z21</f>
        <v>5</v>
      </c>
      <c r="N20" s="46">
        <f>PLANTILLA!AA21</f>
        <v>10.4</v>
      </c>
      <c r="O20" s="46">
        <f>PLANTILLA!AB21</f>
        <v>5</v>
      </c>
      <c r="P20" s="46">
        <f>PLANTILLA!AC21</f>
        <v>7.8016666666666676</v>
      </c>
      <c r="Q20" s="46">
        <f>PLANTILLA!AD21</f>
        <v>3</v>
      </c>
      <c r="R20" s="46">
        <f t="shared" si="84"/>
        <v>2</v>
      </c>
      <c r="S20" s="46">
        <f t="shared" si="85"/>
        <v>0.48008333333333331</v>
      </c>
      <c r="T20" s="46">
        <f t="shared" si="86"/>
        <v>0.21000000000000002</v>
      </c>
      <c r="U20" s="46">
        <f t="shared" ca="1" si="87"/>
        <v>4.0508323273505216</v>
      </c>
      <c r="V20" s="46">
        <f t="shared" ca="1" si="88"/>
        <v>4.3722725857520448</v>
      </c>
      <c r="W20" s="37">
        <f t="shared" ca="1" si="89"/>
        <v>2.0287233162747236</v>
      </c>
      <c r="X20" s="37">
        <f t="shared" ca="1" si="90"/>
        <v>3.0506400931393678</v>
      </c>
      <c r="Y20" s="37">
        <f t="shared" ca="1" si="91"/>
        <v>2.0287233162747236</v>
      </c>
      <c r="Z20" s="37">
        <f t="shared" ca="1" si="19"/>
        <v>2.2577058776606616</v>
      </c>
      <c r="AA20" s="37">
        <f t="shared" ca="1" si="20"/>
        <v>4.3753989877144601</v>
      </c>
      <c r="AB20" s="37">
        <f t="shared" ca="1" si="92"/>
        <v>1.1288529388303308</v>
      </c>
      <c r="AC20" s="37">
        <f t="shared" ca="1" si="21"/>
        <v>1.5173449590760415</v>
      </c>
      <c r="AD20" s="37">
        <f t="shared" ca="1" si="22"/>
        <v>1.6539008173560659</v>
      </c>
      <c r="AE20" s="37">
        <f t="shared" ca="1" si="23"/>
        <v>3.1634134681175547</v>
      </c>
      <c r="AF20" s="37">
        <f t="shared" ca="1" si="93"/>
        <v>0.82695040867803293</v>
      </c>
      <c r="AG20" s="37">
        <f t="shared" ca="1" si="24"/>
        <v>2.4545286102700672</v>
      </c>
      <c r="AH20" s="37">
        <f t="shared" ca="1" si="25"/>
        <v>4.0253670686973031</v>
      </c>
      <c r="AI20" s="37">
        <f t="shared" ca="1" si="26"/>
        <v>1.8114151809137864</v>
      </c>
      <c r="AJ20" s="37">
        <f t="shared" ca="1" si="27"/>
        <v>1.064691630948315</v>
      </c>
      <c r="AK20" s="37">
        <f t="shared" ca="1" si="28"/>
        <v>6.9239346047761021</v>
      </c>
      <c r="AL20" s="37">
        <f t="shared" ca="1" si="29"/>
        <v>3.2990508367367029</v>
      </c>
      <c r="AM20" s="37">
        <f t="shared" ca="1" si="30"/>
        <v>3.0977824833018377</v>
      </c>
      <c r="AN20" s="37">
        <f t="shared" ca="1" si="31"/>
        <v>0.73069163094831491</v>
      </c>
      <c r="AO20" s="37">
        <f t="shared" ca="1" si="32"/>
        <v>0.97211490846176429</v>
      </c>
      <c r="AP20" s="37">
        <f t="shared" ca="1" si="33"/>
        <v>1.1813577266829043</v>
      </c>
      <c r="AQ20" s="37">
        <f t="shared" ca="1" si="34"/>
        <v>2.5989869987023893</v>
      </c>
      <c r="AR20" s="37">
        <f t="shared" ca="1" si="94"/>
        <v>0.59067886334145214</v>
      </c>
      <c r="AS20" s="37">
        <f t="shared" ca="1" si="35"/>
        <v>6.0183766444024505</v>
      </c>
      <c r="AT20" s="37">
        <f t="shared" ca="1" si="36"/>
        <v>0.82880186840287984</v>
      </c>
      <c r="AU20" s="37">
        <f t="shared" ca="1" si="37"/>
        <v>2.3526802367336703</v>
      </c>
      <c r="AV20" s="37">
        <f t="shared" ca="1" si="95"/>
        <v>0.41440093420143992</v>
      </c>
      <c r="AW20" s="37">
        <f t="shared" ca="1" si="38"/>
        <v>0.82695040867803293</v>
      </c>
      <c r="AX20" s="37">
        <f t="shared" ca="1" si="39"/>
        <v>1.7501595950857842</v>
      </c>
      <c r="AY20" s="37">
        <f t="shared" ca="1" si="96"/>
        <v>0.41347520433901647</v>
      </c>
      <c r="AZ20" s="37">
        <f t="shared" ca="1" si="40"/>
        <v>6.3753989877144601</v>
      </c>
      <c r="BA20" s="37">
        <f t="shared" ca="1" si="41"/>
        <v>1.6129759438917584</v>
      </c>
      <c r="BB20" s="37">
        <f t="shared" ca="1" si="42"/>
        <v>4.1011948422306679</v>
      </c>
      <c r="BC20" s="37">
        <f t="shared" ca="1" si="97"/>
        <v>0.80648797194587918</v>
      </c>
      <c r="BD20" s="37">
        <f t="shared" ca="1" si="43"/>
        <v>1.2732411054249078</v>
      </c>
      <c r="BE20" s="37">
        <f t="shared" ca="1" si="44"/>
        <v>1.522638847724632</v>
      </c>
      <c r="BF20" s="37">
        <f t="shared" ca="1" si="45"/>
        <v>5.6167265081764395</v>
      </c>
      <c r="BG20" s="37">
        <f t="shared" ca="1" si="46"/>
        <v>8.7673297000781538</v>
      </c>
      <c r="BH20" s="37">
        <f t="shared" ca="1" si="47"/>
        <v>1.5364711560391848</v>
      </c>
      <c r="BI20" s="37">
        <f t="shared" ca="1" si="48"/>
        <v>2.122068509041513</v>
      </c>
      <c r="BJ20" s="37">
        <f t="shared" ca="1" si="49"/>
        <v>1.1551053327566174</v>
      </c>
      <c r="BK20" s="37">
        <f t="shared" ca="1" si="50"/>
        <v>2.4290270143192094</v>
      </c>
      <c r="BL20" s="37">
        <f t="shared" ca="1" si="51"/>
        <v>9.2062987152624398</v>
      </c>
      <c r="BM20" s="37">
        <f t="shared" ca="1" si="52"/>
        <v>0.33152074736115189</v>
      </c>
      <c r="BN20" s="37">
        <f t="shared" ca="1" si="53"/>
        <v>0.78757181778860275</v>
      </c>
      <c r="BO20" s="37">
        <f t="shared" ca="1" si="54"/>
        <v>0.29752713116458329</v>
      </c>
      <c r="BP20" s="37">
        <f t="shared" ca="1" si="55"/>
        <v>1.9444966912529102</v>
      </c>
      <c r="BQ20" s="37">
        <f t="shared" ca="1" si="56"/>
        <v>13.598763098200795</v>
      </c>
      <c r="BR20" s="37">
        <f t="shared" ca="1" si="57"/>
        <v>0.86067886334145216</v>
      </c>
      <c r="BS20" s="37">
        <f t="shared" ca="1" si="58"/>
        <v>1.2426133125109065</v>
      </c>
      <c r="BT20" s="37">
        <f t="shared" ca="1" si="59"/>
        <v>1.0675973530023282</v>
      </c>
      <c r="BU20" s="37">
        <f t="shared" ca="1" si="60"/>
        <v>4.022876761247824</v>
      </c>
      <c r="BV20" s="37">
        <f t="shared" ca="1" si="61"/>
        <v>9.4967820940044412</v>
      </c>
      <c r="BW20" s="37">
        <f t="shared" ca="1" si="62"/>
        <v>0.94355905018174002</v>
      </c>
      <c r="BX20" s="37">
        <f t="shared" ca="1" si="63"/>
        <v>2.5884119890120711</v>
      </c>
      <c r="BY20" s="37">
        <f t="shared" ca="1" si="64"/>
        <v>4.4549945392659005</v>
      </c>
      <c r="BZ20" s="37">
        <f t="shared" ca="1" si="65"/>
        <v>8.8120709268331492</v>
      </c>
      <c r="CA20" s="37">
        <f t="shared" ca="1" si="98"/>
        <v>4.4549945392659005</v>
      </c>
      <c r="CB20" s="37">
        <f t="shared" ca="1" si="66"/>
        <v>5.8937069026794422</v>
      </c>
      <c r="CC20" s="37">
        <f t="shared" ca="1" si="67"/>
        <v>11.529587880847764</v>
      </c>
      <c r="CD20" s="37">
        <f t="shared" ca="1" si="99"/>
        <v>5.8937069026794422</v>
      </c>
      <c r="CE20" s="37">
        <f t="shared" ca="1" si="68"/>
        <v>1.593849746928615</v>
      </c>
    </row>
    <row r="21" spans="1:83" x14ac:dyDescent="0.25">
      <c r="A21" t="str">
        <f>PLANTILLA!D22</f>
        <v>Xofre Taín</v>
      </c>
      <c r="B21">
        <f>PLANTILLA!E22</f>
        <v>18</v>
      </c>
      <c r="C21" s="33">
        <f ca="1">PLANTILLA!F22</f>
        <v>14</v>
      </c>
      <c r="D21" s="229"/>
      <c r="E21" s="30">
        <f>PLANTILLA!M22</f>
        <v>43200</v>
      </c>
      <c r="F21" s="47">
        <f>PLANTILLA!Q22</f>
        <v>6</v>
      </c>
      <c r="G21" s="48">
        <f t="shared" si="81"/>
        <v>0.92582009977255142</v>
      </c>
      <c r="H21" s="48">
        <f t="shared" si="82"/>
        <v>0.99928545900129484</v>
      </c>
      <c r="I21" s="51">
        <f t="shared" ca="1" si="83"/>
        <v>0.60257384451636975</v>
      </c>
      <c r="J21" s="39">
        <f>PLANTILLA!I22</f>
        <v>1.3</v>
      </c>
      <c r="K21" s="46">
        <f>PLANTILLA!X22</f>
        <v>0</v>
      </c>
      <c r="L21" s="46">
        <f>PLANTILLA!Y22</f>
        <v>1</v>
      </c>
      <c r="M21" s="46">
        <f>PLANTILLA!Z22</f>
        <v>5</v>
      </c>
      <c r="N21" s="46">
        <f>PLANTILLA!AA22</f>
        <v>7.6</v>
      </c>
      <c r="O21" s="46">
        <f>PLANTILLA!AB22</f>
        <v>4</v>
      </c>
      <c r="P21" s="46">
        <f>PLANTILLA!AC22</f>
        <v>3</v>
      </c>
      <c r="Q21" s="46">
        <f>PLANTILLA!AD22</f>
        <v>2</v>
      </c>
      <c r="R21" s="46">
        <f t="shared" si="84"/>
        <v>1.5</v>
      </c>
      <c r="S21" s="46">
        <f t="shared" si="85"/>
        <v>0.21000000000000002</v>
      </c>
      <c r="T21" s="46">
        <f t="shared" si="86"/>
        <v>0.1</v>
      </c>
      <c r="U21" s="46">
        <f t="shared" ca="1" si="87"/>
        <v>2.5501699041304242</v>
      </c>
      <c r="V21" s="46">
        <f t="shared" ca="1" si="88"/>
        <v>2.7525301122824168</v>
      </c>
      <c r="W21" s="37">
        <f t="shared" ca="1" si="89"/>
        <v>0.93467702834794886</v>
      </c>
      <c r="X21" s="37">
        <f t="shared" ca="1" si="90"/>
        <v>1.3990573237081352</v>
      </c>
      <c r="Y21" s="37">
        <f t="shared" ca="1" si="91"/>
        <v>0.93467702834794886</v>
      </c>
      <c r="Z21" s="37">
        <f t="shared" ca="1" si="19"/>
        <v>0.90532113015755056</v>
      </c>
      <c r="AA21" s="37">
        <f t="shared" ca="1" si="20"/>
        <v>1.7544983142588189</v>
      </c>
      <c r="AB21" s="37">
        <f t="shared" ca="1" si="92"/>
        <v>0.45266056507877528</v>
      </c>
      <c r="AC21" s="37">
        <f t="shared" ca="1" si="21"/>
        <v>1.3695705987935987</v>
      </c>
      <c r="AD21" s="37">
        <f t="shared" ca="1" si="22"/>
        <v>0.66320036278983352</v>
      </c>
      <c r="AE21" s="37">
        <f t="shared" ca="1" si="23"/>
        <v>1.268502281209126</v>
      </c>
      <c r="AF21" s="37">
        <f t="shared" ca="1" si="93"/>
        <v>0.33160018139491676</v>
      </c>
      <c r="AG21" s="37">
        <f t="shared" ca="1" si="24"/>
        <v>2.215481850989645</v>
      </c>
      <c r="AH21" s="37">
        <f t="shared" ca="1" si="25"/>
        <v>1.6141384491181134</v>
      </c>
      <c r="AI21" s="37">
        <f t="shared" ca="1" si="26"/>
        <v>0.726362302103151</v>
      </c>
      <c r="AJ21" s="37">
        <f t="shared" ca="1" si="27"/>
        <v>0.96100121848122266</v>
      </c>
      <c r="AK21" s="37">
        <f t="shared" ca="1" si="28"/>
        <v>4.9124450087841849</v>
      </c>
      <c r="AL21" s="37">
        <f t="shared" ca="1" si="29"/>
        <v>1.3228917289511495</v>
      </c>
      <c r="AM21" s="37">
        <f t="shared" ca="1" si="30"/>
        <v>1.2421848064952437</v>
      </c>
      <c r="AN21" s="37">
        <f t="shared" ca="1" si="31"/>
        <v>0.46000121848122277</v>
      </c>
      <c r="AO21" s="37">
        <f t="shared" ca="1" si="32"/>
        <v>0.64929551450653977</v>
      </c>
      <c r="AP21" s="37">
        <f t="shared" ca="1" si="33"/>
        <v>0.47371454484988113</v>
      </c>
      <c r="AQ21" s="37">
        <f t="shared" ca="1" si="34"/>
        <v>1.0421719986697384</v>
      </c>
      <c r="AR21" s="37">
        <f t="shared" ca="1" si="94"/>
        <v>0.23685727242494056</v>
      </c>
      <c r="AS21" s="37">
        <f t="shared" ca="1" si="35"/>
        <v>5.4322464086603235</v>
      </c>
      <c r="AT21" s="37">
        <f t="shared" ca="1" si="36"/>
        <v>0.61808478085364638</v>
      </c>
      <c r="AU21" s="37">
        <f t="shared" ca="1" si="37"/>
        <v>1.2200680060778337</v>
      </c>
      <c r="AV21" s="37">
        <f t="shared" ca="1" si="95"/>
        <v>0.30904239042682319</v>
      </c>
      <c r="AW21" s="37">
        <f t="shared" ca="1" si="38"/>
        <v>0.33160018139491676</v>
      </c>
      <c r="AX21" s="37">
        <f t="shared" ca="1" si="39"/>
        <v>0.70179932570352754</v>
      </c>
      <c r="AY21" s="37">
        <f t="shared" ca="1" si="96"/>
        <v>0.16580009069745838</v>
      </c>
      <c r="AZ21" s="37">
        <f t="shared" ca="1" si="40"/>
        <v>5.754498314258818</v>
      </c>
      <c r="BA21" s="37">
        <f t="shared" ca="1" si="41"/>
        <v>1.2028880735074809</v>
      </c>
      <c r="BB21" s="37">
        <f t="shared" ca="1" si="42"/>
        <v>2.409728571156609</v>
      </c>
      <c r="BC21" s="37">
        <f t="shared" ca="1" si="97"/>
        <v>0.60144403675374047</v>
      </c>
      <c r="BD21" s="37">
        <f t="shared" ca="1" si="43"/>
        <v>0.5105590094493162</v>
      </c>
      <c r="BE21" s="37">
        <f t="shared" ca="1" si="44"/>
        <v>0.61056541336206893</v>
      </c>
      <c r="BF21" s="37">
        <f t="shared" ca="1" si="45"/>
        <v>5.0697130148620184</v>
      </c>
      <c r="BG21" s="37">
        <f t="shared" ca="1" si="46"/>
        <v>6.2931490013760882</v>
      </c>
      <c r="BH21" s="37">
        <f t="shared" ca="1" si="47"/>
        <v>1.1458340937363751</v>
      </c>
      <c r="BI21" s="37">
        <f t="shared" ca="1" si="48"/>
        <v>0.85093168241552708</v>
      </c>
      <c r="BJ21" s="37">
        <f t="shared" ca="1" si="49"/>
        <v>0.46318755496432817</v>
      </c>
      <c r="BK21" s="37">
        <f t="shared" ca="1" si="50"/>
        <v>2.1924638577326099</v>
      </c>
      <c r="BL21" s="37">
        <f t="shared" ca="1" si="51"/>
        <v>6.5782315266622078</v>
      </c>
      <c r="BM21" s="37">
        <f t="shared" ca="1" si="52"/>
        <v>0.24723391234145853</v>
      </c>
      <c r="BN21" s="37">
        <f t="shared" ca="1" si="53"/>
        <v>0.31580969656658736</v>
      </c>
      <c r="BO21" s="37">
        <f t="shared" ca="1" si="54"/>
        <v>0.11930588536959968</v>
      </c>
      <c r="BP21" s="37">
        <f t="shared" ca="1" si="55"/>
        <v>1.7551219858489395</v>
      </c>
      <c r="BQ21" s="37">
        <f t="shared" ca="1" si="56"/>
        <v>9.7142848321368387</v>
      </c>
      <c r="BR21" s="37">
        <f t="shared" ca="1" si="57"/>
        <v>0.64185727242494051</v>
      </c>
      <c r="BS21" s="37">
        <f t="shared" ca="1" si="58"/>
        <v>0.49827752124950453</v>
      </c>
      <c r="BT21" s="37">
        <f t="shared" ca="1" si="59"/>
        <v>0.42809758867915182</v>
      </c>
      <c r="BU21" s="37">
        <f t="shared" ca="1" si="60"/>
        <v>3.6310884362973144</v>
      </c>
      <c r="BV21" s="37">
        <f t="shared" ca="1" si="61"/>
        <v>6.7824759912616415</v>
      </c>
      <c r="BW21" s="37">
        <f t="shared" ca="1" si="62"/>
        <v>0.703665750510305</v>
      </c>
      <c r="BX21" s="37">
        <f t="shared" ca="1" si="63"/>
        <v>2.3363263155890803</v>
      </c>
      <c r="BY21" s="37">
        <f t="shared" ca="1" si="64"/>
        <v>2.8684936217288439</v>
      </c>
      <c r="BZ21" s="37">
        <f t="shared" ca="1" si="65"/>
        <v>4.7705651018554294</v>
      </c>
      <c r="CA21" s="37">
        <f t="shared" ca="1" si="98"/>
        <v>2.8684936217288439</v>
      </c>
      <c r="CB21" s="37">
        <f t="shared" ca="1" si="66"/>
        <v>3.497652449783244</v>
      </c>
      <c r="CC21" s="37">
        <f t="shared" ca="1" si="67"/>
        <v>5.5089081922203231</v>
      </c>
      <c r="CD21" s="37">
        <f t="shared" ca="1" si="99"/>
        <v>3.497652449783244</v>
      </c>
      <c r="CE21" s="37">
        <f t="shared" ca="1" si="68"/>
        <v>1.4386245785647045</v>
      </c>
    </row>
    <row r="22" spans="1:83" x14ac:dyDescent="0.25">
      <c r="C22" s="33"/>
      <c r="D22" s="229"/>
      <c r="E22" s="30"/>
      <c r="F22" s="47"/>
      <c r="G22" s="48"/>
      <c r="H22" s="48"/>
      <c r="I22" s="51"/>
      <c r="J22" s="39"/>
      <c r="K22" s="46"/>
      <c r="L22" s="46"/>
      <c r="M22" s="46"/>
      <c r="N22" s="46"/>
      <c r="O22" s="46"/>
      <c r="P22" s="46"/>
      <c r="Q22" s="46"/>
      <c r="R22" s="46"/>
      <c r="S22" s="46"/>
      <c r="T22" s="46"/>
      <c r="U22" s="46"/>
      <c r="V22" s="46"/>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row>
    <row r="23" spans="1:83" x14ac:dyDescent="0.25">
      <c r="M23" s="37"/>
      <c r="N23" s="37"/>
      <c r="AH23" s="37"/>
      <c r="AI23" s="37"/>
    </row>
    <row r="24" spans="1:83" ht="18.75" x14ac:dyDescent="0.3">
      <c r="A24" s="103" t="s">
        <v>162</v>
      </c>
      <c r="B24" s="103" t="s">
        <v>163</v>
      </c>
      <c r="C24" s="103"/>
      <c r="D24" s="104"/>
      <c r="Z24" s="37"/>
      <c r="AA24" s="37"/>
      <c r="BV24" s="37"/>
      <c r="BW24" s="37"/>
    </row>
    <row r="25" spans="1:83" x14ac:dyDescent="0.25">
      <c r="A25" s="105" t="s">
        <v>164</v>
      </c>
      <c r="B25" s="106">
        <v>1</v>
      </c>
      <c r="C25" s="108">
        <v>0.624</v>
      </c>
      <c r="D25" s="109">
        <v>0.245</v>
      </c>
      <c r="AH25" s="37"/>
      <c r="AI25" s="37"/>
    </row>
    <row r="26" spans="1:83" x14ac:dyDescent="0.25">
      <c r="A26" s="105" t="s">
        <v>165</v>
      </c>
      <c r="B26" s="106">
        <v>1</v>
      </c>
      <c r="C26" s="108">
        <v>1.002</v>
      </c>
      <c r="D26" s="109">
        <v>0.34</v>
      </c>
      <c r="AG26" s="116"/>
      <c r="AH26" s="117"/>
    </row>
    <row r="27" spans="1:83" x14ac:dyDescent="0.25">
      <c r="A27" s="105" t="s">
        <v>166</v>
      </c>
      <c r="B27" s="106">
        <v>1</v>
      </c>
      <c r="C27" s="108">
        <v>0.46800000000000003</v>
      </c>
      <c r="D27" s="109">
        <v>0.125</v>
      </c>
      <c r="Z27" s="37"/>
      <c r="AA27" s="37"/>
      <c r="AH27" s="118"/>
      <c r="AI27" s="118"/>
      <c r="BV27" s="37"/>
      <c r="BW27" s="37"/>
    </row>
    <row r="28" spans="1:83" x14ac:dyDescent="0.25">
      <c r="A28" s="105" t="s">
        <v>167</v>
      </c>
      <c r="B28" s="106">
        <v>1</v>
      </c>
      <c r="C28" s="108">
        <v>0.877</v>
      </c>
      <c r="D28" s="109">
        <v>0.25</v>
      </c>
      <c r="W28" s="117"/>
    </row>
    <row r="29" spans="1:83" x14ac:dyDescent="0.25">
      <c r="A29" s="105" t="s">
        <v>168</v>
      </c>
      <c r="B29" s="106">
        <v>1</v>
      </c>
      <c r="C29" s="108">
        <v>0.59299999999999997</v>
      </c>
      <c r="D29" s="109">
        <v>0.19</v>
      </c>
      <c r="W29" s="117"/>
    </row>
    <row r="31" spans="1:83" x14ac:dyDescent="0.25">
      <c r="Z31" s="117"/>
      <c r="AA31" s="117"/>
      <c r="BV31" s="117"/>
      <c r="BW31" s="117"/>
    </row>
  </sheetData>
  <conditionalFormatting sqref="U3:V22">
    <cfRule type="cellIs" dxfId="10" priority="20" operator="greaterThan">
      <formula>15</formula>
    </cfRule>
  </conditionalFormatting>
  <conditionalFormatting sqref="R3:R22">
    <cfRule type="cellIs" dxfId="9" priority="19" operator="greaterThan">
      <formula>3.2</formula>
    </cfRule>
  </conditionalFormatting>
  <conditionalFormatting sqref="S3:T22">
    <cfRule type="cellIs" dxfId="8" priority="18" operator="greaterThan">
      <formula>0.6</formula>
    </cfRule>
  </conditionalFormatting>
  <conditionalFormatting sqref="W3:AI22 AK3:AM22 AO3:BD22 BF3:CE22">
    <cfRule type="cellIs" dxfId="7" priority="17" operator="greaterThan">
      <formula>12.5</formula>
    </cfRule>
  </conditionalFormatting>
  <conditionalFormatting sqref="J3:J22">
    <cfRule type="cellIs" dxfId="6" priority="14" operator="greaterThan">
      <formula>7</formula>
    </cfRule>
  </conditionalFormatting>
  <conditionalFormatting sqref="K3:Q22">
    <cfRule type="colorScale" priority="5224">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AJ71"/>
  <sheetViews>
    <sheetView zoomScaleNormal="100" workbookViewId="0">
      <selection activeCell="AG9" sqref="AG9"/>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 bestFit="1" customWidth="1"/>
    <col min="29" max="29" width="4.85546875" bestFit="1" customWidth="1"/>
    <col min="30" max="36" width="5.5703125" bestFit="1" customWidth="1"/>
  </cols>
  <sheetData>
    <row r="1" spans="1:36" x14ac:dyDescent="0.25">
      <c r="C1" s="137"/>
      <c r="D1" s="110"/>
      <c r="G1" s="65"/>
      <c r="H1" s="52"/>
      <c r="J1" s="65"/>
      <c r="K1" s="65"/>
      <c r="M1" s="138"/>
      <c r="T1" s="243"/>
      <c r="U1" s="243"/>
      <c r="V1" s="243"/>
      <c r="W1" s="139"/>
      <c r="X1" s="243" t="s">
        <v>169</v>
      </c>
      <c r="Y1" s="243"/>
      <c r="Z1" s="114">
        <f>T2+U2+V2+W2+X2+Y2+Z2</f>
        <v>14</v>
      </c>
      <c r="AA1" s="32">
        <f>Z1/16</f>
        <v>0.875</v>
      </c>
      <c r="AC1" s="65"/>
      <c r="AD1" s="65"/>
      <c r="AE1" s="65"/>
      <c r="AF1" s="65"/>
      <c r="AG1" s="65"/>
      <c r="AH1" s="65"/>
      <c r="AI1" s="65"/>
      <c r="AJ1" s="65"/>
    </row>
    <row r="2" spans="1:36" x14ac:dyDescent="0.25">
      <c r="A2" s="140"/>
      <c r="B2" s="140"/>
      <c r="C2" s="141"/>
      <c r="D2" s="142">
        <f ca="1">TODAY()</f>
        <v>43322</v>
      </c>
      <c r="G2" s="65"/>
      <c r="H2" s="143"/>
      <c r="I2" s="143"/>
      <c r="J2" s="144"/>
      <c r="K2" s="144"/>
      <c r="L2" s="143"/>
      <c r="M2" s="145"/>
      <c r="N2" s="143"/>
      <c r="O2" s="143"/>
      <c r="P2" s="143"/>
      <c r="Q2" s="143"/>
      <c r="R2" s="143"/>
      <c r="S2" s="143"/>
      <c r="T2" s="148">
        <v>0</v>
      </c>
      <c r="U2" s="149">
        <v>0</v>
      </c>
      <c r="V2" s="149">
        <v>0</v>
      </c>
      <c r="W2" s="148">
        <v>14</v>
      </c>
      <c r="X2" s="150">
        <v>0</v>
      </c>
      <c r="Y2" s="150">
        <v>0</v>
      </c>
      <c r="Z2" s="150">
        <v>0</v>
      </c>
      <c r="AA2" s="146"/>
      <c r="AB2" s="147"/>
      <c r="AC2" s="147"/>
      <c r="AD2" s="147"/>
      <c r="AE2" s="147"/>
      <c r="AF2" s="147"/>
      <c r="AG2" s="147"/>
      <c r="AH2" s="147"/>
      <c r="AI2" s="147"/>
      <c r="AJ2" s="147"/>
    </row>
    <row r="3" spans="1:36" x14ac:dyDescent="0.25">
      <c r="A3" s="10" t="s">
        <v>1</v>
      </c>
      <c r="B3" s="10" t="s">
        <v>2</v>
      </c>
      <c r="C3" s="11" t="s">
        <v>184</v>
      </c>
      <c r="D3" s="12" t="s">
        <v>3</v>
      </c>
      <c r="E3" s="10" t="s">
        <v>4</v>
      </c>
      <c r="F3" s="10" t="s">
        <v>5</v>
      </c>
      <c r="G3" s="10" t="s">
        <v>6</v>
      </c>
      <c r="H3" s="10" t="s">
        <v>7</v>
      </c>
      <c r="I3" s="10" t="s">
        <v>8</v>
      </c>
      <c r="J3" s="10" t="s">
        <v>9</v>
      </c>
      <c r="K3" s="13" t="s">
        <v>190</v>
      </c>
      <c r="L3" s="13" t="s">
        <v>191</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x14ac:dyDescent="0.25">
      <c r="A4" s="15" t="str">
        <f>PLANTILLA!A4</f>
        <v>#1</v>
      </c>
      <c r="B4" s="15" t="str">
        <f>PLANTILLA!B4</f>
        <v>POR</v>
      </c>
      <c r="C4" s="121">
        <f ca="1">PLANTILLA!C4</f>
        <v>13.160714285714286</v>
      </c>
      <c r="D4" s="28" t="str">
        <f>PLANTILLA!D4</f>
        <v>Nicolae Hornet</v>
      </c>
      <c r="E4" s="16">
        <f>PLANTILLA!E4</f>
        <v>19</v>
      </c>
      <c r="F4" s="17">
        <f ca="1">PLANTILLA!F4</f>
        <v>94</v>
      </c>
      <c r="G4" s="18"/>
      <c r="H4" s="4">
        <f>PLANTILLA!H4</f>
        <v>5</v>
      </c>
      <c r="I4" s="27">
        <f>PLANTILLA!I4</f>
        <v>0.7</v>
      </c>
      <c r="J4" s="19">
        <f>PLANTILLA!O4</f>
        <v>3.5</v>
      </c>
      <c r="K4" s="6">
        <f t="shared" ref="K4:K5" si="0">(H4)*(H4)*(I4)</f>
        <v>17.5</v>
      </c>
      <c r="L4" s="6">
        <f t="shared" ref="L4:L5" si="1">(H4+1)*(H4+1)*I4</f>
        <v>25.2</v>
      </c>
      <c r="M4" s="21">
        <f>PLANTILLA!X4</f>
        <v>6</v>
      </c>
      <c r="N4" s="21">
        <f>PLANTILLA!Y4</f>
        <v>3</v>
      </c>
      <c r="O4" s="21">
        <f>PLANTILLA!Z4</f>
        <v>0</v>
      </c>
      <c r="P4" s="21">
        <f>PLANTILLA!AA4</f>
        <v>1</v>
      </c>
      <c r="Q4" s="21">
        <f>PLANTILLA!AB4</f>
        <v>0</v>
      </c>
      <c r="R4" s="21">
        <f>PLANTILLA!AC4</f>
        <v>1</v>
      </c>
      <c r="S4" s="21">
        <f>PLANTILLA!AD4</f>
        <v>1</v>
      </c>
      <c r="T4" s="155">
        <v>0</v>
      </c>
      <c r="U4" s="155">
        <v>0</v>
      </c>
      <c r="V4" s="155">
        <v>0</v>
      </c>
      <c r="W4" s="155">
        <v>0</v>
      </c>
      <c r="X4" s="155">
        <v>0</v>
      </c>
      <c r="Y4" s="155">
        <v>0</v>
      </c>
      <c r="Z4" s="155">
        <v>0</v>
      </c>
      <c r="AA4" s="153">
        <v>20</v>
      </c>
      <c r="AB4" s="154">
        <f ca="1">F4+($W$2*7)-112</f>
        <v>80</v>
      </c>
      <c r="AC4" s="25">
        <f t="shared" ref="AC4:AC5" si="2">I4+$AC$2</f>
        <v>0.7</v>
      </c>
      <c r="AD4" s="156">
        <f t="shared" ref="AD4" si="3">M4</f>
        <v>6</v>
      </c>
      <c r="AE4" s="156">
        <f t="shared" ref="AE4" si="4">N4</f>
        <v>3</v>
      </c>
      <c r="AF4" s="156">
        <f t="shared" ref="AF4" si="5">O4</f>
        <v>0</v>
      </c>
      <c r="AG4" s="156">
        <f t="shared" ref="AG4" si="6">P4</f>
        <v>1</v>
      </c>
      <c r="AH4" s="156">
        <f t="shared" ref="AH4" si="7">Q4</f>
        <v>0</v>
      </c>
      <c r="AI4" s="156">
        <f t="shared" ref="AI4" si="8">R4</f>
        <v>1</v>
      </c>
      <c r="AJ4" s="156">
        <f t="shared" ref="AJ4" si="9">S4</f>
        <v>1</v>
      </c>
    </row>
    <row r="5" spans="1:36" x14ac:dyDescent="0.25">
      <c r="A5" s="15" t="str">
        <f>PLANTILLA!A5</f>
        <v>#37</v>
      </c>
      <c r="B5" s="15" t="str">
        <f>PLANTILLA!B5</f>
        <v>POR</v>
      </c>
      <c r="C5" s="121">
        <f ca="1">PLANTILLA!C5</f>
        <v>13.223214285714286</v>
      </c>
      <c r="D5" s="28" t="str">
        <f>PLANTILLA!D5</f>
        <v>Pablo Goenaga</v>
      </c>
      <c r="E5" s="16">
        <f>PLANTILLA!E5</f>
        <v>19</v>
      </c>
      <c r="F5" s="17">
        <f ca="1">PLANTILLA!F5</f>
        <v>87</v>
      </c>
      <c r="G5" s="18"/>
      <c r="H5" s="4">
        <f>PLANTILLA!H5</f>
        <v>5</v>
      </c>
      <c r="I5" s="27">
        <f>PLANTILLA!I5</f>
        <v>1</v>
      </c>
      <c r="J5" s="19">
        <f>PLANTILLA!O5</f>
        <v>3.5</v>
      </c>
      <c r="K5" s="6">
        <f t="shared" si="0"/>
        <v>25</v>
      </c>
      <c r="L5" s="6">
        <f t="shared" si="1"/>
        <v>36</v>
      </c>
      <c r="M5" s="21">
        <f>PLANTILLA!X5</f>
        <v>4</v>
      </c>
      <c r="N5" s="21">
        <f>PLANTILLA!Y5</f>
        <v>3</v>
      </c>
      <c r="O5" s="21">
        <f>PLANTILLA!Z5</f>
        <v>0</v>
      </c>
      <c r="P5" s="21">
        <f>PLANTILLA!AA5</f>
        <v>1</v>
      </c>
      <c r="Q5" s="21">
        <f>PLANTILLA!AB5</f>
        <v>1</v>
      </c>
      <c r="R5" s="21">
        <f>PLANTILLA!AC5</f>
        <v>1</v>
      </c>
      <c r="S5" s="21">
        <f>PLANTILLA!AD5</f>
        <v>4</v>
      </c>
      <c r="T5" s="155">
        <v>0</v>
      </c>
      <c r="U5" s="155">
        <v>0</v>
      </c>
      <c r="V5" s="155">
        <v>0</v>
      </c>
      <c r="W5" s="155">
        <v>0</v>
      </c>
      <c r="X5" s="155">
        <v>0</v>
      </c>
      <c r="Y5" s="155">
        <v>0</v>
      </c>
      <c r="Z5" s="155">
        <v>0</v>
      </c>
      <c r="AA5" s="153">
        <v>20</v>
      </c>
      <c r="AB5" s="154">
        <f ca="1">F5+($W$2*7)-112</f>
        <v>73</v>
      </c>
      <c r="AC5" s="25">
        <f t="shared" si="2"/>
        <v>1</v>
      </c>
      <c r="AD5" s="156">
        <f t="shared" ref="AD5:AD23" si="10">M5</f>
        <v>4</v>
      </c>
      <c r="AE5" s="156">
        <f t="shared" ref="AE5:AE23" si="11">N5</f>
        <v>3</v>
      </c>
      <c r="AF5" s="156">
        <f t="shared" ref="AF5:AF23" si="12">O5</f>
        <v>0</v>
      </c>
      <c r="AG5" s="156">
        <f t="shared" ref="AG5:AG23" si="13">P5</f>
        <v>1</v>
      </c>
      <c r="AH5" s="156">
        <f t="shared" ref="AH5:AH23" si="14">Q5</f>
        <v>1</v>
      </c>
      <c r="AI5" s="156">
        <f t="shared" ref="AI5:AI23" si="15">R5</f>
        <v>1</v>
      </c>
      <c r="AJ5" s="156">
        <f t="shared" ref="AJ5:AJ23" si="16">S5</f>
        <v>4</v>
      </c>
    </row>
    <row r="6" spans="1:36" ht="16.5" customHeight="1" x14ac:dyDescent="0.25">
      <c r="A6" s="15" t="str">
        <f>PLANTILLA!A6</f>
        <v>#2</v>
      </c>
      <c r="B6" s="15" t="str">
        <f>PLANTILLA!B6</f>
        <v>CEN</v>
      </c>
      <c r="C6" s="121">
        <f ca="1">PLANTILLA!C6</f>
        <v>8.9553571428571423</v>
      </c>
      <c r="D6" s="28" t="str">
        <f>PLANTILLA!D6</f>
        <v>Alberto Ercilla</v>
      </c>
      <c r="E6" s="16">
        <f>PLANTILLA!E6</f>
        <v>24</v>
      </c>
      <c r="F6" s="17">
        <f ca="1">PLANTILLA!F6</f>
        <v>5</v>
      </c>
      <c r="G6" s="18"/>
      <c r="H6" s="4">
        <f>PLANTILLA!H6</f>
        <v>4</v>
      </c>
      <c r="I6" s="27">
        <f>PLANTILLA!I6</f>
        <v>3.2</v>
      </c>
      <c r="J6" s="19">
        <f>PLANTILLA!O6</f>
        <v>4.5999999999999996</v>
      </c>
      <c r="K6" s="6">
        <f>(H6)*(H6)*(I6)</f>
        <v>51.2</v>
      </c>
      <c r="L6" s="6">
        <f>(H6+1)*(H6+1)*I6</f>
        <v>80</v>
      </c>
      <c r="M6" s="21">
        <f>PLANTILLA!X6</f>
        <v>0</v>
      </c>
      <c r="N6" s="21">
        <f>PLANTILLA!Y6</f>
        <v>7</v>
      </c>
      <c r="O6" s="21">
        <f>PLANTILLA!Z6</f>
        <v>2</v>
      </c>
      <c r="P6" s="21">
        <f>PLANTILLA!AA6</f>
        <v>6</v>
      </c>
      <c r="Q6" s="21">
        <f>PLANTILLA!AB6</f>
        <v>7.0305555555555559</v>
      </c>
      <c r="R6" s="21">
        <f>PLANTILLA!AC6</f>
        <v>5.5714285714285694</v>
      </c>
      <c r="S6" s="21">
        <f>PLANTILLA!AD6</f>
        <v>4</v>
      </c>
      <c r="T6" s="155">
        <v>0</v>
      </c>
      <c r="U6" s="155">
        <v>0</v>
      </c>
      <c r="V6" s="155">
        <v>0</v>
      </c>
      <c r="W6" s="155">
        <v>0</v>
      </c>
      <c r="X6" s="155">
        <v>0</v>
      </c>
      <c r="Y6" s="155">
        <v>0</v>
      </c>
      <c r="Z6" s="155">
        <v>0</v>
      </c>
      <c r="AA6" s="153">
        <f t="shared" ref="AA6:AA23" si="17">E6</f>
        <v>24</v>
      </c>
      <c r="AB6" s="154">
        <f t="shared" ref="AB6:AB23" ca="1" si="18">F6+($W$2*7)</f>
        <v>103</v>
      </c>
      <c r="AC6" s="25">
        <f>I6+$AC$2</f>
        <v>3.2</v>
      </c>
      <c r="AD6" s="156">
        <f t="shared" si="10"/>
        <v>0</v>
      </c>
      <c r="AE6" s="156">
        <f t="shared" si="11"/>
        <v>7</v>
      </c>
      <c r="AF6" s="156">
        <f t="shared" si="12"/>
        <v>2</v>
      </c>
      <c r="AG6" s="156">
        <f t="shared" si="13"/>
        <v>6</v>
      </c>
      <c r="AH6" s="156">
        <f t="shared" si="14"/>
        <v>7.0305555555555559</v>
      </c>
      <c r="AI6" s="156">
        <f t="shared" si="15"/>
        <v>5.5714285714285694</v>
      </c>
      <c r="AJ6" s="156">
        <f t="shared" si="16"/>
        <v>4</v>
      </c>
    </row>
    <row r="7" spans="1:36" ht="16.5" customHeight="1" x14ac:dyDescent="0.25">
      <c r="A7" s="15" t="str">
        <f>PLANTILLA!A7</f>
        <v>#4</v>
      </c>
      <c r="B7" s="15" t="str">
        <f>PLANTILLA!B7</f>
        <v>CEN</v>
      </c>
      <c r="C7" s="121">
        <f ca="1">PLANTILLA!C7</f>
        <v>13.946428571428571</v>
      </c>
      <c r="D7" s="28" t="str">
        <f>PLANTILLA!D7</f>
        <v>Manuel Parejo</v>
      </c>
      <c r="E7" s="16">
        <f>PLANTILLA!E7</f>
        <v>19</v>
      </c>
      <c r="F7" s="17">
        <f ca="1">PLANTILLA!F7</f>
        <v>6</v>
      </c>
      <c r="G7" s="18"/>
      <c r="H7" s="4">
        <f>PLANTILLA!H7</f>
        <v>1</v>
      </c>
      <c r="I7" s="27">
        <f>PLANTILLA!I7</f>
        <v>2.7</v>
      </c>
      <c r="J7" s="19">
        <f>PLANTILLA!O7</f>
        <v>2.8</v>
      </c>
      <c r="K7" s="6">
        <f t="shared" ref="K7:K23" si="19">(H7)*(H7)*(I7)</f>
        <v>2.7</v>
      </c>
      <c r="L7" s="6">
        <f t="shared" ref="L7:L23" si="20">(H7+1)*(H7+1)*I7</f>
        <v>10.8</v>
      </c>
      <c r="M7" s="21">
        <f>PLANTILLA!X7</f>
        <v>0</v>
      </c>
      <c r="N7" s="21">
        <f>PLANTILLA!Y7</f>
        <v>5</v>
      </c>
      <c r="O7" s="21">
        <f>PLANTILLA!Z7</f>
        <v>6.7</v>
      </c>
      <c r="P7" s="21">
        <f>PLANTILLA!AA7</f>
        <v>7.9</v>
      </c>
      <c r="Q7" s="21">
        <f>PLANTILLA!AB7</f>
        <v>3</v>
      </c>
      <c r="R7" s="21">
        <f>PLANTILLA!AC7</f>
        <v>3.792592592592595</v>
      </c>
      <c r="S7" s="21">
        <f>PLANTILLA!AD7</f>
        <v>2</v>
      </c>
      <c r="T7" s="155">
        <v>0</v>
      </c>
      <c r="U7" s="155">
        <v>0</v>
      </c>
      <c r="V7" s="155">
        <v>0</v>
      </c>
      <c r="W7" s="155">
        <v>0.5</v>
      </c>
      <c r="X7" s="155">
        <v>0</v>
      </c>
      <c r="Y7" s="155">
        <v>0</v>
      </c>
      <c r="Z7" s="155">
        <v>0</v>
      </c>
      <c r="AA7" s="153">
        <f t="shared" si="17"/>
        <v>19</v>
      </c>
      <c r="AB7" s="154">
        <f t="shared" ca="1" si="18"/>
        <v>104</v>
      </c>
      <c r="AC7" s="25">
        <f t="shared" ref="AC7:AC23" si="21">I7+$AC$2</f>
        <v>2.7</v>
      </c>
      <c r="AD7" s="156">
        <f t="shared" si="10"/>
        <v>0</v>
      </c>
      <c r="AE7" s="156">
        <f t="shared" si="11"/>
        <v>5</v>
      </c>
      <c r="AF7" s="156">
        <f t="shared" si="12"/>
        <v>6.7</v>
      </c>
      <c r="AG7" s="156">
        <f>9+5/7</f>
        <v>9.7142857142857135</v>
      </c>
      <c r="AH7" s="156">
        <f t="shared" si="14"/>
        <v>3</v>
      </c>
      <c r="AI7" s="156">
        <f t="shared" si="15"/>
        <v>3.792592592592595</v>
      </c>
      <c r="AJ7" s="156">
        <f t="shared" si="16"/>
        <v>2</v>
      </c>
    </row>
    <row r="8" spans="1:36" ht="16.5" customHeight="1" x14ac:dyDescent="0.25">
      <c r="A8" s="15" t="str">
        <f>PLANTILLA!A8</f>
        <v>#36</v>
      </c>
      <c r="B8" s="15" t="str">
        <f>PLANTILLA!B8</f>
        <v>CEN</v>
      </c>
      <c r="C8" s="121">
        <f ca="1">PLANTILLA!C8</f>
        <v>13.267857142857142</v>
      </c>
      <c r="D8" s="28" t="str">
        <f>PLANTILLA!D8</f>
        <v>Felipe Agulló</v>
      </c>
      <c r="E8" s="16">
        <f>PLANTILLA!E8</f>
        <v>19</v>
      </c>
      <c r="F8" s="17">
        <f ca="1">PLANTILLA!F8</f>
        <v>82</v>
      </c>
      <c r="G8" s="18"/>
      <c r="H8" s="4">
        <f>PLANTILLA!H8</f>
        <v>4</v>
      </c>
      <c r="I8" s="27">
        <f>PLANTILLA!I8</f>
        <v>2.1</v>
      </c>
      <c r="J8" s="19">
        <f>PLANTILLA!O8</f>
        <v>3.5</v>
      </c>
      <c r="K8" s="6">
        <f t="shared" si="19"/>
        <v>33.6</v>
      </c>
      <c r="L8" s="6">
        <f t="shared" si="20"/>
        <v>52.5</v>
      </c>
      <c r="M8" s="21">
        <f>PLANTILLA!X8</f>
        <v>0</v>
      </c>
      <c r="N8" s="21">
        <f>PLANTILLA!Y8</f>
        <v>6</v>
      </c>
      <c r="O8" s="21">
        <f>PLANTILLA!Z8</f>
        <v>2</v>
      </c>
      <c r="P8" s="21">
        <f>PLANTILLA!AA8</f>
        <v>2</v>
      </c>
      <c r="Q8" s="21">
        <f>PLANTILLA!AB8</f>
        <v>2</v>
      </c>
      <c r="R8" s="21">
        <f>PLANTILLA!AC8</f>
        <v>4</v>
      </c>
      <c r="S8" s="21">
        <f>PLANTILLA!AD8</f>
        <v>5</v>
      </c>
      <c r="T8" s="155">
        <v>0</v>
      </c>
      <c r="U8" s="155">
        <v>0</v>
      </c>
      <c r="V8" s="155">
        <v>0</v>
      </c>
      <c r="W8" s="155">
        <v>0</v>
      </c>
      <c r="X8" s="155">
        <v>0</v>
      </c>
      <c r="Y8" s="155">
        <v>0</v>
      </c>
      <c r="Z8" s="155">
        <v>0</v>
      </c>
      <c r="AA8" s="153">
        <v>20</v>
      </c>
      <c r="AB8" s="154">
        <f t="shared" ref="AB8:AB21" ca="1" si="22">F8+($W$2*7)-112</f>
        <v>68</v>
      </c>
      <c r="AC8" s="25">
        <f t="shared" si="21"/>
        <v>2.1</v>
      </c>
      <c r="AD8" s="156">
        <f t="shared" si="10"/>
        <v>0</v>
      </c>
      <c r="AE8" s="156">
        <f t="shared" si="11"/>
        <v>6</v>
      </c>
      <c r="AF8" s="156">
        <f t="shared" si="12"/>
        <v>2</v>
      </c>
      <c r="AG8" s="156">
        <f t="shared" si="13"/>
        <v>2</v>
      </c>
      <c r="AH8" s="156">
        <f t="shared" si="14"/>
        <v>2</v>
      </c>
      <c r="AI8" s="156">
        <f t="shared" si="15"/>
        <v>4</v>
      </c>
      <c r="AJ8" s="156">
        <f t="shared" si="16"/>
        <v>5</v>
      </c>
    </row>
    <row r="9" spans="1:36" ht="16.5" customHeight="1" x14ac:dyDescent="0.25">
      <c r="A9" s="15" t="str">
        <f>PLANTILLA!A9</f>
        <v>#6</v>
      </c>
      <c r="B9" s="15" t="str">
        <f>PLANTILLA!B9</f>
        <v>LAT</v>
      </c>
      <c r="C9" s="121">
        <f ca="1">PLANTILLA!C9</f>
        <v>13.357142857142858</v>
      </c>
      <c r="D9" s="28" t="str">
        <f>PLANTILLA!D9</f>
        <v>J. G. de Minaya</v>
      </c>
      <c r="E9" s="16">
        <f>PLANTILLA!E9</f>
        <v>19</v>
      </c>
      <c r="F9" s="17">
        <f ca="1">PLANTILLA!F9</f>
        <v>72</v>
      </c>
      <c r="G9" s="18"/>
      <c r="H9" s="4">
        <f>PLANTILLA!H9</f>
        <v>0</v>
      </c>
      <c r="I9" s="27">
        <f>PLANTILLA!I9</f>
        <v>2.7</v>
      </c>
      <c r="J9" s="19">
        <f>PLANTILLA!O9</f>
        <v>2.6</v>
      </c>
      <c r="K9" s="6">
        <f t="shared" si="19"/>
        <v>0</v>
      </c>
      <c r="L9" s="6">
        <f t="shared" si="20"/>
        <v>2.7</v>
      </c>
      <c r="M9" s="21">
        <f>PLANTILLA!X9</f>
        <v>0</v>
      </c>
      <c r="N9" s="21">
        <f>PLANTILLA!Y9</f>
        <v>6</v>
      </c>
      <c r="O9" s="21">
        <f>PLANTILLA!Z9</f>
        <v>5</v>
      </c>
      <c r="P9" s="21">
        <f>PLANTILLA!AA9</f>
        <v>9.3000000000000007</v>
      </c>
      <c r="Q9" s="21">
        <f>PLANTILLA!AB9</f>
        <v>6.2</v>
      </c>
      <c r="R9" s="21">
        <f>PLANTILLA!AC9</f>
        <v>8.25</v>
      </c>
      <c r="S9" s="21">
        <f>PLANTILLA!AD9</f>
        <v>0</v>
      </c>
      <c r="T9" s="155">
        <v>0</v>
      </c>
      <c r="U9" s="155">
        <v>0</v>
      </c>
      <c r="V9" s="155">
        <v>0</v>
      </c>
      <c r="W9" s="155">
        <v>0.5</v>
      </c>
      <c r="X9" s="155">
        <v>0</v>
      </c>
      <c r="Y9" s="155">
        <v>0</v>
      </c>
      <c r="Z9" s="155">
        <v>0</v>
      </c>
      <c r="AA9" s="153">
        <v>20</v>
      </c>
      <c r="AB9" s="154">
        <f t="shared" ca="1" si="22"/>
        <v>58</v>
      </c>
      <c r="AC9" s="25">
        <f t="shared" si="21"/>
        <v>2.7</v>
      </c>
      <c r="AD9" s="156">
        <f t="shared" si="10"/>
        <v>0</v>
      </c>
      <c r="AE9" s="156">
        <f t="shared" si="11"/>
        <v>6</v>
      </c>
      <c r="AF9" s="156">
        <f t="shared" si="12"/>
        <v>5</v>
      </c>
      <c r="AG9" s="156">
        <v>11</v>
      </c>
      <c r="AH9" s="156">
        <f t="shared" si="14"/>
        <v>6.2</v>
      </c>
      <c r="AI9" s="156">
        <f t="shared" si="15"/>
        <v>8.25</v>
      </c>
      <c r="AJ9" s="156">
        <f t="shared" si="16"/>
        <v>0</v>
      </c>
    </row>
    <row r="10" spans="1:36" ht="16.5" customHeight="1" x14ac:dyDescent="0.25">
      <c r="A10" s="15" t="str">
        <f>PLANTILLA!A10</f>
        <v>#9</v>
      </c>
      <c r="B10" s="15" t="str">
        <f>PLANTILLA!B10</f>
        <v>LAT</v>
      </c>
      <c r="C10" s="121">
        <f ca="1">PLANTILLA!C10</f>
        <v>13.446428571428571</v>
      </c>
      <c r="D10" s="28" t="str">
        <f>PLANTILLA!D10</f>
        <v>Francesc Añigas</v>
      </c>
      <c r="E10" s="16">
        <f>PLANTILLA!E10</f>
        <v>19</v>
      </c>
      <c r="F10" s="17">
        <f ca="1">PLANTILLA!F10</f>
        <v>62</v>
      </c>
      <c r="G10" s="18"/>
      <c r="H10" s="4">
        <f>PLANTILLA!H10</f>
        <v>5</v>
      </c>
      <c r="I10" s="27">
        <f>PLANTILLA!I10</f>
        <v>2.1</v>
      </c>
      <c r="J10" s="19">
        <f>PLANTILLA!O10</f>
        <v>2.5</v>
      </c>
      <c r="K10" s="6">
        <f t="shared" si="19"/>
        <v>52.5</v>
      </c>
      <c r="L10" s="6">
        <f t="shared" si="20"/>
        <v>75.600000000000009</v>
      </c>
      <c r="M10" s="21">
        <f>PLANTILLA!X10</f>
        <v>0</v>
      </c>
      <c r="N10" s="21">
        <f>PLANTILLA!Y10</f>
        <v>8</v>
      </c>
      <c r="O10" s="21">
        <f>PLANTILLA!Z10</f>
        <v>4</v>
      </c>
      <c r="P10" s="21">
        <f>PLANTILLA!AA10</f>
        <v>9</v>
      </c>
      <c r="Q10" s="21">
        <f>PLANTILLA!AB10</f>
        <v>4.25</v>
      </c>
      <c r="R10" s="21">
        <f>PLANTILLA!AC10</f>
        <v>7</v>
      </c>
      <c r="S10" s="21">
        <f>PLANTILLA!AD10</f>
        <v>3</v>
      </c>
      <c r="T10" s="155">
        <v>0</v>
      </c>
      <c r="U10" s="155">
        <v>0</v>
      </c>
      <c r="V10" s="155">
        <v>0</v>
      </c>
      <c r="W10" s="155">
        <v>1</v>
      </c>
      <c r="X10" s="155">
        <v>0</v>
      </c>
      <c r="Y10" s="155">
        <v>0</v>
      </c>
      <c r="Z10" s="155">
        <v>0</v>
      </c>
      <c r="AA10" s="153">
        <v>20</v>
      </c>
      <c r="AB10" s="154">
        <f t="shared" ca="1" si="22"/>
        <v>48</v>
      </c>
      <c r="AC10" s="25">
        <f t="shared" si="21"/>
        <v>2.1</v>
      </c>
      <c r="AD10" s="156">
        <f t="shared" si="10"/>
        <v>0</v>
      </c>
      <c r="AE10" s="156">
        <f t="shared" si="11"/>
        <v>8</v>
      </c>
      <c r="AF10" s="156">
        <f t="shared" si="12"/>
        <v>4</v>
      </c>
      <c r="AG10" s="156">
        <v>12</v>
      </c>
      <c r="AH10" s="156">
        <f t="shared" si="14"/>
        <v>4.25</v>
      </c>
      <c r="AI10" s="156">
        <f t="shared" si="15"/>
        <v>7</v>
      </c>
      <c r="AJ10" s="156">
        <f t="shared" si="16"/>
        <v>3</v>
      </c>
    </row>
    <row r="11" spans="1:36" ht="16.5" customHeight="1" x14ac:dyDescent="0.25">
      <c r="A11" s="15" t="str">
        <f>PLANTILLA!A11</f>
        <v>#3</v>
      </c>
      <c r="B11" s="15" t="str">
        <f>PLANTILLA!B11</f>
        <v>LAT</v>
      </c>
      <c r="C11" s="121">
        <f ca="1">PLANTILLA!C11</f>
        <v>13.794642857142858</v>
      </c>
      <c r="D11" s="28" t="str">
        <f>PLANTILLA!D11</f>
        <v>Will Duffill</v>
      </c>
      <c r="E11" s="16">
        <f>PLANTILLA!E11</f>
        <v>19</v>
      </c>
      <c r="F11" s="17">
        <f ca="1">PLANTILLA!F11</f>
        <v>23</v>
      </c>
      <c r="G11" s="18"/>
      <c r="H11" s="4">
        <f>PLANTILLA!H11</f>
        <v>3</v>
      </c>
      <c r="I11" s="27">
        <f>PLANTILLA!I11</f>
        <v>2.6</v>
      </c>
      <c r="J11" s="19">
        <f>PLANTILLA!O11</f>
        <v>2.8</v>
      </c>
      <c r="K11" s="6">
        <f t="shared" si="19"/>
        <v>23.400000000000002</v>
      </c>
      <c r="L11" s="6">
        <f t="shared" si="20"/>
        <v>41.6</v>
      </c>
      <c r="M11" s="21">
        <f>PLANTILLA!X11</f>
        <v>0</v>
      </c>
      <c r="N11" s="21">
        <f>PLANTILLA!Y11</f>
        <v>6</v>
      </c>
      <c r="O11" s="21">
        <f>PLANTILLA!Z11</f>
        <v>3</v>
      </c>
      <c r="P11" s="21">
        <f>PLANTILLA!AA11</f>
        <v>9.4</v>
      </c>
      <c r="Q11" s="21">
        <f>PLANTILLA!AB11</f>
        <v>7</v>
      </c>
      <c r="R11" s="21">
        <f>PLANTILLA!AC11</f>
        <v>7</v>
      </c>
      <c r="S11" s="21">
        <f>PLANTILLA!AD11</f>
        <v>3</v>
      </c>
      <c r="T11" s="155">
        <v>0</v>
      </c>
      <c r="U11" s="155">
        <v>0</v>
      </c>
      <c r="V11" s="155">
        <v>0</v>
      </c>
      <c r="W11" s="155">
        <v>1</v>
      </c>
      <c r="X11" s="155">
        <v>0</v>
      </c>
      <c r="Y11" s="155">
        <v>0</v>
      </c>
      <c r="Z11" s="155">
        <v>0</v>
      </c>
      <c r="AA11" s="153">
        <v>20</v>
      </c>
      <c r="AB11" s="154">
        <f t="shared" ca="1" si="22"/>
        <v>9</v>
      </c>
      <c r="AC11" s="25">
        <f t="shared" si="21"/>
        <v>2.6</v>
      </c>
      <c r="AD11" s="156">
        <f t="shared" si="10"/>
        <v>0</v>
      </c>
      <c r="AE11" s="156">
        <f t="shared" si="11"/>
        <v>6</v>
      </c>
      <c r="AF11" s="156">
        <f t="shared" si="12"/>
        <v>3</v>
      </c>
      <c r="AG11" s="156">
        <f>12+1/5</f>
        <v>12.2</v>
      </c>
      <c r="AH11" s="156">
        <f t="shared" si="14"/>
        <v>7</v>
      </c>
      <c r="AI11" s="156">
        <f t="shared" si="15"/>
        <v>7</v>
      </c>
      <c r="AJ11" s="156">
        <f t="shared" si="16"/>
        <v>3</v>
      </c>
    </row>
    <row r="12" spans="1:36" ht="16.5" customHeight="1" x14ac:dyDescent="0.25">
      <c r="A12" s="15" t="str">
        <f>PLANTILLA!A12</f>
        <v>#5</v>
      </c>
      <c r="B12" s="15" t="str">
        <f>PLANTILLA!B12</f>
        <v>LAT</v>
      </c>
      <c r="C12" s="121">
        <f ca="1">PLANTILLA!C12</f>
        <v>13.446428571428571</v>
      </c>
      <c r="D12" s="28" t="str">
        <f>PLANTILLA!D12</f>
        <v>Valeri Gomis</v>
      </c>
      <c r="E12" s="16">
        <f>PLANTILLA!E12</f>
        <v>19</v>
      </c>
      <c r="F12" s="17">
        <f ca="1">PLANTILLA!F12</f>
        <v>62</v>
      </c>
      <c r="G12" s="18"/>
      <c r="H12" s="4">
        <f>PLANTILLA!H12</f>
        <v>6</v>
      </c>
      <c r="I12" s="27">
        <f>PLANTILLA!I12</f>
        <v>2.7</v>
      </c>
      <c r="J12" s="19">
        <f>PLANTILLA!O12</f>
        <v>3.6</v>
      </c>
      <c r="K12" s="6">
        <f t="shared" si="19"/>
        <v>97.2</v>
      </c>
      <c r="L12" s="6">
        <f t="shared" si="20"/>
        <v>132.30000000000001</v>
      </c>
      <c r="M12" s="21">
        <f>PLANTILLA!X12</f>
        <v>0</v>
      </c>
      <c r="N12" s="21">
        <f>PLANTILLA!Y12</f>
        <v>6</v>
      </c>
      <c r="O12" s="21">
        <f>PLANTILLA!Z12</f>
        <v>3</v>
      </c>
      <c r="P12" s="21">
        <f>PLANTILLA!AA12</f>
        <v>9.9</v>
      </c>
      <c r="Q12" s="21">
        <f>PLANTILLA!AB12</f>
        <v>6.0000000000000009</v>
      </c>
      <c r="R12" s="21">
        <f>PLANTILLA!AC12</f>
        <v>7.25</v>
      </c>
      <c r="S12" s="21">
        <f>PLANTILLA!AD12</f>
        <v>3</v>
      </c>
      <c r="T12" s="155">
        <v>0</v>
      </c>
      <c r="U12" s="155">
        <v>0</v>
      </c>
      <c r="V12" s="155">
        <v>0</v>
      </c>
      <c r="W12" s="155">
        <v>0.5</v>
      </c>
      <c r="X12" s="155">
        <v>0</v>
      </c>
      <c r="Y12" s="155">
        <v>0</v>
      </c>
      <c r="Z12" s="155">
        <v>0</v>
      </c>
      <c r="AA12" s="153">
        <v>20</v>
      </c>
      <c r="AB12" s="154">
        <f t="shared" ca="1" si="22"/>
        <v>48</v>
      </c>
      <c r="AC12" s="25">
        <f t="shared" si="21"/>
        <v>2.7</v>
      </c>
      <c r="AD12" s="156">
        <f t="shared" si="10"/>
        <v>0</v>
      </c>
      <c r="AE12" s="156">
        <f t="shared" si="11"/>
        <v>6</v>
      </c>
      <c r="AF12" s="156">
        <f t="shared" si="12"/>
        <v>3</v>
      </c>
      <c r="AG12" s="156">
        <f>11+4/10</f>
        <v>11.4</v>
      </c>
      <c r="AH12" s="156">
        <f t="shared" si="14"/>
        <v>6.0000000000000009</v>
      </c>
      <c r="AI12" s="156">
        <f t="shared" si="15"/>
        <v>7.25</v>
      </c>
      <c r="AJ12" s="156">
        <f t="shared" si="16"/>
        <v>3</v>
      </c>
    </row>
    <row r="13" spans="1:36" ht="16.5" customHeight="1" x14ac:dyDescent="0.25">
      <c r="A13" s="15" t="str">
        <f>PLANTILLA!A13</f>
        <v>#7</v>
      </c>
      <c r="B13" s="15" t="str">
        <f>PLANTILLA!B13</f>
        <v>LAT</v>
      </c>
      <c r="C13" s="121">
        <f ca="1">PLANTILLA!C13</f>
        <v>13.669642857142858</v>
      </c>
      <c r="D13" s="28" t="str">
        <f>PLANTILLA!D13</f>
        <v>Raul Riquelme</v>
      </c>
      <c r="E13" s="16">
        <f>PLANTILLA!E13</f>
        <v>19</v>
      </c>
      <c r="F13" s="17">
        <f ca="1">PLANTILLA!F13</f>
        <v>37</v>
      </c>
      <c r="G13" s="18"/>
      <c r="H13" s="4">
        <f>PLANTILLA!H13</f>
        <v>6</v>
      </c>
      <c r="I13" s="27">
        <f>PLANTILLA!I13</f>
        <v>2.2999999999999998</v>
      </c>
      <c r="J13" s="19">
        <f>PLANTILLA!O13</f>
        <v>2.8</v>
      </c>
      <c r="K13" s="6">
        <f t="shared" si="19"/>
        <v>82.8</v>
      </c>
      <c r="L13" s="6">
        <f t="shared" si="20"/>
        <v>112.69999999999999</v>
      </c>
      <c r="M13" s="21">
        <f>PLANTILLA!X13</f>
        <v>0</v>
      </c>
      <c r="N13" s="21">
        <f>PLANTILLA!Y13</f>
        <v>6</v>
      </c>
      <c r="O13" s="21">
        <f>PLANTILLA!Z13</f>
        <v>3</v>
      </c>
      <c r="P13" s="21">
        <f>PLANTILLA!AA13</f>
        <v>8</v>
      </c>
      <c r="Q13" s="21">
        <f>PLANTILLA!AB13</f>
        <v>3.33</v>
      </c>
      <c r="R13" s="21">
        <f>PLANTILLA!AC13</f>
        <v>6.3488235294117636</v>
      </c>
      <c r="S13" s="21">
        <f>PLANTILLA!AD13</f>
        <v>4</v>
      </c>
      <c r="T13" s="155">
        <v>0</v>
      </c>
      <c r="U13" s="155">
        <v>0</v>
      </c>
      <c r="V13" s="155">
        <v>0</v>
      </c>
      <c r="W13" s="155">
        <v>0.5</v>
      </c>
      <c r="X13" s="155">
        <v>0</v>
      </c>
      <c r="Y13" s="155">
        <v>0</v>
      </c>
      <c r="Z13" s="155">
        <v>0</v>
      </c>
      <c r="AA13" s="153">
        <v>20</v>
      </c>
      <c r="AB13" s="154">
        <f t="shared" ca="1" si="22"/>
        <v>23</v>
      </c>
      <c r="AC13" s="25">
        <f t="shared" si="21"/>
        <v>2.2999999999999998</v>
      </c>
      <c r="AD13" s="156">
        <f t="shared" si="10"/>
        <v>0</v>
      </c>
      <c r="AE13" s="156">
        <f t="shared" si="11"/>
        <v>6</v>
      </c>
      <c r="AF13" s="156">
        <f t="shared" si="12"/>
        <v>3</v>
      </c>
      <c r="AG13" s="156">
        <f>9+6/7</f>
        <v>9.8571428571428577</v>
      </c>
      <c r="AH13" s="156">
        <f t="shared" si="14"/>
        <v>3.33</v>
      </c>
      <c r="AI13" s="156">
        <f t="shared" si="15"/>
        <v>6.3488235294117636</v>
      </c>
      <c r="AJ13" s="156">
        <f t="shared" si="16"/>
        <v>4</v>
      </c>
    </row>
    <row r="14" spans="1:36" ht="16.5" customHeight="1" x14ac:dyDescent="0.25">
      <c r="A14" s="15" t="str">
        <f>PLANTILLA!A14</f>
        <v>#20</v>
      </c>
      <c r="B14" s="15" t="str">
        <f>PLANTILLA!B14</f>
        <v>LAT</v>
      </c>
      <c r="C14" s="121">
        <f ca="1">PLANTILLA!C14</f>
        <v>13.053571428571429</v>
      </c>
      <c r="D14" s="28" t="str">
        <f>PLANTILLA!D14</f>
        <v>Roberto Montero</v>
      </c>
      <c r="E14" s="16">
        <f>PLANTILLA!E14</f>
        <v>19</v>
      </c>
      <c r="F14" s="17">
        <f ca="1">PLANTILLA!F14</f>
        <v>106</v>
      </c>
      <c r="G14" s="18"/>
      <c r="H14" s="4">
        <f>PLANTILLA!H14</f>
        <v>2</v>
      </c>
      <c r="I14" s="27">
        <f>PLANTILLA!I14</f>
        <v>1.2</v>
      </c>
      <c r="J14" s="19">
        <f>PLANTILLA!O14</f>
        <v>3.5</v>
      </c>
      <c r="K14" s="6">
        <f t="shared" si="19"/>
        <v>4.8</v>
      </c>
      <c r="L14" s="6">
        <f t="shared" si="20"/>
        <v>10.799999999999999</v>
      </c>
      <c r="M14" s="21">
        <f>PLANTILLA!X14</f>
        <v>0</v>
      </c>
      <c r="N14" s="21">
        <f>PLANTILLA!Y14</f>
        <v>6</v>
      </c>
      <c r="O14" s="21">
        <f>PLANTILLA!Z14</f>
        <v>4</v>
      </c>
      <c r="P14" s="21">
        <f>PLANTILLA!AA14</f>
        <v>5</v>
      </c>
      <c r="Q14" s="21">
        <f>PLANTILLA!AB14</f>
        <v>3.5528</v>
      </c>
      <c r="R14" s="21">
        <f>PLANTILLA!AC14</f>
        <v>4.4666666666666659</v>
      </c>
      <c r="S14" s="21">
        <f>PLANTILLA!AD14</f>
        <v>6</v>
      </c>
      <c r="T14" s="155">
        <v>0</v>
      </c>
      <c r="U14" s="155">
        <v>0</v>
      </c>
      <c r="V14" s="155">
        <v>0</v>
      </c>
      <c r="W14" s="155">
        <v>0</v>
      </c>
      <c r="X14" s="155">
        <v>0</v>
      </c>
      <c r="Y14" s="155">
        <v>0</v>
      </c>
      <c r="Z14" s="155">
        <v>0</v>
      </c>
      <c r="AA14" s="153">
        <v>20</v>
      </c>
      <c r="AB14" s="154">
        <f t="shared" ca="1" si="22"/>
        <v>92</v>
      </c>
      <c r="AC14" s="25">
        <f t="shared" si="21"/>
        <v>1.2</v>
      </c>
      <c r="AD14" s="156">
        <f t="shared" si="10"/>
        <v>0</v>
      </c>
      <c r="AE14" s="156">
        <f t="shared" si="11"/>
        <v>6</v>
      </c>
      <c r="AF14" s="156">
        <f t="shared" si="12"/>
        <v>4</v>
      </c>
      <c r="AG14" s="156">
        <f t="shared" si="13"/>
        <v>5</v>
      </c>
      <c r="AH14" s="156">
        <f t="shared" si="14"/>
        <v>3.5528</v>
      </c>
      <c r="AI14" s="156">
        <f t="shared" si="15"/>
        <v>4.4666666666666659</v>
      </c>
      <c r="AJ14" s="156">
        <f t="shared" si="16"/>
        <v>6</v>
      </c>
    </row>
    <row r="15" spans="1:36" ht="16.5" customHeight="1" x14ac:dyDescent="0.25">
      <c r="A15" s="15" t="str">
        <f>PLANTILLA!A15</f>
        <v>#23</v>
      </c>
      <c r="B15" s="15" t="str">
        <f>PLANTILLA!B15</f>
        <v>LAT</v>
      </c>
      <c r="C15" s="121">
        <f ca="1">PLANTILLA!C15</f>
        <v>13.482142857142858</v>
      </c>
      <c r="D15" s="28" t="str">
        <f>PLANTILLA!D15</f>
        <v>Eckardt Hägerling</v>
      </c>
      <c r="E15" s="16">
        <f>PLANTILLA!E15</f>
        <v>19</v>
      </c>
      <c r="F15" s="17">
        <f ca="1">PLANTILLA!F15</f>
        <v>58</v>
      </c>
      <c r="G15" s="18"/>
      <c r="H15" s="4">
        <f>PLANTILLA!H15</f>
        <v>3</v>
      </c>
      <c r="I15" s="27">
        <f>PLANTILLA!I15</f>
        <v>1.5</v>
      </c>
      <c r="J15" s="19">
        <f>PLANTILLA!O15</f>
        <v>3.7</v>
      </c>
      <c r="K15" s="6">
        <f t="shared" si="19"/>
        <v>13.5</v>
      </c>
      <c r="L15" s="6">
        <f t="shared" si="20"/>
        <v>24</v>
      </c>
      <c r="M15" s="21">
        <f>PLANTILLA!X15</f>
        <v>0</v>
      </c>
      <c r="N15" s="21">
        <f>PLANTILLA!Y15</f>
        <v>5</v>
      </c>
      <c r="O15" s="21">
        <f>PLANTILLA!Z15</f>
        <v>3</v>
      </c>
      <c r="P15" s="21">
        <f>PLANTILLA!AA15</f>
        <v>5.3</v>
      </c>
      <c r="Q15" s="21">
        <f>PLANTILLA!AB15</f>
        <v>3</v>
      </c>
      <c r="R15" s="21">
        <f>PLANTILLA!AC15</f>
        <v>4.6633333333333322</v>
      </c>
      <c r="S15" s="21">
        <f>PLANTILLA!AD15</f>
        <v>3</v>
      </c>
      <c r="T15" s="155">
        <v>0</v>
      </c>
      <c r="U15" s="155">
        <v>0</v>
      </c>
      <c r="V15" s="155">
        <v>0</v>
      </c>
      <c r="W15" s="155">
        <v>0</v>
      </c>
      <c r="X15" s="155">
        <v>0</v>
      </c>
      <c r="Y15" s="155">
        <v>0</v>
      </c>
      <c r="Z15" s="155">
        <v>0</v>
      </c>
      <c r="AA15" s="153">
        <v>20</v>
      </c>
      <c r="AB15" s="154">
        <f t="shared" ca="1" si="22"/>
        <v>44</v>
      </c>
      <c r="AC15" s="25">
        <f t="shared" si="21"/>
        <v>1.5</v>
      </c>
      <c r="AD15" s="156">
        <f t="shared" si="10"/>
        <v>0</v>
      </c>
      <c r="AE15" s="156">
        <f t="shared" si="11"/>
        <v>5</v>
      </c>
      <c r="AF15" s="156">
        <f t="shared" si="12"/>
        <v>3</v>
      </c>
      <c r="AG15" s="156">
        <f t="shared" si="13"/>
        <v>5.3</v>
      </c>
      <c r="AH15" s="156">
        <f t="shared" si="14"/>
        <v>3</v>
      </c>
      <c r="AI15" s="156">
        <f t="shared" si="15"/>
        <v>4.6633333333333322</v>
      </c>
      <c r="AJ15" s="156">
        <f t="shared" si="16"/>
        <v>3</v>
      </c>
    </row>
    <row r="16" spans="1:36" ht="16.5" customHeight="1" x14ac:dyDescent="0.25">
      <c r="A16" s="15" t="str">
        <f>PLANTILLA!A16</f>
        <v>#21</v>
      </c>
      <c r="B16" s="15" t="str">
        <f>PLANTILLA!B16</f>
        <v>MED</v>
      </c>
      <c r="C16" s="121">
        <f ca="1">PLANTILLA!C16</f>
        <v>13.116071428571429</v>
      </c>
      <c r="D16" s="28" t="str">
        <f>PLANTILLA!D16</f>
        <v>Fernando Gazón</v>
      </c>
      <c r="E16" s="16">
        <f>PLANTILLA!E16</f>
        <v>19</v>
      </c>
      <c r="F16" s="17">
        <f ca="1">PLANTILLA!F16</f>
        <v>99</v>
      </c>
      <c r="G16" s="18"/>
      <c r="H16" s="4">
        <f>PLANTILLA!H16</f>
        <v>3</v>
      </c>
      <c r="I16" s="27">
        <f>PLANTILLA!I16</f>
        <v>1.9</v>
      </c>
      <c r="J16" s="19">
        <f>PLANTILLA!O16</f>
        <v>3.5</v>
      </c>
      <c r="K16" s="6">
        <f t="shared" si="19"/>
        <v>17.099999999999998</v>
      </c>
      <c r="L16" s="6">
        <f t="shared" si="20"/>
        <v>30.4</v>
      </c>
      <c r="M16" s="21">
        <f>PLANTILLA!X16</f>
        <v>0</v>
      </c>
      <c r="N16" s="21">
        <f>PLANTILLA!Y16</f>
        <v>3</v>
      </c>
      <c r="O16" s="21">
        <f>PLANTILLA!Z16</f>
        <v>6</v>
      </c>
      <c r="P16" s="21">
        <f>PLANTILLA!AA16</f>
        <v>5</v>
      </c>
      <c r="Q16" s="21">
        <f>PLANTILLA!AB16</f>
        <v>4.25</v>
      </c>
      <c r="R16" s="21">
        <f>PLANTILLA!AC16</f>
        <v>5.6190261437908475</v>
      </c>
      <c r="S16" s="21">
        <f>PLANTILLA!AD16</f>
        <v>3</v>
      </c>
      <c r="T16" s="155">
        <v>0</v>
      </c>
      <c r="U16" s="155">
        <v>0</v>
      </c>
      <c r="V16" s="155">
        <v>0</v>
      </c>
      <c r="W16" s="155">
        <v>0</v>
      </c>
      <c r="X16" s="155">
        <v>0</v>
      </c>
      <c r="Y16" s="155">
        <v>0</v>
      </c>
      <c r="Z16" s="155">
        <v>0</v>
      </c>
      <c r="AA16" s="153">
        <v>20</v>
      </c>
      <c r="AB16" s="154">
        <f t="shared" ca="1" si="22"/>
        <v>85</v>
      </c>
      <c r="AC16" s="25">
        <f t="shared" si="21"/>
        <v>1.9</v>
      </c>
      <c r="AD16" s="156">
        <f t="shared" si="10"/>
        <v>0</v>
      </c>
      <c r="AE16" s="156">
        <f t="shared" si="11"/>
        <v>3</v>
      </c>
      <c r="AF16" s="156">
        <f t="shared" si="12"/>
        <v>6</v>
      </c>
      <c r="AG16" s="156">
        <f t="shared" si="13"/>
        <v>5</v>
      </c>
      <c r="AH16" s="156">
        <f t="shared" si="14"/>
        <v>4.25</v>
      </c>
      <c r="AI16" s="156">
        <f t="shared" si="15"/>
        <v>5.6190261437908475</v>
      </c>
      <c r="AJ16" s="156">
        <f t="shared" si="16"/>
        <v>3</v>
      </c>
    </row>
    <row r="17" spans="1:36" ht="16.5" customHeight="1" x14ac:dyDescent="0.25">
      <c r="A17" s="15" t="str">
        <f>PLANTILLA!A17</f>
        <v>#28</v>
      </c>
      <c r="B17" s="15" t="str">
        <f>PLANTILLA!B17</f>
        <v>MED</v>
      </c>
      <c r="C17" s="121">
        <f ca="1">PLANTILLA!C17</f>
        <v>13.473214285714286</v>
      </c>
      <c r="D17" s="28" t="str">
        <f>PLANTILLA!D17</f>
        <v>Marc Dolz</v>
      </c>
      <c r="E17" s="16">
        <f>PLANTILLA!E17</f>
        <v>19</v>
      </c>
      <c r="F17" s="17">
        <f ca="1">PLANTILLA!F17</f>
        <v>59</v>
      </c>
      <c r="G17" s="18"/>
      <c r="H17" s="4">
        <f>PLANTILLA!H17</f>
        <v>3</v>
      </c>
      <c r="I17" s="27">
        <f>PLANTILLA!I17</f>
        <v>1.2</v>
      </c>
      <c r="J17" s="19">
        <f>PLANTILLA!O17</f>
        <v>2.9</v>
      </c>
      <c r="K17" s="6">
        <f t="shared" si="19"/>
        <v>10.799999999999999</v>
      </c>
      <c r="L17" s="6">
        <f t="shared" si="20"/>
        <v>19.2</v>
      </c>
      <c r="M17" s="21">
        <f>PLANTILLA!X17</f>
        <v>0</v>
      </c>
      <c r="N17" s="21">
        <f>PLANTILLA!Y17</f>
        <v>4</v>
      </c>
      <c r="O17" s="21">
        <f>PLANTILLA!Z17</f>
        <v>4</v>
      </c>
      <c r="P17" s="21">
        <f>PLANTILLA!AA17</f>
        <v>4</v>
      </c>
      <c r="Q17" s="21">
        <f>PLANTILLA!AB17</f>
        <v>4.2926666666666664</v>
      </c>
      <c r="R17" s="21">
        <f>PLANTILLA!AC17</f>
        <v>3.6666666666666687</v>
      </c>
      <c r="S17" s="21">
        <f>PLANTILLA!AD17</f>
        <v>0.4</v>
      </c>
      <c r="T17" s="155">
        <v>0</v>
      </c>
      <c r="U17" s="155">
        <v>0</v>
      </c>
      <c r="V17" s="155">
        <v>0</v>
      </c>
      <c r="W17" s="155">
        <v>0</v>
      </c>
      <c r="X17" s="155">
        <v>0</v>
      </c>
      <c r="Y17" s="155">
        <v>0</v>
      </c>
      <c r="Z17" s="155">
        <v>0</v>
      </c>
      <c r="AA17" s="153">
        <v>20</v>
      </c>
      <c r="AB17" s="154">
        <f t="shared" ca="1" si="22"/>
        <v>45</v>
      </c>
      <c r="AC17" s="25">
        <f t="shared" si="21"/>
        <v>1.2</v>
      </c>
      <c r="AD17" s="156">
        <f t="shared" si="10"/>
        <v>0</v>
      </c>
      <c r="AE17" s="156">
        <f t="shared" si="11"/>
        <v>4</v>
      </c>
      <c r="AF17" s="156">
        <f t="shared" si="12"/>
        <v>4</v>
      </c>
      <c r="AG17" s="156">
        <f t="shared" si="13"/>
        <v>4</v>
      </c>
      <c r="AH17" s="156">
        <f t="shared" si="14"/>
        <v>4.2926666666666664</v>
      </c>
      <c r="AI17" s="156">
        <f t="shared" si="15"/>
        <v>3.6666666666666687</v>
      </c>
      <c r="AJ17" s="156">
        <f t="shared" si="16"/>
        <v>0.4</v>
      </c>
    </row>
    <row r="18" spans="1:36" ht="16.5" customHeight="1" x14ac:dyDescent="0.25">
      <c r="A18" s="15" t="str">
        <f>PLANTILLA!A18</f>
        <v>#30</v>
      </c>
      <c r="B18" s="15" t="str">
        <f>PLANTILLA!B18</f>
        <v>MED</v>
      </c>
      <c r="C18" s="121">
        <f ca="1">PLANTILLA!C18</f>
        <v>12.071428571428571</v>
      </c>
      <c r="D18" s="28" t="str">
        <f>PLANTILLA!D18</f>
        <v>Mauro Vaz</v>
      </c>
      <c r="E18" s="16">
        <f>PLANTILLA!E18</f>
        <v>20</v>
      </c>
      <c r="F18" s="17">
        <f ca="1">PLANTILLA!F18</f>
        <v>104</v>
      </c>
      <c r="G18" s="18"/>
      <c r="H18" s="4">
        <f>PLANTILLA!H18</f>
        <v>5</v>
      </c>
      <c r="I18" s="27">
        <f>PLANTILLA!I18</f>
        <v>2.1</v>
      </c>
      <c r="J18" s="19">
        <f>PLANTILLA!O18</f>
        <v>2.9</v>
      </c>
      <c r="K18" s="6">
        <f t="shared" si="19"/>
        <v>52.5</v>
      </c>
      <c r="L18" s="6">
        <f t="shared" si="20"/>
        <v>75.600000000000009</v>
      </c>
      <c r="M18" s="21">
        <f>PLANTILLA!X18</f>
        <v>0</v>
      </c>
      <c r="N18" s="21">
        <f>PLANTILLA!Y18</f>
        <v>4</v>
      </c>
      <c r="O18" s="21">
        <f>PLANTILLA!Z18</f>
        <v>5</v>
      </c>
      <c r="P18" s="21">
        <f>PLANTILLA!AA18</f>
        <v>3</v>
      </c>
      <c r="Q18" s="21">
        <f>PLANTILLA!AB18</f>
        <v>3.25</v>
      </c>
      <c r="R18" s="21">
        <f>PLANTILLA!AC18</f>
        <v>5.4999999999999982</v>
      </c>
      <c r="S18" s="21">
        <f>PLANTILLA!AD18</f>
        <v>2</v>
      </c>
      <c r="T18" s="155">
        <v>0</v>
      </c>
      <c r="U18" s="155">
        <v>0</v>
      </c>
      <c r="V18" s="155">
        <v>0</v>
      </c>
      <c r="W18" s="155">
        <v>0</v>
      </c>
      <c r="X18" s="155">
        <v>0</v>
      </c>
      <c r="Y18" s="155">
        <v>0</v>
      </c>
      <c r="Z18" s="155">
        <v>0</v>
      </c>
      <c r="AA18" s="153">
        <v>20</v>
      </c>
      <c r="AB18" s="154">
        <f t="shared" ca="1" si="22"/>
        <v>90</v>
      </c>
      <c r="AC18" s="25">
        <f t="shared" si="21"/>
        <v>2.1</v>
      </c>
      <c r="AD18" s="156">
        <f t="shared" si="10"/>
        <v>0</v>
      </c>
      <c r="AE18" s="156">
        <f t="shared" si="11"/>
        <v>4</v>
      </c>
      <c r="AF18" s="156">
        <f t="shared" si="12"/>
        <v>5</v>
      </c>
      <c r="AG18" s="156">
        <f t="shared" si="13"/>
        <v>3</v>
      </c>
      <c r="AH18" s="156">
        <f t="shared" si="14"/>
        <v>3.25</v>
      </c>
      <c r="AI18" s="156">
        <f t="shared" si="15"/>
        <v>5.4999999999999982</v>
      </c>
      <c r="AJ18" s="156">
        <f t="shared" si="16"/>
        <v>2</v>
      </c>
    </row>
    <row r="19" spans="1:36" ht="16.5" customHeight="1" x14ac:dyDescent="0.25">
      <c r="A19" s="15" t="str">
        <f>PLANTILLA!A19</f>
        <v>#26</v>
      </c>
      <c r="B19" s="15" t="str">
        <f>PLANTILLA!B19</f>
        <v>MED</v>
      </c>
      <c r="C19" s="121">
        <f ca="1">PLANTILLA!C19</f>
        <v>13.223214285714286</v>
      </c>
      <c r="D19" s="28" t="str">
        <f>PLANTILLA!D19</f>
        <v>Roberto Abenoza</v>
      </c>
      <c r="E19" s="16">
        <f>PLANTILLA!E19</f>
        <v>19</v>
      </c>
      <c r="F19" s="17">
        <f ca="1">PLANTILLA!F19</f>
        <v>87</v>
      </c>
      <c r="G19" s="18"/>
      <c r="H19" s="4">
        <f>PLANTILLA!H19</f>
        <v>4</v>
      </c>
      <c r="I19" s="27">
        <f>PLANTILLA!I19</f>
        <v>1.2</v>
      </c>
      <c r="J19" s="19">
        <f>PLANTILLA!O19</f>
        <v>3.5</v>
      </c>
      <c r="K19" s="6">
        <f t="shared" si="19"/>
        <v>19.2</v>
      </c>
      <c r="L19" s="6">
        <f t="shared" si="20"/>
        <v>30</v>
      </c>
      <c r="M19" s="21">
        <f>PLANTILLA!X19</f>
        <v>0</v>
      </c>
      <c r="N19" s="21">
        <f>PLANTILLA!Y19</f>
        <v>2</v>
      </c>
      <c r="O19" s="21">
        <f>PLANTILLA!Z19</f>
        <v>5</v>
      </c>
      <c r="P19" s="21">
        <f>PLANTILLA!AA19</f>
        <v>4</v>
      </c>
      <c r="Q19" s="21">
        <f>PLANTILLA!AB19</f>
        <v>3</v>
      </c>
      <c r="R19" s="21">
        <f>PLANTILLA!AC19</f>
        <v>5.6999999999999975</v>
      </c>
      <c r="S19" s="21">
        <f>PLANTILLA!AD19</f>
        <v>5</v>
      </c>
      <c r="T19" s="155">
        <v>0</v>
      </c>
      <c r="U19" s="155">
        <v>0</v>
      </c>
      <c r="V19" s="155">
        <v>0</v>
      </c>
      <c r="W19" s="155">
        <v>0</v>
      </c>
      <c r="X19" s="155">
        <v>0</v>
      </c>
      <c r="Y19" s="155">
        <v>0</v>
      </c>
      <c r="Z19" s="155">
        <v>0</v>
      </c>
      <c r="AA19" s="153">
        <v>20</v>
      </c>
      <c r="AB19" s="154">
        <f t="shared" ca="1" si="22"/>
        <v>73</v>
      </c>
      <c r="AC19" s="25">
        <f t="shared" si="21"/>
        <v>1.2</v>
      </c>
      <c r="AD19" s="156">
        <f t="shared" si="10"/>
        <v>0</v>
      </c>
      <c r="AE19" s="156">
        <f t="shared" si="11"/>
        <v>2</v>
      </c>
      <c r="AF19" s="156">
        <f t="shared" si="12"/>
        <v>5</v>
      </c>
      <c r="AG19" s="156">
        <f t="shared" si="13"/>
        <v>4</v>
      </c>
      <c r="AH19" s="156">
        <f t="shared" si="14"/>
        <v>3</v>
      </c>
      <c r="AI19" s="156">
        <f t="shared" si="15"/>
        <v>5.6999999999999975</v>
      </c>
      <c r="AJ19" s="156">
        <f t="shared" si="16"/>
        <v>5</v>
      </c>
    </row>
    <row r="20" spans="1:36" ht="16.5" customHeight="1" x14ac:dyDescent="0.25">
      <c r="A20" s="15" t="str">
        <f>PLANTILLA!A20</f>
        <v>#8</v>
      </c>
      <c r="B20" s="15" t="str">
        <f>PLANTILLA!B20</f>
        <v>EXT</v>
      </c>
      <c r="C20" s="121">
        <f ca="1">PLANTILLA!C20</f>
        <v>13.482142857142858</v>
      </c>
      <c r="D20" s="28" t="str">
        <f>PLANTILLA!D20</f>
        <v>Enrique Cubas</v>
      </c>
      <c r="E20" s="16">
        <f>PLANTILLA!E20</f>
        <v>19</v>
      </c>
      <c r="F20" s="17">
        <f ca="1">PLANTILLA!F20</f>
        <v>58</v>
      </c>
      <c r="G20" s="18"/>
      <c r="H20" s="4">
        <f>PLANTILLA!H20</f>
        <v>1</v>
      </c>
      <c r="I20" s="27">
        <f>PLANTILLA!I20</f>
        <v>2.6</v>
      </c>
      <c r="J20" s="19">
        <f>PLANTILLA!O20</f>
        <v>3.5</v>
      </c>
      <c r="K20" s="6">
        <f t="shared" si="19"/>
        <v>2.6</v>
      </c>
      <c r="L20" s="6">
        <f t="shared" si="20"/>
        <v>10.4</v>
      </c>
      <c r="M20" s="21">
        <f>PLANTILLA!X20</f>
        <v>0</v>
      </c>
      <c r="N20" s="21">
        <f>PLANTILLA!Y20</f>
        <v>2</v>
      </c>
      <c r="O20" s="21">
        <f>PLANTILLA!Z20</f>
        <v>5.7</v>
      </c>
      <c r="P20" s="21">
        <f>PLANTILLA!AA20</f>
        <v>11</v>
      </c>
      <c r="Q20" s="21">
        <f>PLANTILLA!AB20</f>
        <v>6</v>
      </c>
      <c r="R20" s="21">
        <f>PLANTILLA!AC20</f>
        <v>7.5</v>
      </c>
      <c r="S20" s="21">
        <f>PLANTILLA!AD20</f>
        <v>5</v>
      </c>
      <c r="T20" s="155">
        <v>0</v>
      </c>
      <c r="U20" s="155">
        <v>0</v>
      </c>
      <c r="V20" s="155">
        <v>0</v>
      </c>
      <c r="W20" s="155">
        <v>1</v>
      </c>
      <c r="X20" s="155">
        <v>0</v>
      </c>
      <c r="Y20" s="155">
        <v>0</v>
      </c>
      <c r="Z20" s="155">
        <v>0</v>
      </c>
      <c r="AA20" s="153">
        <v>20</v>
      </c>
      <c r="AB20" s="154">
        <f t="shared" ca="1" si="22"/>
        <v>44</v>
      </c>
      <c r="AC20" s="25">
        <f t="shared" si="21"/>
        <v>2.6</v>
      </c>
      <c r="AD20" s="156">
        <f t="shared" si="10"/>
        <v>0</v>
      </c>
      <c r="AE20" s="156">
        <f t="shared" si="11"/>
        <v>2</v>
      </c>
      <c r="AF20" s="156">
        <f t="shared" si="12"/>
        <v>5.7</v>
      </c>
      <c r="AG20" s="156">
        <f>13+4/7</f>
        <v>13.571428571428571</v>
      </c>
      <c r="AH20" s="156">
        <f t="shared" si="14"/>
        <v>6</v>
      </c>
      <c r="AI20" s="156">
        <f t="shared" si="15"/>
        <v>7.5</v>
      </c>
      <c r="AJ20" s="156">
        <f t="shared" si="16"/>
        <v>5</v>
      </c>
    </row>
    <row r="21" spans="1:36" ht="16.5" customHeight="1" x14ac:dyDescent="0.25">
      <c r="A21" s="15" t="str">
        <f>PLANTILLA!A21</f>
        <v>#11</v>
      </c>
      <c r="B21" s="15" t="str">
        <f>PLANTILLA!B21</f>
        <v>EXT</v>
      </c>
      <c r="C21" s="121">
        <f ca="1">PLANTILLA!C21</f>
        <v>13.482142857142858</v>
      </c>
      <c r="D21" s="28" t="str">
        <f>PLANTILLA!D21</f>
        <v>J. G. Peñuela</v>
      </c>
      <c r="E21" s="16">
        <f>PLANTILLA!E21</f>
        <v>19</v>
      </c>
      <c r="F21" s="17">
        <f ca="1">PLANTILLA!F21</f>
        <v>58</v>
      </c>
      <c r="G21" s="18"/>
      <c r="H21" s="4">
        <f>PLANTILLA!H21</f>
        <v>6</v>
      </c>
      <c r="I21" s="27">
        <f>PLANTILLA!I21</f>
        <v>2.2999999999999998</v>
      </c>
      <c r="J21" s="19">
        <f>PLANTILLA!O21</f>
        <v>3.4</v>
      </c>
      <c r="K21" s="6">
        <f t="shared" si="19"/>
        <v>82.8</v>
      </c>
      <c r="L21" s="6">
        <f t="shared" si="20"/>
        <v>112.69999999999999</v>
      </c>
      <c r="M21" s="21">
        <f>PLANTILLA!X21</f>
        <v>0</v>
      </c>
      <c r="N21" s="21">
        <f>PLANTILLA!Y21</f>
        <v>3</v>
      </c>
      <c r="O21" s="21">
        <f>PLANTILLA!Z21</f>
        <v>5</v>
      </c>
      <c r="P21" s="21">
        <f>PLANTILLA!AA21</f>
        <v>10.4</v>
      </c>
      <c r="Q21" s="21">
        <f>PLANTILLA!AB21</f>
        <v>5</v>
      </c>
      <c r="R21" s="21">
        <f>PLANTILLA!AC21</f>
        <v>7.8016666666666676</v>
      </c>
      <c r="S21" s="21">
        <f>PLANTILLA!AD21</f>
        <v>3</v>
      </c>
      <c r="T21" s="155">
        <v>0</v>
      </c>
      <c r="U21" s="155">
        <v>0</v>
      </c>
      <c r="V21" s="155">
        <v>0</v>
      </c>
      <c r="W21" s="155">
        <v>1</v>
      </c>
      <c r="X21" s="155">
        <v>0</v>
      </c>
      <c r="Y21" s="155">
        <v>0</v>
      </c>
      <c r="Z21" s="155">
        <v>0</v>
      </c>
      <c r="AA21" s="153">
        <v>20</v>
      </c>
      <c r="AB21" s="154">
        <f t="shared" ca="1" si="22"/>
        <v>44</v>
      </c>
      <c r="AC21" s="25">
        <f t="shared" si="21"/>
        <v>2.2999999999999998</v>
      </c>
      <c r="AD21" s="156">
        <f t="shared" si="10"/>
        <v>0</v>
      </c>
      <c r="AE21" s="156">
        <f t="shared" si="11"/>
        <v>3</v>
      </c>
      <c r="AF21" s="156">
        <f t="shared" si="12"/>
        <v>5</v>
      </c>
      <c r="AG21" s="156">
        <f>12+5/6</f>
        <v>12.833333333333334</v>
      </c>
      <c r="AH21" s="156">
        <f t="shared" si="14"/>
        <v>5</v>
      </c>
      <c r="AI21" s="156">
        <f t="shared" si="15"/>
        <v>7.8016666666666676</v>
      </c>
      <c r="AJ21" s="156">
        <f t="shared" si="16"/>
        <v>3</v>
      </c>
    </row>
    <row r="22" spans="1:36" ht="16.5" customHeight="1" x14ac:dyDescent="0.25">
      <c r="A22" s="15" t="str">
        <f>PLANTILLA!A22</f>
        <v>#22</v>
      </c>
      <c r="B22" s="15" t="str">
        <f>PLANTILLA!B22</f>
        <v>EXT</v>
      </c>
      <c r="C22" s="121">
        <f ca="1">PLANTILLA!C22</f>
        <v>14.875</v>
      </c>
      <c r="D22" s="28" t="str">
        <f>PLANTILLA!D22</f>
        <v>Xofre Taín</v>
      </c>
      <c r="E22" s="16">
        <f>PLANTILLA!E22</f>
        <v>18</v>
      </c>
      <c r="F22" s="17">
        <f ca="1">PLANTILLA!F22</f>
        <v>14</v>
      </c>
      <c r="G22" s="18"/>
      <c r="H22" s="4">
        <f>PLANTILLA!H22</f>
        <v>3</v>
      </c>
      <c r="I22" s="27">
        <f>PLANTILLA!I22</f>
        <v>1.3</v>
      </c>
      <c r="J22" s="19">
        <f>PLANTILLA!O22</f>
        <v>3.2</v>
      </c>
      <c r="K22" s="6">
        <f t="shared" si="19"/>
        <v>11.700000000000001</v>
      </c>
      <c r="L22" s="6">
        <f t="shared" si="20"/>
        <v>20.8</v>
      </c>
      <c r="M22" s="21">
        <f>PLANTILLA!X22</f>
        <v>0</v>
      </c>
      <c r="N22" s="21">
        <f>PLANTILLA!Y22</f>
        <v>1</v>
      </c>
      <c r="O22" s="21">
        <f>PLANTILLA!Z22</f>
        <v>5</v>
      </c>
      <c r="P22" s="21">
        <f>PLANTILLA!AA22</f>
        <v>7.6</v>
      </c>
      <c r="Q22" s="21">
        <f>PLANTILLA!AB22</f>
        <v>4</v>
      </c>
      <c r="R22" s="21">
        <f>PLANTILLA!AC22</f>
        <v>3</v>
      </c>
      <c r="S22" s="21">
        <f>PLANTILLA!AD22</f>
        <v>2</v>
      </c>
      <c r="T22" s="155">
        <v>0</v>
      </c>
      <c r="U22" s="155">
        <v>0</v>
      </c>
      <c r="V22" s="155">
        <v>0</v>
      </c>
      <c r="W22" s="155">
        <v>0</v>
      </c>
      <c r="X22" s="155">
        <v>0</v>
      </c>
      <c r="Y22" s="155">
        <v>0</v>
      </c>
      <c r="Z22" s="155">
        <v>0</v>
      </c>
      <c r="AA22" s="153">
        <f t="shared" si="17"/>
        <v>18</v>
      </c>
      <c r="AB22" s="154">
        <f t="shared" ca="1" si="18"/>
        <v>112</v>
      </c>
      <c r="AC22" s="25">
        <f t="shared" si="21"/>
        <v>1.3</v>
      </c>
      <c r="AD22" s="156">
        <f t="shared" si="10"/>
        <v>0</v>
      </c>
      <c r="AE22" s="156">
        <f t="shared" si="11"/>
        <v>1</v>
      </c>
      <c r="AF22" s="156">
        <f t="shared" si="12"/>
        <v>5</v>
      </c>
      <c r="AG22" s="156">
        <f t="shared" si="13"/>
        <v>7.6</v>
      </c>
      <c r="AH22" s="156">
        <f t="shared" si="14"/>
        <v>4</v>
      </c>
      <c r="AI22" s="156">
        <f t="shared" si="15"/>
        <v>3</v>
      </c>
      <c r="AJ22" s="156">
        <f t="shared" si="16"/>
        <v>2</v>
      </c>
    </row>
    <row r="23" spans="1:36" ht="16.5" customHeight="1" x14ac:dyDescent="0.25">
      <c r="A23" s="15">
        <f>PLANTILLA!A23</f>
        <v>0</v>
      </c>
      <c r="B23" s="15">
        <f>PLANTILLA!B23</f>
        <v>0</v>
      </c>
      <c r="C23" s="121">
        <f>PLANTILLA!C23</f>
        <v>0</v>
      </c>
      <c r="D23" s="28" t="str">
        <f>PLANTILLA!D23</f>
        <v>A. Ilisie</v>
      </c>
      <c r="E23" s="16">
        <f>PLANTILLA!E23</f>
        <v>0</v>
      </c>
      <c r="F23" s="17">
        <f>PLANTILLA!F23</f>
        <v>0</v>
      </c>
      <c r="G23" s="18"/>
      <c r="H23" s="4">
        <f>PLANTILLA!H23</f>
        <v>0</v>
      </c>
      <c r="I23" s="27">
        <f>PLANTILLA!I23</f>
        <v>0</v>
      </c>
      <c r="J23" s="19">
        <f>PLANTILLA!O23</f>
        <v>0</v>
      </c>
      <c r="K23" s="6">
        <f t="shared" si="19"/>
        <v>0</v>
      </c>
      <c r="L23" s="6">
        <f t="shared" si="20"/>
        <v>0</v>
      </c>
      <c r="M23" s="21">
        <f>PLANTILLA!X23</f>
        <v>0</v>
      </c>
      <c r="N23" s="21">
        <f>PLANTILLA!Y23</f>
        <v>0</v>
      </c>
      <c r="O23" s="21">
        <f>PLANTILLA!Z23</f>
        <v>0</v>
      </c>
      <c r="P23" s="21">
        <f>PLANTILLA!AA23</f>
        <v>0</v>
      </c>
      <c r="Q23" s="21">
        <f>PLANTILLA!AB23</f>
        <v>0</v>
      </c>
      <c r="R23" s="21">
        <f>PLANTILLA!AC23</f>
        <v>0</v>
      </c>
      <c r="S23" s="21">
        <f>PLANTILLA!AD23</f>
        <v>0</v>
      </c>
      <c r="T23" s="155">
        <v>0</v>
      </c>
      <c r="U23" s="155">
        <v>0</v>
      </c>
      <c r="V23" s="155">
        <v>0</v>
      </c>
      <c r="W23" s="155">
        <v>0</v>
      </c>
      <c r="X23" s="155">
        <v>0</v>
      </c>
      <c r="Y23" s="155">
        <v>0</v>
      </c>
      <c r="Z23" s="155">
        <v>0</v>
      </c>
      <c r="AA23" s="153">
        <f t="shared" si="17"/>
        <v>0</v>
      </c>
      <c r="AB23" s="154">
        <f t="shared" si="18"/>
        <v>98</v>
      </c>
      <c r="AC23" s="25">
        <f t="shared" si="21"/>
        <v>0</v>
      </c>
      <c r="AD23" s="156">
        <f t="shared" si="10"/>
        <v>0</v>
      </c>
      <c r="AE23" s="156">
        <f t="shared" si="11"/>
        <v>0</v>
      </c>
      <c r="AF23" s="156">
        <f t="shared" si="12"/>
        <v>0</v>
      </c>
      <c r="AG23" s="156">
        <f t="shared" si="13"/>
        <v>0</v>
      </c>
      <c r="AH23" s="156">
        <f t="shared" si="14"/>
        <v>0</v>
      </c>
      <c r="AI23" s="156">
        <f t="shared" si="15"/>
        <v>0</v>
      </c>
      <c r="AJ23" s="156">
        <f t="shared" si="16"/>
        <v>0</v>
      </c>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3">
    <cfRule type="cellIs" dxfId="5" priority="57" operator="lessThan">
      <formula>0.2</formula>
    </cfRule>
    <cfRule type="cellIs" dxfId="4" priority="58" operator="greaterThan">
      <formula>0.9</formula>
    </cfRule>
  </conditionalFormatting>
  <conditionalFormatting sqref="I4:I23">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3">
    <cfRule type="cellIs" dxfId="0" priority="5225" operator="greaterThan">
      <formula>8</formula>
    </cfRule>
    <cfRule type="colorScale" priority="5226">
      <colorScale>
        <cfvo type="min"/>
        <cfvo type="max"/>
        <color rgb="FFFFEF9C"/>
        <color rgb="FFFF7128"/>
      </colorScale>
    </cfRule>
  </conditionalFormatting>
  <conditionalFormatting sqref="AD4:AJ23">
    <cfRule type="colorScale" priority="5227">
      <colorScale>
        <cfvo type="min"/>
        <cfvo type="max"/>
        <color rgb="FFFFEF9C"/>
        <color rgb="FF63BE7B"/>
      </colorScale>
    </cfRule>
  </conditionalFormatting>
  <conditionalFormatting sqref="C4:C23">
    <cfRule type="colorScale" priority="5228">
      <colorScale>
        <cfvo type="min"/>
        <cfvo type="max"/>
        <color rgb="FFFFEF9C"/>
        <color rgb="FF63BE7B"/>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4">
    <pageSetUpPr fitToPage="1"/>
  </sheetPr>
  <dimension ref="A1:N17"/>
  <sheetViews>
    <sheetView workbookViewId="0">
      <selection activeCell="B19" sqref="B1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5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268</v>
      </c>
      <c r="M1" s="52" t="s">
        <v>269</v>
      </c>
      <c r="N1" s="52" t="s">
        <v>270</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303</v>
      </c>
      <c r="B1"/>
    </row>
    <row r="2" spans="1:40" x14ac:dyDescent="0.25">
      <c r="A2"/>
      <c r="B2" t="s">
        <v>304</v>
      </c>
    </row>
    <row r="3" spans="1:40" x14ac:dyDescent="0.25">
      <c r="A3" t="s">
        <v>305</v>
      </c>
      <c r="B3"/>
    </row>
    <row r="4" spans="1:40" x14ac:dyDescent="0.25">
      <c r="A4"/>
      <c r="B4" t="s">
        <v>306</v>
      </c>
    </row>
    <row r="5" spans="1:40" x14ac:dyDescent="0.25">
      <c r="A5"/>
      <c r="B5" t="s">
        <v>307</v>
      </c>
    </row>
    <row r="6" spans="1:40" x14ac:dyDescent="0.25">
      <c r="A6" t="s">
        <v>308</v>
      </c>
      <c r="B6"/>
    </row>
    <row r="7" spans="1:40" x14ac:dyDescent="0.25">
      <c r="A7"/>
      <c r="B7" t="s">
        <v>309</v>
      </c>
      <c r="X7">
        <f>X8-112</f>
        <v>80.5</v>
      </c>
    </row>
    <row r="8" spans="1:40" x14ac:dyDescent="0.25">
      <c r="A8" t="s">
        <v>310</v>
      </c>
      <c r="B8"/>
      <c r="X8">
        <f>(X9+X10)*7</f>
        <v>192.5</v>
      </c>
    </row>
    <row r="9" spans="1:40" x14ac:dyDescent="0.25">
      <c r="A9"/>
      <c r="B9" t="s">
        <v>311</v>
      </c>
      <c r="W9" s="197" t="s">
        <v>193</v>
      </c>
      <c r="X9" s="198">
        <v>13.5</v>
      </c>
    </row>
    <row r="10" spans="1:40" x14ac:dyDescent="0.25">
      <c r="A10"/>
      <c r="B10"/>
      <c r="W10" s="197" t="s">
        <v>312</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170</v>
      </c>
      <c r="B12" s="10" t="s">
        <v>313</v>
      </c>
      <c r="C12" s="10" t="s">
        <v>84</v>
      </c>
      <c r="D12" s="10" t="s">
        <v>314</v>
      </c>
      <c r="E12" s="10" t="s">
        <v>315</v>
      </c>
      <c r="F12" s="10" t="s">
        <v>15</v>
      </c>
      <c r="G12" s="10" t="s">
        <v>16</v>
      </c>
      <c r="H12" s="10" t="s">
        <v>17</v>
      </c>
      <c r="I12" s="10" t="s">
        <v>18</v>
      </c>
      <c r="J12" s="10" t="s">
        <v>19</v>
      </c>
      <c r="K12" s="10" t="s">
        <v>20</v>
      </c>
      <c r="L12" s="10" t="s">
        <v>6</v>
      </c>
      <c r="M12" s="10" t="s">
        <v>68</v>
      </c>
      <c r="N12" s="10" t="s">
        <v>316</v>
      </c>
      <c r="O12" s="10" t="s">
        <v>317</v>
      </c>
      <c r="P12" s="10" t="s">
        <v>318</v>
      </c>
      <c r="Q12" s="10" t="s">
        <v>319</v>
      </c>
      <c r="R12" s="10" t="s">
        <v>320</v>
      </c>
      <c r="S12" s="10" t="s">
        <v>321</v>
      </c>
      <c r="T12" s="10" t="s">
        <v>322</v>
      </c>
      <c r="U12" s="10" t="s">
        <v>323</v>
      </c>
      <c r="W12" s="10" t="s">
        <v>314</v>
      </c>
      <c r="X12" s="10" t="s">
        <v>315</v>
      </c>
      <c r="Y12" s="10" t="s">
        <v>15</v>
      </c>
      <c r="Z12" s="10" t="s">
        <v>16</v>
      </c>
      <c r="AA12" s="10" t="s">
        <v>17</v>
      </c>
      <c r="AB12" s="10" t="s">
        <v>18</v>
      </c>
      <c r="AC12" s="10" t="s">
        <v>19</v>
      </c>
      <c r="AD12" s="10" t="s">
        <v>20</v>
      </c>
      <c r="AE12" s="10" t="s">
        <v>6</v>
      </c>
      <c r="AF12" s="10" t="s">
        <v>68</v>
      </c>
      <c r="AG12" s="10" t="s">
        <v>316</v>
      </c>
      <c r="AH12" s="10" t="s">
        <v>317</v>
      </c>
      <c r="AI12" s="10" t="s">
        <v>318</v>
      </c>
      <c r="AJ12" s="10" t="s">
        <v>319</v>
      </c>
      <c r="AK12" s="10" t="s">
        <v>320</v>
      </c>
      <c r="AL12" s="10" t="s">
        <v>321</v>
      </c>
      <c r="AM12" s="10" t="s">
        <v>322</v>
      </c>
      <c r="AN12" s="10" t="s">
        <v>323</v>
      </c>
    </row>
    <row r="13" spans="1:40" x14ac:dyDescent="0.25">
      <c r="A13" t="s">
        <v>29</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40</v>
      </c>
      <c r="B24" s="15" t="s">
        <v>324</v>
      </c>
      <c r="C24" s="3" t="s">
        <v>45</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34</v>
      </c>
      <c r="B25" s="15" t="s">
        <v>325</v>
      </c>
      <c r="C25" s="3" t="s">
        <v>295</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42</v>
      </c>
      <c r="B26" s="15" t="s">
        <v>326</v>
      </c>
      <c r="C26" s="3" t="s">
        <v>295</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327</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170</v>
      </c>
      <c r="B30" s="10" t="s">
        <v>2</v>
      </c>
      <c r="C30" s="10" t="s">
        <v>84</v>
      </c>
      <c r="D30" s="10" t="s">
        <v>314</v>
      </c>
      <c r="E30" s="10" t="s">
        <v>315</v>
      </c>
      <c r="F30" s="10" t="s">
        <v>15</v>
      </c>
      <c r="G30" s="10" t="s">
        <v>16</v>
      </c>
      <c r="H30" s="10" t="s">
        <v>17</v>
      </c>
      <c r="I30" s="10" t="s">
        <v>18</v>
      </c>
      <c r="J30" s="10" t="s">
        <v>19</v>
      </c>
      <c r="K30" s="10" t="s">
        <v>20</v>
      </c>
      <c r="L30" s="10" t="s">
        <v>6</v>
      </c>
      <c r="M30" s="10" t="s">
        <v>68</v>
      </c>
      <c r="N30" s="10" t="s">
        <v>316</v>
      </c>
      <c r="O30" s="10" t="s">
        <v>317</v>
      </c>
      <c r="P30" s="10" t="s">
        <v>318</v>
      </c>
      <c r="Q30" s="10" t="s">
        <v>319</v>
      </c>
      <c r="R30" s="10" t="s">
        <v>320</v>
      </c>
      <c r="S30" s="10" t="s">
        <v>321</v>
      </c>
      <c r="T30" s="10" t="s">
        <v>322</v>
      </c>
      <c r="U30" s="10" t="s">
        <v>323</v>
      </c>
      <c r="W30" s="10" t="s">
        <v>314</v>
      </c>
      <c r="X30" s="10" t="s">
        <v>315</v>
      </c>
      <c r="Y30" s="10" t="s">
        <v>15</v>
      </c>
      <c r="Z30" s="10" t="s">
        <v>16</v>
      </c>
      <c r="AA30" s="10" t="s">
        <v>17</v>
      </c>
      <c r="AB30" s="10" t="s">
        <v>18</v>
      </c>
      <c r="AC30" s="10" t="s">
        <v>19</v>
      </c>
      <c r="AD30" s="10" t="s">
        <v>20</v>
      </c>
      <c r="AE30" s="10" t="s">
        <v>6</v>
      </c>
      <c r="AF30" s="10" t="s">
        <v>68</v>
      </c>
      <c r="AG30" s="10" t="s">
        <v>316</v>
      </c>
      <c r="AH30" s="10" t="s">
        <v>317</v>
      </c>
      <c r="AI30" s="10" t="s">
        <v>318</v>
      </c>
      <c r="AJ30" s="10" t="s">
        <v>319</v>
      </c>
      <c r="AK30" s="10" t="s">
        <v>320</v>
      </c>
      <c r="AL30" s="10" t="s">
        <v>321</v>
      </c>
      <c r="AM30" s="10" t="s">
        <v>322</v>
      </c>
      <c r="AN30" s="10" t="s">
        <v>323</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90</v>
      </c>
      <c r="AQ37" s="197">
        <v>33</v>
      </c>
      <c r="AR37" s="197" t="s">
        <v>88</v>
      </c>
      <c r="AS37" s="197">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43</v>
      </c>
      <c r="B39" s="15" t="s">
        <v>328</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37</v>
      </c>
      <c r="B40" s="15" t="s">
        <v>328</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36</v>
      </c>
      <c r="B41" s="15" t="s">
        <v>328</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327</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170</v>
      </c>
      <c r="B48" s="10" t="s">
        <v>2</v>
      </c>
      <c r="C48" s="10" t="s">
        <v>84</v>
      </c>
      <c r="D48" s="10" t="s">
        <v>314</v>
      </c>
      <c r="E48" s="10" t="s">
        <v>315</v>
      </c>
      <c r="F48" s="10" t="s">
        <v>15</v>
      </c>
      <c r="G48" s="10" t="s">
        <v>16</v>
      </c>
      <c r="H48" s="10" t="s">
        <v>17</v>
      </c>
      <c r="I48" s="10" t="s">
        <v>18</v>
      </c>
      <c r="J48" s="10" t="s">
        <v>19</v>
      </c>
      <c r="K48" s="10" t="s">
        <v>20</v>
      </c>
      <c r="L48" s="10" t="s">
        <v>6</v>
      </c>
      <c r="M48" s="10" t="s">
        <v>68</v>
      </c>
      <c r="N48" s="10" t="s">
        <v>316</v>
      </c>
      <c r="O48" s="10" t="s">
        <v>317</v>
      </c>
      <c r="P48" s="10" t="s">
        <v>318</v>
      </c>
      <c r="Q48" s="10" t="s">
        <v>319</v>
      </c>
      <c r="R48" s="10" t="s">
        <v>320</v>
      </c>
      <c r="S48" s="10" t="s">
        <v>321</v>
      </c>
      <c r="T48" s="10" t="s">
        <v>322</v>
      </c>
      <c r="U48" s="10" t="s">
        <v>323</v>
      </c>
      <c r="W48" s="10" t="s">
        <v>314</v>
      </c>
      <c r="X48" s="10" t="s">
        <v>315</v>
      </c>
      <c r="Y48" s="10" t="s">
        <v>15</v>
      </c>
      <c r="Z48" s="10" t="s">
        <v>16</v>
      </c>
      <c r="AA48" s="10" t="s">
        <v>17</v>
      </c>
      <c r="AB48" s="10" t="s">
        <v>18</v>
      </c>
      <c r="AC48" s="10" t="s">
        <v>19</v>
      </c>
      <c r="AD48" s="10" t="s">
        <v>20</v>
      </c>
      <c r="AE48" s="10" t="s">
        <v>6</v>
      </c>
      <c r="AF48" s="10" t="s">
        <v>68</v>
      </c>
      <c r="AG48" s="10" t="s">
        <v>316</v>
      </c>
      <c r="AH48" s="10" t="s">
        <v>317</v>
      </c>
      <c r="AI48" s="10" t="s">
        <v>318</v>
      </c>
      <c r="AJ48" s="10" t="s">
        <v>319</v>
      </c>
      <c r="AK48" s="10" t="s">
        <v>320</v>
      </c>
      <c r="AL48" s="10" t="s">
        <v>321</v>
      </c>
      <c r="AM48" s="10" t="s">
        <v>322</v>
      </c>
      <c r="AN48" s="10" t="s">
        <v>323</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41</v>
      </c>
      <c r="B53" s="15" t="s">
        <v>329</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38</v>
      </c>
      <c r="B54" s="15" t="s">
        <v>329</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30</v>
      </c>
      <c r="AQ54" s="197">
        <v>26</v>
      </c>
    </row>
    <row r="55" spans="1:43" x14ac:dyDescent="0.25">
      <c r="A55" t="s">
        <v>35</v>
      </c>
      <c r="B55" s="15" t="s">
        <v>329</v>
      </c>
      <c r="C55" s="3" t="s">
        <v>295</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31</v>
      </c>
      <c r="B56" s="15" t="s">
        <v>329</v>
      </c>
      <c r="C56" s="3" t="s">
        <v>295</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327</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170</v>
      </c>
      <c r="B66" s="10" t="s">
        <v>2</v>
      </c>
      <c r="C66" s="10" t="s">
        <v>84</v>
      </c>
      <c r="D66" s="10" t="s">
        <v>314</v>
      </c>
      <c r="E66" s="10" t="s">
        <v>315</v>
      </c>
      <c r="F66" s="10" t="s">
        <v>15</v>
      </c>
      <c r="G66" s="10" t="s">
        <v>16</v>
      </c>
      <c r="H66" s="10" t="s">
        <v>17</v>
      </c>
      <c r="I66" s="10" t="s">
        <v>18</v>
      </c>
      <c r="J66" s="10" t="s">
        <v>19</v>
      </c>
      <c r="K66" s="10" t="s">
        <v>20</v>
      </c>
      <c r="L66" s="10" t="s">
        <v>6</v>
      </c>
      <c r="M66" s="10" t="s">
        <v>68</v>
      </c>
      <c r="N66" s="10" t="s">
        <v>316</v>
      </c>
      <c r="O66" s="10" t="s">
        <v>317</v>
      </c>
      <c r="P66" s="10" t="s">
        <v>318</v>
      </c>
      <c r="Q66" s="10" t="s">
        <v>319</v>
      </c>
      <c r="R66" s="10" t="s">
        <v>320</v>
      </c>
      <c r="S66" s="10" t="s">
        <v>321</v>
      </c>
      <c r="T66" s="10" t="s">
        <v>322</v>
      </c>
      <c r="U66" s="10" t="s">
        <v>323</v>
      </c>
      <c r="W66" s="10" t="s">
        <v>314</v>
      </c>
      <c r="X66" s="10" t="s">
        <v>315</v>
      </c>
      <c r="Y66" s="10" t="s">
        <v>15</v>
      </c>
      <c r="Z66" s="10" t="s">
        <v>16</v>
      </c>
      <c r="AA66" s="10" t="s">
        <v>17</v>
      </c>
      <c r="AB66" s="10" t="s">
        <v>18</v>
      </c>
      <c r="AC66" s="10" t="s">
        <v>19</v>
      </c>
      <c r="AD66" s="10" t="s">
        <v>20</v>
      </c>
      <c r="AE66" s="10" t="s">
        <v>6</v>
      </c>
      <c r="AF66" s="10" t="s">
        <v>68</v>
      </c>
      <c r="AG66" s="10" t="s">
        <v>316</v>
      </c>
      <c r="AH66" s="10" t="s">
        <v>317</v>
      </c>
      <c r="AI66" s="10" t="s">
        <v>318</v>
      </c>
      <c r="AJ66" s="10" t="s">
        <v>319</v>
      </c>
      <c r="AK66" s="10" t="s">
        <v>320</v>
      </c>
      <c r="AL66" s="10" t="s">
        <v>321</v>
      </c>
      <c r="AM66" s="10" t="s">
        <v>322</v>
      </c>
      <c r="AN66" s="10" t="s">
        <v>323</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32</v>
      </c>
      <c r="B68" s="15" t="s">
        <v>329</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33</v>
      </c>
      <c r="B69" s="15" t="s">
        <v>329</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39</v>
      </c>
      <c r="B70" s="15" t="s">
        <v>329</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47</v>
      </c>
      <c r="AQ74" s="197">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46</v>
      </c>
      <c r="B81" s="15" t="s">
        <v>330</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327</v>
      </c>
      <c r="B82" s="15" t="s">
        <v>330</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A1:AS106"/>
  <sheetViews>
    <sheetView workbookViewId="0">
      <selection activeCell="P7" sqref="P7"/>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5" width="6.140625" customWidth="1"/>
  </cols>
  <sheetData>
    <row r="1" spans="1:45" x14ac:dyDescent="0.25">
      <c r="B1" t="s">
        <v>362</v>
      </c>
      <c r="AQ1" s="110"/>
    </row>
    <row r="2" spans="1:45" x14ac:dyDescent="0.25">
      <c r="B2" t="s">
        <v>363</v>
      </c>
      <c r="AQ2" s="110"/>
      <c r="AR2" s="52" t="s">
        <v>364</v>
      </c>
      <c r="AS2" s="52" t="s">
        <v>365</v>
      </c>
    </row>
    <row r="3" spans="1:45" x14ac:dyDescent="0.25">
      <c r="B3" t="s">
        <v>366</v>
      </c>
      <c r="AQ3" s="110"/>
      <c r="AR3">
        <f>AR18+AR33+AR52</f>
        <v>102.5</v>
      </c>
      <c r="AS3">
        <f>AR3/16</f>
        <v>6.40625</v>
      </c>
    </row>
    <row r="4" spans="1:45" x14ac:dyDescent="0.25">
      <c r="B4" t="s">
        <v>367</v>
      </c>
      <c r="AQ4" s="110"/>
    </row>
    <row r="5" spans="1:45" x14ac:dyDescent="0.25">
      <c r="B5" t="s">
        <v>368</v>
      </c>
      <c r="AQ5" s="110"/>
    </row>
    <row r="6" spans="1:45" x14ac:dyDescent="0.25">
      <c r="B6" t="s">
        <v>369</v>
      </c>
      <c r="AQ6" s="110"/>
    </row>
    <row r="7" spans="1:45" x14ac:dyDescent="0.25">
      <c r="B7" t="s">
        <v>370</v>
      </c>
      <c r="AQ7" s="110"/>
    </row>
    <row r="8" spans="1:45" x14ac:dyDescent="0.25">
      <c r="AQ8" s="110"/>
    </row>
    <row r="9" spans="1:45" x14ac:dyDescent="0.25">
      <c r="N9" s="196">
        <f>SUM(N11:N25)</f>
        <v>1964.2160000000001</v>
      </c>
      <c r="AH9" s="196">
        <f>SUM(AH11:AH25)</f>
        <v>25277.456000000002</v>
      </c>
      <c r="AQ9" s="110"/>
    </row>
    <row r="10" spans="1:45" x14ac:dyDescent="0.25">
      <c r="A10" s="10" t="s">
        <v>170</v>
      </c>
      <c r="B10" s="10" t="s">
        <v>2</v>
      </c>
      <c r="C10" s="10" t="s">
        <v>84</v>
      </c>
      <c r="D10" s="10" t="s">
        <v>171</v>
      </c>
      <c r="E10" s="10" t="s">
        <v>314</v>
      </c>
      <c r="F10" s="10" t="s">
        <v>315</v>
      </c>
      <c r="G10" s="10" t="s">
        <v>15</v>
      </c>
      <c r="H10" s="10" t="s">
        <v>16</v>
      </c>
      <c r="I10" s="10" t="s">
        <v>17</v>
      </c>
      <c r="J10" s="10" t="s">
        <v>18</v>
      </c>
      <c r="K10" s="10" t="s">
        <v>19</v>
      </c>
      <c r="L10" s="10" t="s">
        <v>20</v>
      </c>
      <c r="M10" s="10" t="s">
        <v>6</v>
      </c>
      <c r="N10" s="10" t="s">
        <v>68</v>
      </c>
      <c r="O10" s="10" t="s">
        <v>316</v>
      </c>
      <c r="P10" s="10" t="s">
        <v>317</v>
      </c>
      <c r="Q10" s="10" t="s">
        <v>318</v>
      </c>
      <c r="R10" s="10" t="s">
        <v>319</v>
      </c>
      <c r="S10" s="10" t="s">
        <v>320</v>
      </c>
      <c r="T10" s="10" t="s">
        <v>321</v>
      </c>
      <c r="U10" s="10" t="s">
        <v>322</v>
      </c>
      <c r="V10" s="10" t="s">
        <v>323</v>
      </c>
      <c r="X10" s="10" t="s">
        <v>170</v>
      </c>
      <c r="Y10" s="10" t="s">
        <v>314</v>
      </c>
      <c r="Z10" s="10" t="s">
        <v>315</v>
      </c>
      <c r="AA10" s="10" t="s">
        <v>15</v>
      </c>
      <c r="AB10" s="10" t="s">
        <v>16</v>
      </c>
      <c r="AC10" s="10" t="s">
        <v>17</v>
      </c>
      <c r="AD10" s="10" t="s">
        <v>18</v>
      </c>
      <c r="AE10" s="10" t="s">
        <v>19</v>
      </c>
      <c r="AF10" s="10" t="s">
        <v>20</v>
      </c>
      <c r="AG10" s="10" t="s">
        <v>6</v>
      </c>
      <c r="AH10" s="10" t="s">
        <v>68</v>
      </c>
      <c r="AI10" s="10" t="s">
        <v>316</v>
      </c>
      <c r="AJ10" s="10" t="s">
        <v>317</v>
      </c>
      <c r="AK10" s="10" t="s">
        <v>318</v>
      </c>
      <c r="AL10" s="10" t="s">
        <v>319</v>
      </c>
      <c r="AM10" s="10" t="s">
        <v>320</v>
      </c>
      <c r="AN10" s="10" t="s">
        <v>321</v>
      </c>
      <c r="AO10" s="10" t="s">
        <v>322</v>
      </c>
      <c r="AP10" s="10" t="s">
        <v>323</v>
      </c>
      <c r="AQ10" s="110"/>
    </row>
    <row r="11" spans="1:45" x14ac:dyDescent="0.25">
      <c r="A11" t="s">
        <v>29</v>
      </c>
      <c r="B11" s="15" t="s">
        <v>28</v>
      </c>
      <c r="C11" s="18"/>
      <c r="D11" s="18"/>
      <c r="E11" s="18"/>
      <c r="F11" s="18"/>
      <c r="G11" s="217">
        <v>2</v>
      </c>
      <c r="H11" s="131">
        <v>2</v>
      </c>
      <c r="I11" s="217">
        <v>0</v>
      </c>
      <c r="J11" s="131">
        <v>0</v>
      </c>
      <c r="K11" s="217">
        <v>0</v>
      </c>
      <c r="L11" s="131">
        <v>0</v>
      </c>
      <c r="M11" s="217">
        <v>2</v>
      </c>
      <c r="N11" s="47"/>
      <c r="O11" s="216">
        <v>0</v>
      </c>
      <c r="P11" s="216">
        <v>0</v>
      </c>
      <c r="Q11" s="216">
        <v>0</v>
      </c>
      <c r="R11" s="195">
        <v>0</v>
      </c>
      <c r="S11" s="195">
        <v>0</v>
      </c>
      <c r="T11" s="195">
        <v>0</v>
      </c>
      <c r="U11" s="195">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6">
        <f>O11</f>
        <v>0</v>
      </c>
      <c r="AJ11" s="216">
        <f t="shared" ref="AJ11:AO26" si="1">P11</f>
        <v>0</v>
      </c>
      <c r="AK11" s="216">
        <f t="shared" si="1"/>
        <v>0</v>
      </c>
      <c r="AL11" s="216">
        <f t="shared" si="1"/>
        <v>0</v>
      </c>
      <c r="AM11" s="216">
        <f t="shared" si="1"/>
        <v>0</v>
      </c>
      <c r="AN11" s="216">
        <f t="shared" si="1"/>
        <v>0</v>
      </c>
      <c r="AO11" s="216">
        <f t="shared" si="1"/>
        <v>0</v>
      </c>
      <c r="AP11" s="66">
        <f>SUM(AI11:AO11)</f>
        <v>0</v>
      </c>
      <c r="AQ11" s="110"/>
    </row>
    <row r="12" spans="1:45" x14ac:dyDescent="0.25">
      <c r="A12" t="s">
        <v>32</v>
      </c>
      <c r="B12" s="15" t="s">
        <v>30</v>
      </c>
      <c r="C12" s="3" t="s">
        <v>70</v>
      </c>
      <c r="D12" s="3" t="s">
        <v>371</v>
      </c>
      <c r="E12" s="3">
        <v>17</v>
      </c>
      <c r="F12" s="3">
        <v>50</v>
      </c>
      <c r="G12" s="217">
        <v>0</v>
      </c>
      <c r="H12" s="131">
        <v>6</v>
      </c>
      <c r="I12" s="217">
        <v>5</v>
      </c>
      <c r="J12" s="131">
        <v>6</v>
      </c>
      <c r="K12" s="217">
        <v>5</v>
      </c>
      <c r="L12" s="131">
        <v>4</v>
      </c>
      <c r="M12" s="217">
        <v>0</v>
      </c>
      <c r="N12" s="47">
        <v>370</v>
      </c>
      <c r="O12" s="216">
        <v>0</v>
      </c>
      <c r="P12" s="216">
        <v>14</v>
      </c>
      <c r="Q12" s="216">
        <v>9</v>
      </c>
      <c r="R12" s="195">
        <v>3.5</v>
      </c>
      <c r="S12" s="195">
        <v>7</v>
      </c>
      <c r="T12" s="195">
        <v>5</v>
      </c>
      <c r="U12" s="195">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6">
        <f t="shared" ref="AI12:AI26" si="4">O12</f>
        <v>0</v>
      </c>
      <c r="AJ12" s="216">
        <f t="shared" si="1"/>
        <v>14</v>
      </c>
      <c r="AK12" s="216">
        <f t="shared" si="1"/>
        <v>9</v>
      </c>
      <c r="AL12" s="216">
        <f>R12+AR17</f>
        <v>35</v>
      </c>
      <c r="AM12" s="216">
        <f t="shared" si="1"/>
        <v>7</v>
      </c>
      <c r="AN12" s="216">
        <f>T12+AR16</f>
        <v>21</v>
      </c>
      <c r="AO12" s="216">
        <f t="shared" si="1"/>
        <v>0</v>
      </c>
      <c r="AP12" s="66">
        <f>SUM(AI12:AO12)</f>
        <v>86</v>
      </c>
      <c r="AQ12" s="110"/>
    </row>
    <row r="13" spans="1:45" x14ac:dyDescent="0.25">
      <c r="A13" t="s">
        <v>33</v>
      </c>
      <c r="B13" s="15" t="s">
        <v>30</v>
      </c>
      <c r="C13" s="3"/>
      <c r="D13" s="3"/>
      <c r="E13" s="3"/>
      <c r="F13" s="3"/>
      <c r="G13" s="217">
        <v>0</v>
      </c>
      <c r="H13" s="131">
        <v>2</v>
      </c>
      <c r="I13" s="217">
        <v>2</v>
      </c>
      <c r="J13" s="131">
        <v>2</v>
      </c>
      <c r="K13" s="217">
        <v>2</v>
      </c>
      <c r="L13" s="131">
        <v>2</v>
      </c>
      <c r="M13" s="217">
        <v>2</v>
      </c>
      <c r="N13" s="47"/>
      <c r="O13" s="216">
        <v>0</v>
      </c>
      <c r="P13" s="216">
        <v>0</v>
      </c>
      <c r="Q13" s="216">
        <v>0</v>
      </c>
      <c r="R13" s="195">
        <v>0</v>
      </c>
      <c r="S13" s="195">
        <v>0</v>
      </c>
      <c r="T13" s="195">
        <v>0</v>
      </c>
      <c r="U13" s="195">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6">
        <f t="shared" si="4"/>
        <v>0</v>
      </c>
      <c r="AJ13" s="216">
        <f t="shared" si="1"/>
        <v>0</v>
      </c>
      <c r="AK13" s="216">
        <f t="shared" si="1"/>
        <v>0</v>
      </c>
      <c r="AL13" s="216">
        <f t="shared" si="1"/>
        <v>0</v>
      </c>
      <c r="AM13" s="216">
        <f t="shared" si="1"/>
        <v>0</v>
      </c>
      <c r="AN13" s="216">
        <f t="shared" si="1"/>
        <v>0</v>
      </c>
      <c r="AO13" s="216">
        <f t="shared" si="1"/>
        <v>0</v>
      </c>
      <c r="AP13" s="66">
        <f>SUM(AI13:AO13)</f>
        <v>0</v>
      </c>
      <c r="AQ13" s="110"/>
    </row>
    <row r="14" spans="1:45" x14ac:dyDescent="0.25">
      <c r="A14" t="s">
        <v>39</v>
      </c>
      <c r="B14" s="15" t="s">
        <v>30</v>
      </c>
      <c r="C14" s="3"/>
      <c r="D14" s="3"/>
      <c r="E14" s="3"/>
      <c r="F14" s="3"/>
      <c r="G14" s="217">
        <v>0</v>
      </c>
      <c r="H14" s="131">
        <v>2</v>
      </c>
      <c r="I14" s="217">
        <v>2</v>
      </c>
      <c r="J14" s="131">
        <v>2</v>
      </c>
      <c r="K14" s="217">
        <v>2</v>
      </c>
      <c r="L14" s="131">
        <v>2</v>
      </c>
      <c r="M14" s="217">
        <v>2</v>
      </c>
      <c r="N14" s="47"/>
      <c r="O14" s="216">
        <v>0</v>
      </c>
      <c r="P14" s="216">
        <v>0</v>
      </c>
      <c r="Q14" s="216">
        <v>0</v>
      </c>
      <c r="R14" s="195">
        <v>0</v>
      </c>
      <c r="S14" s="195">
        <v>0</v>
      </c>
      <c r="T14" s="195">
        <v>0</v>
      </c>
      <c r="U14" s="195">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6">
        <f t="shared" si="4"/>
        <v>0</v>
      </c>
      <c r="AJ14" s="216">
        <f t="shared" si="1"/>
        <v>0</v>
      </c>
      <c r="AK14" s="216">
        <f t="shared" si="1"/>
        <v>0</v>
      </c>
      <c r="AL14" s="216">
        <f t="shared" si="1"/>
        <v>0</v>
      </c>
      <c r="AM14" s="216">
        <f t="shared" si="1"/>
        <v>0</v>
      </c>
      <c r="AN14" s="216">
        <f t="shared" si="1"/>
        <v>0</v>
      </c>
      <c r="AO14" s="216">
        <f t="shared" si="1"/>
        <v>0</v>
      </c>
      <c r="AP14" s="66">
        <f>SUM(AI14:AO14)</f>
        <v>0</v>
      </c>
      <c r="AQ14" s="110"/>
    </row>
    <row r="15" spans="1:45" x14ac:dyDescent="0.25">
      <c r="A15" t="s">
        <v>41</v>
      </c>
      <c r="B15" s="15" t="s">
        <v>30</v>
      </c>
      <c r="C15" s="3"/>
      <c r="D15" s="3"/>
      <c r="E15" s="3"/>
      <c r="F15" s="3"/>
      <c r="G15" s="217">
        <v>0</v>
      </c>
      <c r="H15" s="131">
        <v>2</v>
      </c>
      <c r="I15" s="217">
        <v>2</v>
      </c>
      <c r="J15" s="131">
        <v>2</v>
      </c>
      <c r="K15" s="217">
        <v>2</v>
      </c>
      <c r="L15" s="131">
        <v>2</v>
      </c>
      <c r="M15" s="217">
        <v>2</v>
      </c>
      <c r="N15" s="47"/>
      <c r="O15" s="216">
        <v>0</v>
      </c>
      <c r="P15" s="216">
        <v>0</v>
      </c>
      <c r="Q15" s="216">
        <v>0</v>
      </c>
      <c r="R15" s="195">
        <v>0</v>
      </c>
      <c r="S15" s="195">
        <v>0</v>
      </c>
      <c r="T15" s="195">
        <v>0</v>
      </c>
      <c r="U15" s="195">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6">
        <f t="shared" si="4"/>
        <v>0</v>
      </c>
      <c r="AJ15" s="216">
        <f t="shared" si="1"/>
        <v>0</v>
      </c>
      <c r="AK15" s="216">
        <f t="shared" si="1"/>
        <v>0</v>
      </c>
      <c r="AL15" s="216">
        <f t="shared" si="1"/>
        <v>0</v>
      </c>
      <c r="AM15" s="216">
        <f t="shared" si="1"/>
        <v>0</v>
      </c>
      <c r="AN15" s="216">
        <f t="shared" si="1"/>
        <v>0</v>
      </c>
      <c r="AO15" s="216">
        <f t="shared" si="1"/>
        <v>0</v>
      </c>
      <c r="AP15" s="66">
        <f t="shared" ref="AP15:AP21" si="5">SUM(AI15:AO15)</f>
        <v>0</v>
      </c>
      <c r="AQ15" s="110"/>
      <c r="AR15" s="52" t="s">
        <v>364</v>
      </c>
      <c r="AS15" s="52" t="s">
        <v>365</v>
      </c>
    </row>
    <row r="16" spans="1:45" x14ac:dyDescent="0.25">
      <c r="A16" t="s">
        <v>38</v>
      </c>
      <c r="B16" s="15" t="s">
        <v>30</v>
      </c>
      <c r="C16" s="3"/>
      <c r="D16" s="3"/>
      <c r="E16" s="3"/>
      <c r="F16" s="3"/>
      <c r="G16" s="217">
        <v>0</v>
      </c>
      <c r="H16" s="131">
        <v>2</v>
      </c>
      <c r="I16" s="217">
        <v>2</v>
      </c>
      <c r="J16" s="131">
        <v>2</v>
      </c>
      <c r="K16" s="217">
        <v>2</v>
      </c>
      <c r="L16" s="131">
        <v>2</v>
      </c>
      <c r="M16" s="217">
        <v>2</v>
      </c>
      <c r="N16" s="47"/>
      <c r="O16" s="216">
        <v>0</v>
      </c>
      <c r="P16" s="216">
        <v>0</v>
      </c>
      <c r="Q16" s="216">
        <v>0</v>
      </c>
      <c r="R16" s="195">
        <v>0</v>
      </c>
      <c r="S16" s="195">
        <v>0</v>
      </c>
      <c r="T16" s="195">
        <v>0</v>
      </c>
      <c r="U16" s="195">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6">
        <f t="shared" si="4"/>
        <v>0</v>
      </c>
      <c r="AJ16" s="216">
        <f t="shared" si="1"/>
        <v>0</v>
      </c>
      <c r="AK16" s="216">
        <f t="shared" si="1"/>
        <v>0</v>
      </c>
      <c r="AL16" s="216">
        <f t="shared" si="1"/>
        <v>0</v>
      </c>
      <c r="AM16" s="216">
        <f t="shared" si="1"/>
        <v>0</v>
      </c>
      <c r="AN16" s="216">
        <f t="shared" si="1"/>
        <v>0</v>
      </c>
      <c r="AO16" s="216">
        <f t="shared" si="1"/>
        <v>0</v>
      </c>
      <c r="AP16" s="66">
        <f t="shared" si="5"/>
        <v>0</v>
      </c>
      <c r="AQ16" s="218" t="s">
        <v>90</v>
      </c>
      <c r="AR16">
        <v>16</v>
      </c>
      <c r="AS16" s="37">
        <f>AR16/16</f>
        <v>1</v>
      </c>
    </row>
    <row r="17" spans="1:45" x14ac:dyDescent="0.25">
      <c r="A17" t="s">
        <v>35</v>
      </c>
      <c r="B17" s="15" t="s">
        <v>30</v>
      </c>
      <c r="C17" s="3"/>
      <c r="D17" s="3"/>
      <c r="E17" s="3"/>
      <c r="F17" s="3"/>
      <c r="G17" s="217">
        <v>0</v>
      </c>
      <c r="H17" s="131">
        <v>2</v>
      </c>
      <c r="I17" s="217">
        <v>2</v>
      </c>
      <c r="J17" s="131">
        <v>2</v>
      </c>
      <c r="K17" s="217">
        <v>2</v>
      </c>
      <c r="L17" s="131">
        <v>2</v>
      </c>
      <c r="M17" s="217">
        <v>2</v>
      </c>
      <c r="N17" s="47"/>
      <c r="O17" s="216">
        <v>0</v>
      </c>
      <c r="P17" s="216">
        <v>0</v>
      </c>
      <c r="Q17" s="216">
        <v>0</v>
      </c>
      <c r="R17" s="195">
        <v>0</v>
      </c>
      <c r="S17" s="195">
        <v>0</v>
      </c>
      <c r="T17" s="195">
        <v>0</v>
      </c>
      <c r="U17" s="195">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6">
        <f t="shared" si="4"/>
        <v>0</v>
      </c>
      <c r="AJ17" s="216">
        <f t="shared" si="1"/>
        <v>0</v>
      </c>
      <c r="AK17" s="216">
        <f t="shared" si="1"/>
        <v>0</v>
      </c>
      <c r="AL17" s="216">
        <f t="shared" si="1"/>
        <v>0</v>
      </c>
      <c r="AM17" s="216">
        <f t="shared" si="1"/>
        <v>0</v>
      </c>
      <c r="AN17" s="216">
        <f t="shared" si="1"/>
        <v>0</v>
      </c>
      <c r="AO17" s="216">
        <f t="shared" si="1"/>
        <v>0</v>
      </c>
      <c r="AP17" s="66">
        <f t="shared" si="5"/>
        <v>0</v>
      </c>
      <c r="AQ17" s="218" t="s">
        <v>193</v>
      </c>
      <c r="AR17">
        <v>31.5</v>
      </c>
      <c r="AS17" s="37">
        <f>AR17/16</f>
        <v>1.96875</v>
      </c>
    </row>
    <row r="18" spans="1:45" x14ac:dyDescent="0.25">
      <c r="A18" t="s">
        <v>31</v>
      </c>
      <c r="B18" s="15" t="s">
        <v>30</v>
      </c>
      <c r="C18" s="3"/>
      <c r="D18" s="3"/>
      <c r="E18" s="3"/>
      <c r="F18" s="3"/>
      <c r="G18" s="217">
        <v>0</v>
      </c>
      <c r="H18" s="131">
        <v>2</v>
      </c>
      <c r="I18" s="217">
        <v>2</v>
      </c>
      <c r="J18" s="131">
        <v>2</v>
      </c>
      <c r="K18" s="217">
        <v>2</v>
      </c>
      <c r="L18" s="131">
        <v>2</v>
      </c>
      <c r="M18" s="217">
        <v>2</v>
      </c>
      <c r="N18" s="47"/>
      <c r="O18" s="216">
        <v>0</v>
      </c>
      <c r="P18" s="216">
        <v>0</v>
      </c>
      <c r="Q18" s="216">
        <v>0</v>
      </c>
      <c r="R18" s="195">
        <v>0</v>
      </c>
      <c r="S18" s="195">
        <v>0</v>
      </c>
      <c r="T18" s="195">
        <v>0</v>
      </c>
      <c r="U18" s="195">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6">
        <f t="shared" si="4"/>
        <v>0</v>
      </c>
      <c r="AJ18" s="216">
        <f t="shared" si="1"/>
        <v>0</v>
      </c>
      <c r="AK18" s="216">
        <f t="shared" si="1"/>
        <v>0</v>
      </c>
      <c r="AL18" s="216">
        <f t="shared" si="1"/>
        <v>0</v>
      </c>
      <c r="AM18" s="216">
        <f t="shared" si="1"/>
        <v>0</v>
      </c>
      <c r="AN18" s="216">
        <f t="shared" si="1"/>
        <v>0</v>
      </c>
      <c r="AO18" s="216">
        <f t="shared" si="1"/>
        <v>0</v>
      </c>
      <c r="AP18" s="66">
        <f t="shared" si="5"/>
        <v>0</v>
      </c>
      <c r="AQ18" s="110"/>
      <c r="AR18" s="157">
        <f>AR17+AR16</f>
        <v>47.5</v>
      </c>
      <c r="AS18" s="157">
        <f>AS17+AS16</f>
        <v>2.96875</v>
      </c>
    </row>
    <row r="19" spans="1:45" x14ac:dyDescent="0.25">
      <c r="A19" t="s">
        <v>43</v>
      </c>
      <c r="B19" s="15" t="s">
        <v>372</v>
      </c>
      <c r="C19" s="3"/>
      <c r="D19" s="3"/>
      <c r="E19" s="3"/>
      <c r="F19" s="3"/>
      <c r="G19" s="217">
        <v>0</v>
      </c>
      <c r="H19" s="131">
        <v>2</v>
      </c>
      <c r="I19" s="217">
        <v>2</v>
      </c>
      <c r="J19" s="131">
        <v>2</v>
      </c>
      <c r="K19" s="217">
        <v>2</v>
      </c>
      <c r="L19" s="131">
        <v>2</v>
      </c>
      <c r="M19" s="217">
        <v>2</v>
      </c>
      <c r="N19" s="47"/>
      <c r="O19" s="216">
        <v>0</v>
      </c>
      <c r="P19" s="216">
        <v>0</v>
      </c>
      <c r="Q19" s="216">
        <v>0</v>
      </c>
      <c r="R19" s="195">
        <v>0</v>
      </c>
      <c r="S19" s="195">
        <v>0</v>
      </c>
      <c r="T19" s="195">
        <v>0</v>
      </c>
      <c r="U19" s="195">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6">
        <f t="shared" si="4"/>
        <v>0</v>
      </c>
      <c r="AJ19" s="216">
        <f t="shared" si="1"/>
        <v>0</v>
      </c>
      <c r="AK19" s="216">
        <f t="shared" si="1"/>
        <v>0</v>
      </c>
      <c r="AL19" s="216">
        <f t="shared" si="1"/>
        <v>0</v>
      </c>
      <c r="AM19" s="216">
        <f t="shared" si="1"/>
        <v>0</v>
      </c>
      <c r="AN19" s="216">
        <f t="shared" si="1"/>
        <v>0</v>
      </c>
      <c r="AO19" s="216">
        <f t="shared" si="1"/>
        <v>0</v>
      </c>
      <c r="AP19" s="66">
        <f t="shared" si="5"/>
        <v>0</v>
      </c>
      <c r="AQ19" s="110"/>
    </row>
    <row r="20" spans="1:45" x14ac:dyDescent="0.25">
      <c r="A20" t="s">
        <v>43</v>
      </c>
      <c r="B20" s="15" t="s">
        <v>372</v>
      </c>
      <c r="C20" s="3"/>
      <c r="D20" s="3"/>
      <c r="E20" s="3"/>
      <c r="F20" s="3"/>
      <c r="G20" s="217">
        <v>0</v>
      </c>
      <c r="H20" s="131">
        <v>2</v>
      </c>
      <c r="I20" s="217">
        <v>2</v>
      </c>
      <c r="J20" s="131">
        <v>2</v>
      </c>
      <c r="K20" s="217">
        <v>2</v>
      </c>
      <c r="L20" s="131">
        <v>2</v>
      </c>
      <c r="M20" s="217">
        <v>2</v>
      </c>
      <c r="N20" s="47"/>
      <c r="O20" s="216">
        <v>0</v>
      </c>
      <c r="P20" s="216">
        <v>0</v>
      </c>
      <c r="Q20" s="216">
        <v>0</v>
      </c>
      <c r="R20" s="195">
        <v>0</v>
      </c>
      <c r="S20" s="195">
        <v>0</v>
      </c>
      <c r="T20" s="195">
        <v>0</v>
      </c>
      <c r="U20" s="195">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6">
        <f t="shared" si="4"/>
        <v>0</v>
      </c>
      <c r="AJ20" s="216">
        <f t="shared" si="1"/>
        <v>0</v>
      </c>
      <c r="AK20" s="216">
        <f t="shared" si="1"/>
        <v>0</v>
      </c>
      <c r="AL20" s="216">
        <f t="shared" si="1"/>
        <v>0</v>
      </c>
      <c r="AM20" s="216">
        <f t="shared" si="1"/>
        <v>0</v>
      </c>
      <c r="AN20" s="216">
        <f t="shared" si="1"/>
        <v>0</v>
      </c>
      <c r="AO20" s="216">
        <f t="shared" si="1"/>
        <v>0</v>
      </c>
      <c r="AP20" s="66">
        <f t="shared" si="5"/>
        <v>0</v>
      </c>
      <c r="AQ20" s="110"/>
    </row>
    <row r="21" spans="1:45" x14ac:dyDescent="0.25">
      <c r="A21" t="s">
        <v>36</v>
      </c>
      <c r="B21" s="15" t="s">
        <v>71</v>
      </c>
      <c r="C21" s="3" t="s">
        <v>45</v>
      </c>
      <c r="D21" s="3" t="s">
        <v>324</v>
      </c>
      <c r="E21" s="3">
        <v>17</v>
      </c>
      <c r="F21" s="3">
        <v>37</v>
      </c>
      <c r="G21" s="217">
        <v>0</v>
      </c>
      <c r="H21" s="131">
        <v>2</v>
      </c>
      <c r="I21" s="217">
        <v>5.7</v>
      </c>
      <c r="J21" s="131">
        <v>5.5</v>
      </c>
      <c r="K21" s="217">
        <v>5.25</v>
      </c>
      <c r="L21" s="131">
        <v>3</v>
      </c>
      <c r="M21" s="217">
        <v>5</v>
      </c>
      <c r="N21" s="47">
        <f>(310+135+140)*1.016</f>
        <v>594.36</v>
      </c>
      <c r="O21" s="216">
        <v>0</v>
      </c>
      <c r="P21" s="216">
        <v>0</v>
      </c>
      <c r="Q21" s="216">
        <v>13</v>
      </c>
      <c r="R21" s="195">
        <v>10.5</v>
      </c>
      <c r="S21" s="195">
        <v>8</v>
      </c>
      <c r="T21" s="195">
        <v>2</v>
      </c>
      <c r="U21" s="195">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6">
        <f t="shared" si="4"/>
        <v>0</v>
      </c>
      <c r="AJ21" s="216">
        <f t="shared" si="1"/>
        <v>0</v>
      </c>
      <c r="AK21" s="216">
        <f t="shared" si="1"/>
        <v>13</v>
      </c>
      <c r="AL21" s="216">
        <f>R21+AR17</f>
        <v>42</v>
      </c>
      <c r="AM21" s="216">
        <f t="shared" si="1"/>
        <v>8</v>
      </c>
      <c r="AN21" s="216">
        <f>T21+AR16</f>
        <v>18</v>
      </c>
      <c r="AO21" s="216">
        <f t="shared" si="1"/>
        <v>3</v>
      </c>
      <c r="AP21" s="66">
        <f t="shared" si="5"/>
        <v>84</v>
      </c>
      <c r="AQ21" s="110"/>
    </row>
    <row r="22" spans="1:45" x14ac:dyDescent="0.25">
      <c r="A22" t="s">
        <v>40</v>
      </c>
      <c r="B22" s="15" t="s">
        <v>71</v>
      </c>
      <c r="C22" s="3" t="s">
        <v>295</v>
      </c>
      <c r="D22" s="3" t="s">
        <v>325</v>
      </c>
      <c r="E22" s="3">
        <v>17</v>
      </c>
      <c r="F22" s="3">
        <v>41</v>
      </c>
      <c r="G22" s="217">
        <v>0</v>
      </c>
      <c r="H22" s="131">
        <v>6</v>
      </c>
      <c r="I22" s="217">
        <v>3</v>
      </c>
      <c r="J22" s="131">
        <v>3</v>
      </c>
      <c r="K22" s="217">
        <v>5.2</v>
      </c>
      <c r="L22" s="131">
        <v>2</v>
      </c>
      <c r="M22" s="217">
        <v>3</v>
      </c>
      <c r="N22" s="47">
        <f>(330+138)*1.012</f>
        <v>473.61599999999999</v>
      </c>
      <c r="O22" s="216">
        <v>0</v>
      </c>
      <c r="P22" s="216">
        <v>14</v>
      </c>
      <c r="Q22" s="216">
        <v>3</v>
      </c>
      <c r="R22" s="195">
        <v>1.5</v>
      </c>
      <c r="S22" s="195">
        <v>8</v>
      </c>
      <c r="T22" s="195">
        <v>0</v>
      </c>
      <c r="U22" s="195">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6">
        <f t="shared" si="4"/>
        <v>0</v>
      </c>
      <c r="AJ22" s="216">
        <f t="shared" si="1"/>
        <v>14</v>
      </c>
      <c r="AK22" s="216">
        <f t="shared" si="1"/>
        <v>3</v>
      </c>
      <c r="AL22" s="216">
        <f>R22+AR17</f>
        <v>33</v>
      </c>
      <c r="AM22" s="216">
        <f t="shared" si="1"/>
        <v>8</v>
      </c>
      <c r="AN22" s="216">
        <f>T22+AR16</f>
        <v>16</v>
      </c>
      <c r="AO22" s="216">
        <f t="shared" si="1"/>
        <v>1</v>
      </c>
      <c r="AP22" s="66">
        <f>SUM(AI22:AO22)</f>
        <v>75</v>
      </c>
      <c r="AQ22" s="110"/>
    </row>
    <row r="23" spans="1:45" x14ac:dyDescent="0.25">
      <c r="A23" t="s">
        <v>34</v>
      </c>
      <c r="B23" s="15" t="s">
        <v>71</v>
      </c>
      <c r="C23" s="3" t="s">
        <v>295</v>
      </c>
      <c r="D23" s="3" t="s">
        <v>326</v>
      </c>
      <c r="E23" s="3">
        <v>17</v>
      </c>
      <c r="F23" s="3">
        <v>37</v>
      </c>
      <c r="G23" s="217">
        <v>0</v>
      </c>
      <c r="H23" s="131">
        <v>3</v>
      </c>
      <c r="I23" s="217">
        <v>5</v>
      </c>
      <c r="J23" s="131">
        <v>4</v>
      </c>
      <c r="K23" s="217">
        <v>4</v>
      </c>
      <c r="L23" s="131">
        <v>3</v>
      </c>
      <c r="M23" s="217">
        <v>3</v>
      </c>
      <c r="N23" s="47">
        <f>(270+125+125)*1.012</f>
        <v>526.24</v>
      </c>
      <c r="O23" s="216">
        <v>0</v>
      </c>
      <c r="P23" s="216">
        <v>3</v>
      </c>
      <c r="Q23" s="216">
        <v>9</v>
      </c>
      <c r="R23" s="195">
        <v>3.5</v>
      </c>
      <c r="S23" s="195">
        <v>4</v>
      </c>
      <c r="T23" s="195">
        <v>2</v>
      </c>
      <c r="U23" s="195">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6">
        <f t="shared" si="4"/>
        <v>0</v>
      </c>
      <c r="AJ23" s="216">
        <f t="shared" si="1"/>
        <v>3</v>
      </c>
      <c r="AK23" s="216">
        <f t="shared" si="1"/>
        <v>9</v>
      </c>
      <c r="AL23" s="216">
        <f>R23+AR17</f>
        <v>35</v>
      </c>
      <c r="AM23" s="216">
        <f t="shared" si="1"/>
        <v>4</v>
      </c>
      <c r="AN23" s="216">
        <f>T23+AR16</f>
        <v>18</v>
      </c>
      <c r="AO23" s="216">
        <f t="shared" si="1"/>
        <v>1</v>
      </c>
      <c r="AP23" s="66">
        <f>SUM(AI23:AO23)</f>
        <v>70</v>
      </c>
      <c r="AQ23" s="110"/>
    </row>
    <row r="24" spans="1:45" x14ac:dyDescent="0.25">
      <c r="A24" t="s">
        <v>42</v>
      </c>
      <c r="B24" s="15" t="s">
        <v>44</v>
      </c>
      <c r="C24" s="3"/>
      <c r="D24" s="3"/>
      <c r="E24" s="3"/>
      <c r="F24" s="3"/>
      <c r="G24" s="217">
        <v>0</v>
      </c>
      <c r="H24" s="131">
        <v>2</v>
      </c>
      <c r="I24" s="217">
        <v>2</v>
      </c>
      <c r="J24" s="131">
        <v>2</v>
      </c>
      <c r="K24" s="217">
        <v>2</v>
      </c>
      <c r="L24" s="131">
        <v>2</v>
      </c>
      <c r="M24" s="217">
        <v>2</v>
      </c>
      <c r="N24" s="47"/>
      <c r="O24" s="216">
        <v>0</v>
      </c>
      <c r="P24" s="216">
        <v>0</v>
      </c>
      <c r="Q24" s="216">
        <v>0</v>
      </c>
      <c r="R24" s="195">
        <v>0</v>
      </c>
      <c r="S24" s="195">
        <v>0</v>
      </c>
      <c r="T24" s="195">
        <v>0</v>
      </c>
      <c r="U24" s="195">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6">
        <f t="shared" si="4"/>
        <v>0</v>
      </c>
      <c r="AJ24" s="216">
        <f t="shared" si="1"/>
        <v>0</v>
      </c>
      <c r="AK24" s="216">
        <f t="shared" si="1"/>
        <v>0</v>
      </c>
      <c r="AL24" s="216">
        <f t="shared" si="1"/>
        <v>0</v>
      </c>
      <c r="AM24" s="216">
        <f t="shared" si="1"/>
        <v>0</v>
      </c>
      <c r="AN24" s="216">
        <f t="shared" si="1"/>
        <v>0</v>
      </c>
      <c r="AO24" s="216">
        <f t="shared" si="1"/>
        <v>0</v>
      </c>
      <c r="AP24" s="66">
        <f>SUM(AI24:AO24)</f>
        <v>0</v>
      </c>
      <c r="AQ24" s="110"/>
    </row>
    <row r="25" spans="1:45" x14ac:dyDescent="0.25">
      <c r="A25" t="s">
        <v>46</v>
      </c>
      <c r="B25" s="15" t="s">
        <v>44</v>
      </c>
      <c r="C25" s="3"/>
      <c r="D25" s="3"/>
      <c r="E25" s="3"/>
      <c r="F25" s="3"/>
      <c r="G25" s="217">
        <v>0</v>
      </c>
      <c r="H25" s="131">
        <v>2</v>
      </c>
      <c r="I25" s="217">
        <v>2</v>
      </c>
      <c r="J25" s="131">
        <v>2</v>
      </c>
      <c r="K25" s="217">
        <v>2</v>
      </c>
      <c r="L25" s="131">
        <v>2</v>
      </c>
      <c r="M25" s="217">
        <v>2</v>
      </c>
      <c r="N25" s="47"/>
      <c r="O25" s="216">
        <v>0</v>
      </c>
      <c r="P25" s="216">
        <v>0</v>
      </c>
      <c r="Q25" s="216">
        <v>0</v>
      </c>
      <c r="R25" s="195">
        <v>0</v>
      </c>
      <c r="S25" s="195">
        <v>0</v>
      </c>
      <c r="T25" s="195">
        <v>0</v>
      </c>
      <c r="U25" s="195">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6">
        <f t="shared" si="4"/>
        <v>0</v>
      </c>
      <c r="AJ25" s="216">
        <f t="shared" si="1"/>
        <v>0</v>
      </c>
      <c r="AK25" s="216">
        <f t="shared" si="1"/>
        <v>0</v>
      </c>
      <c r="AL25" s="216">
        <f t="shared" si="1"/>
        <v>0</v>
      </c>
      <c r="AM25" s="216">
        <f t="shared" si="1"/>
        <v>0</v>
      </c>
      <c r="AN25" s="216">
        <f t="shared" si="1"/>
        <v>0</v>
      </c>
      <c r="AO25" s="216">
        <f t="shared" si="1"/>
        <v>0</v>
      </c>
      <c r="AP25" s="66">
        <f>SUM(AI25:AO25)</f>
        <v>0</v>
      </c>
      <c r="AQ25" s="110"/>
    </row>
    <row r="26" spans="1:45" x14ac:dyDescent="0.25">
      <c r="A26" t="s">
        <v>327</v>
      </c>
      <c r="B26" s="15" t="s">
        <v>44</v>
      </c>
      <c r="C26" s="3"/>
      <c r="D26" s="3"/>
      <c r="E26" s="3"/>
      <c r="F26" s="3"/>
      <c r="G26" s="217">
        <v>0</v>
      </c>
      <c r="H26" s="131">
        <v>2</v>
      </c>
      <c r="I26" s="217">
        <v>2</v>
      </c>
      <c r="J26" s="131">
        <v>2</v>
      </c>
      <c r="K26" s="217">
        <v>2</v>
      </c>
      <c r="L26" s="131">
        <v>2</v>
      </c>
      <c r="M26" s="217">
        <v>2</v>
      </c>
      <c r="N26" s="47"/>
      <c r="O26" s="216">
        <v>0</v>
      </c>
      <c r="P26" s="216">
        <v>0</v>
      </c>
      <c r="Q26" s="216">
        <v>0</v>
      </c>
      <c r="R26" s="195">
        <v>0</v>
      </c>
      <c r="S26" s="195">
        <v>0</v>
      </c>
      <c r="T26" s="195">
        <v>0</v>
      </c>
      <c r="U26" s="195">
        <v>0</v>
      </c>
      <c r="V26" s="66">
        <f>SUM(O26:U26)</f>
        <v>0</v>
      </c>
      <c r="X26" t="s">
        <v>327</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6">
        <f t="shared" si="4"/>
        <v>0</v>
      </c>
      <c r="AJ26" s="216">
        <f t="shared" si="1"/>
        <v>0</v>
      </c>
      <c r="AK26" s="216">
        <f t="shared" si="1"/>
        <v>0</v>
      </c>
      <c r="AL26" s="216">
        <f t="shared" si="1"/>
        <v>0</v>
      </c>
      <c r="AM26" s="216">
        <f t="shared" si="1"/>
        <v>0</v>
      </c>
      <c r="AN26" s="216">
        <f t="shared" si="1"/>
        <v>0</v>
      </c>
      <c r="AO26" s="216">
        <f t="shared" si="1"/>
        <v>0</v>
      </c>
      <c r="AP26" s="66">
        <f>SUM(AI26:AO26)</f>
        <v>0</v>
      </c>
      <c r="AQ26" s="110"/>
    </row>
    <row r="27" spans="1:45" x14ac:dyDescent="0.25">
      <c r="N27" s="196">
        <f>SUM(N29:N43)</f>
        <v>74210.815999999992</v>
      </c>
      <c r="AH27" s="196">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316</v>
      </c>
      <c r="P28" s="10" t="s">
        <v>317</v>
      </c>
      <c r="Q28" s="10" t="s">
        <v>318</v>
      </c>
      <c r="R28" s="10" t="s">
        <v>319</v>
      </c>
      <c r="S28" s="10" t="s">
        <v>320</v>
      </c>
      <c r="T28" s="10" t="s">
        <v>321</v>
      </c>
      <c r="U28" s="10" t="s">
        <v>322</v>
      </c>
      <c r="V28" s="10" t="s">
        <v>323</v>
      </c>
      <c r="X28" s="10" t="s">
        <v>170</v>
      </c>
      <c r="Y28" s="10" t="str">
        <f>Y10</f>
        <v>Año</v>
      </c>
      <c r="Z28" s="10" t="str">
        <f>Z10</f>
        <v>Dia</v>
      </c>
      <c r="AA28" s="10" t="s">
        <v>15</v>
      </c>
      <c r="AB28" s="10" t="s">
        <v>16</v>
      </c>
      <c r="AC28" s="10" t="s">
        <v>17</v>
      </c>
      <c r="AD28" s="10" t="s">
        <v>18</v>
      </c>
      <c r="AE28" s="10" t="s">
        <v>19</v>
      </c>
      <c r="AF28" s="10" t="s">
        <v>20</v>
      </c>
      <c r="AG28" s="10" t="s">
        <v>6</v>
      </c>
      <c r="AH28" s="10" t="s">
        <v>68</v>
      </c>
      <c r="AI28" s="10" t="s">
        <v>316</v>
      </c>
      <c r="AJ28" s="10" t="s">
        <v>317</v>
      </c>
      <c r="AK28" s="10" t="s">
        <v>318</v>
      </c>
      <c r="AL28" s="10" t="s">
        <v>319</v>
      </c>
      <c r="AM28" s="10" t="s">
        <v>320</v>
      </c>
      <c r="AN28" s="10" t="s">
        <v>321</v>
      </c>
      <c r="AO28" s="10" t="s">
        <v>322</v>
      </c>
      <c r="AP28" s="10" t="s">
        <v>323</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6">
        <v>62</v>
      </c>
      <c r="P29" s="216">
        <f t="shared" ref="P29:U44" si="7">AJ11</f>
        <v>0</v>
      </c>
      <c r="Q29" s="216">
        <f t="shared" si="7"/>
        <v>0</v>
      </c>
      <c r="R29" s="216">
        <f t="shared" si="7"/>
        <v>0</v>
      </c>
      <c r="S29" s="216">
        <f t="shared" si="7"/>
        <v>0</v>
      </c>
      <c r="T29" s="216">
        <f t="shared" si="7"/>
        <v>0</v>
      </c>
      <c r="U29" s="216">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6">
        <f>O29</f>
        <v>62</v>
      </c>
      <c r="AJ29" s="216">
        <f>P29+AR33</f>
        <v>30</v>
      </c>
      <c r="AK29" s="216">
        <f t="shared" ref="AK29:AO44" si="9">Q29</f>
        <v>0</v>
      </c>
      <c r="AL29" s="216">
        <f t="shared" si="9"/>
        <v>0</v>
      </c>
      <c r="AM29" s="216">
        <f t="shared" si="9"/>
        <v>0</v>
      </c>
      <c r="AN29" s="216">
        <f t="shared" si="9"/>
        <v>0</v>
      </c>
      <c r="AO29" s="216">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6">
        <f t="shared" si="6"/>
        <v>0</v>
      </c>
      <c r="P30" s="216">
        <f t="shared" si="7"/>
        <v>14</v>
      </c>
      <c r="Q30" s="216">
        <f t="shared" si="7"/>
        <v>9</v>
      </c>
      <c r="R30" s="216">
        <f t="shared" si="7"/>
        <v>35</v>
      </c>
      <c r="S30" s="216">
        <f t="shared" si="7"/>
        <v>7</v>
      </c>
      <c r="T30" s="216">
        <f t="shared" si="7"/>
        <v>21</v>
      </c>
      <c r="U30" s="216">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6">
        <f t="shared" ref="AI30:AJ44" si="12">O30</f>
        <v>0</v>
      </c>
      <c r="AJ30" s="216">
        <f>P30+AR33</f>
        <v>44</v>
      </c>
      <c r="AK30" s="216">
        <f t="shared" si="9"/>
        <v>9</v>
      </c>
      <c r="AL30" s="216">
        <f t="shared" si="9"/>
        <v>35</v>
      </c>
      <c r="AM30" s="216">
        <f t="shared" si="9"/>
        <v>7</v>
      </c>
      <c r="AN30" s="216">
        <f t="shared" si="9"/>
        <v>21</v>
      </c>
      <c r="AO30" s="216">
        <f t="shared" si="9"/>
        <v>-2</v>
      </c>
      <c r="AP30" s="66">
        <f>SUM(AI30:AO30)</f>
        <v>114</v>
      </c>
      <c r="AQ30" s="110"/>
    </row>
    <row r="31" spans="1:45" x14ac:dyDescent="0.25">
      <c r="A31" t="s">
        <v>33</v>
      </c>
      <c r="B31" s="15" t="str">
        <f t="shared" si="10"/>
        <v>DEF</v>
      </c>
      <c r="C31" s="18" t="s">
        <v>45</v>
      </c>
      <c r="D31" s="18" t="s">
        <v>329</v>
      </c>
      <c r="E31" s="18">
        <v>20</v>
      </c>
      <c r="F31" s="18">
        <v>50</v>
      </c>
      <c r="G31" s="111">
        <f>AA13</f>
        <v>0</v>
      </c>
      <c r="H31" s="111">
        <v>10</v>
      </c>
      <c r="I31" s="111">
        <v>4</v>
      </c>
      <c r="J31" s="111">
        <v>4</v>
      </c>
      <c r="K31" s="111">
        <v>10</v>
      </c>
      <c r="L31" s="111">
        <f t="shared" si="6"/>
        <v>2</v>
      </c>
      <c r="M31" s="111">
        <f t="shared" si="6"/>
        <v>2</v>
      </c>
      <c r="N31" s="47">
        <f>(2330+125+125+785)*1.008</f>
        <v>3391.92</v>
      </c>
      <c r="O31" s="216">
        <f t="shared" si="6"/>
        <v>0</v>
      </c>
      <c r="P31" s="216">
        <v>37</v>
      </c>
      <c r="Q31" s="216">
        <v>6</v>
      </c>
      <c r="R31" s="216">
        <v>3.5</v>
      </c>
      <c r="S31" s="216">
        <v>29</v>
      </c>
      <c r="T31" s="216">
        <f t="shared" si="7"/>
        <v>0</v>
      </c>
      <c r="U31" s="216">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6">
        <f t="shared" si="12"/>
        <v>0</v>
      </c>
      <c r="AJ31" s="216">
        <f>P31+AR33</f>
        <v>67</v>
      </c>
      <c r="AK31" s="216">
        <f t="shared" si="9"/>
        <v>6</v>
      </c>
      <c r="AL31" s="216">
        <f t="shared" si="9"/>
        <v>3.5</v>
      </c>
      <c r="AM31" s="216">
        <f t="shared" si="9"/>
        <v>29</v>
      </c>
      <c r="AN31" s="216">
        <f t="shared" si="9"/>
        <v>0</v>
      </c>
      <c r="AO31" s="216">
        <f t="shared" si="9"/>
        <v>0</v>
      </c>
      <c r="AP31" s="66">
        <f>SUM(AI31:AO31)</f>
        <v>105.5</v>
      </c>
      <c r="AQ31" s="110"/>
    </row>
    <row r="32" spans="1:45" x14ac:dyDescent="0.25">
      <c r="A32" t="s">
        <v>39</v>
      </c>
      <c r="B32" s="15" t="str">
        <f t="shared" si="10"/>
        <v>DEF</v>
      </c>
      <c r="C32" s="18" t="s">
        <v>177</v>
      </c>
      <c r="D32" s="18" t="s">
        <v>329</v>
      </c>
      <c r="E32" s="18">
        <v>20</v>
      </c>
      <c r="F32" s="18">
        <v>50</v>
      </c>
      <c r="G32" s="111">
        <f>AA14</f>
        <v>0</v>
      </c>
      <c r="H32" s="111">
        <v>10</v>
      </c>
      <c r="I32" s="111">
        <v>4</v>
      </c>
      <c r="J32" s="111">
        <v>4</v>
      </c>
      <c r="K32" s="111">
        <v>10</v>
      </c>
      <c r="L32" s="111">
        <f t="shared" si="6"/>
        <v>2</v>
      </c>
      <c r="M32" s="111">
        <f t="shared" si="6"/>
        <v>2</v>
      </c>
      <c r="N32" s="47">
        <f>(2330+125+125+785)*1.008</f>
        <v>3391.92</v>
      </c>
      <c r="O32" s="216">
        <f t="shared" si="6"/>
        <v>0</v>
      </c>
      <c r="P32" s="216">
        <v>37</v>
      </c>
      <c r="Q32" s="216">
        <v>6</v>
      </c>
      <c r="R32" s="216">
        <v>3.5</v>
      </c>
      <c r="S32" s="216">
        <v>29</v>
      </c>
      <c r="T32" s="216">
        <f t="shared" si="7"/>
        <v>0</v>
      </c>
      <c r="U32" s="216">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6">
        <f t="shared" si="12"/>
        <v>0</v>
      </c>
      <c r="AJ32" s="216">
        <f>P32+AR33</f>
        <v>67</v>
      </c>
      <c r="AK32" s="216">
        <f t="shared" si="9"/>
        <v>6</v>
      </c>
      <c r="AL32" s="216">
        <f t="shared" si="9"/>
        <v>3.5</v>
      </c>
      <c r="AM32" s="216">
        <f t="shared" si="9"/>
        <v>29</v>
      </c>
      <c r="AN32" s="216">
        <f t="shared" si="9"/>
        <v>0</v>
      </c>
      <c r="AO32" s="216">
        <f t="shared" si="9"/>
        <v>0</v>
      </c>
      <c r="AP32" s="66">
        <f>SUM(AI32:AO32)</f>
        <v>105.5</v>
      </c>
      <c r="AQ32" s="110"/>
      <c r="AR32" t="s">
        <v>364</v>
      </c>
      <c r="AS32" t="s">
        <v>365</v>
      </c>
    </row>
    <row r="33" spans="1:45" x14ac:dyDescent="0.25">
      <c r="A33" t="s">
        <v>41</v>
      </c>
      <c r="B33" s="15" t="str">
        <f t="shared" si="10"/>
        <v>DEF</v>
      </c>
      <c r="C33" s="18" t="s">
        <v>0</v>
      </c>
      <c r="D33" s="18" t="s">
        <v>329</v>
      </c>
      <c r="E33" s="18">
        <v>20</v>
      </c>
      <c r="F33" s="18">
        <v>50</v>
      </c>
      <c r="G33" s="111">
        <f>AA15</f>
        <v>0</v>
      </c>
      <c r="H33" s="111">
        <v>10</v>
      </c>
      <c r="I33" s="111">
        <v>4</v>
      </c>
      <c r="J33" s="111">
        <v>4</v>
      </c>
      <c r="K33" s="111">
        <v>10</v>
      </c>
      <c r="L33" s="111">
        <f t="shared" si="6"/>
        <v>2</v>
      </c>
      <c r="M33" s="111">
        <f t="shared" si="6"/>
        <v>2</v>
      </c>
      <c r="N33" s="47">
        <f>(2330+125+125+785)*1.008</f>
        <v>3391.92</v>
      </c>
      <c r="O33" s="216">
        <f t="shared" si="6"/>
        <v>0</v>
      </c>
      <c r="P33" s="216">
        <v>37</v>
      </c>
      <c r="Q33" s="216">
        <v>6</v>
      </c>
      <c r="R33" s="216">
        <v>3.5</v>
      </c>
      <c r="S33" s="216">
        <v>29</v>
      </c>
      <c r="T33" s="216">
        <f t="shared" si="7"/>
        <v>0</v>
      </c>
      <c r="U33" s="216">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6">
        <f t="shared" si="12"/>
        <v>0</v>
      </c>
      <c r="AJ33" s="216">
        <f>P33+AR33</f>
        <v>67</v>
      </c>
      <c r="AK33" s="216">
        <f t="shared" si="9"/>
        <v>6</v>
      </c>
      <c r="AL33" s="216">
        <f t="shared" si="9"/>
        <v>3.5</v>
      </c>
      <c r="AM33" s="216">
        <f t="shared" si="9"/>
        <v>29</v>
      </c>
      <c r="AN33" s="216">
        <f t="shared" si="9"/>
        <v>0</v>
      </c>
      <c r="AO33" s="216">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329</v>
      </c>
      <c r="E34" s="18">
        <v>20</v>
      </c>
      <c r="F34" s="18">
        <v>50</v>
      </c>
      <c r="G34" s="111">
        <f>AA16</f>
        <v>0</v>
      </c>
      <c r="H34" s="111">
        <v>10</v>
      </c>
      <c r="I34" s="111">
        <v>4</v>
      </c>
      <c r="J34" s="111">
        <v>4</v>
      </c>
      <c r="K34" s="111">
        <v>10</v>
      </c>
      <c r="L34" s="111">
        <f t="shared" si="6"/>
        <v>2</v>
      </c>
      <c r="M34" s="111">
        <f t="shared" si="6"/>
        <v>2</v>
      </c>
      <c r="N34" s="47">
        <f>(2330+125+125+785)*1.008</f>
        <v>3391.92</v>
      </c>
      <c r="O34" s="216">
        <f t="shared" si="6"/>
        <v>0</v>
      </c>
      <c r="P34" s="216">
        <v>37</v>
      </c>
      <c r="Q34" s="216">
        <v>6</v>
      </c>
      <c r="R34" s="216">
        <v>3.5</v>
      </c>
      <c r="S34" s="216">
        <v>29</v>
      </c>
      <c r="T34" s="216">
        <f t="shared" si="7"/>
        <v>0</v>
      </c>
      <c r="U34" s="216">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6">
        <f t="shared" si="12"/>
        <v>0</v>
      </c>
      <c r="AJ34" s="216">
        <f>P34+AR33</f>
        <v>67</v>
      </c>
      <c r="AK34" s="216">
        <f t="shared" si="9"/>
        <v>6</v>
      </c>
      <c r="AL34" s="216">
        <f t="shared" si="9"/>
        <v>3.5</v>
      </c>
      <c r="AM34" s="216">
        <f t="shared" si="9"/>
        <v>29</v>
      </c>
      <c r="AN34" s="216">
        <f t="shared" si="9"/>
        <v>0</v>
      </c>
      <c r="AO34" s="216">
        <f t="shared" si="9"/>
        <v>0</v>
      </c>
      <c r="AP34" s="66">
        <f t="shared" si="14"/>
        <v>105.5</v>
      </c>
      <c r="AQ34" s="110"/>
    </row>
    <row r="35" spans="1:45" x14ac:dyDescent="0.25">
      <c r="A35" t="s">
        <v>35</v>
      </c>
      <c r="B35" s="15" t="str">
        <f t="shared" si="10"/>
        <v>DEF</v>
      </c>
      <c r="C35" s="18" t="s">
        <v>0</v>
      </c>
      <c r="D35" s="18" t="s">
        <v>329</v>
      </c>
      <c r="E35" s="18">
        <v>20</v>
      </c>
      <c r="F35" s="18">
        <v>50</v>
      </c>
      <c r="G35" s="111">
        <f>AA17</f>
        <v>0</v>
      </c>
      <c r="H35" s="111">
        <v>10</v>
      </c>
      <c r="I35" s="111">
        <v>4</v>
      </c>
      <c r="J35" s="111">
        <v>4</v>
      </c>
      <c r="K35" s="111">
        <v>10</v>
      </c>
      <c r="L35" s="111">
        <f t="shared" si="6"/>
        <v>2</v>
      </c>
      <c r="M35" s="111">
        <f t="shared" si="6"/>
        <v>2</v>
      </c>
      <c r="N35" s="47">
        <f>(2330+125+125+785)*1.008</f>
        <v>3391.92</v>
      </c>
      <c r="O35" s="216">
        <f t="shared" si="6"/>
        <v>0</v>
      </c>
      <c r="P35" s="216">
        <v>37</v>
      </c>
      <c r="Q35" s="216">
        <v>6</v>
      </c>
      <c r="R35" s="216">
        <v>3.5</v>
      </c>
      <c r="S35" s="216">
        <v>29</v>
      </c>
      <c r="T35" s="216">
        <f t="shared" si="7"/>
        <v>0</v>
      </c>
      <c r="U35" s="216">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6">
        <f t="shared" si="12"/>
        <v>0</v>
      </c>
      <c r="AJ35" s="216">
        <f>P35+AR33</f>
        <v>67</v>
      </c>
      <c r="AK35" s="216">
        <f t="shared" si="9"/>
        <v>6</v>
      </c>
      <c r="AL35" s="216">
        <f t="shared" si="9"/>
        <v>3.5</v>
      </c>
      <c r="AM35" s="216">
        <f t="shared" si="9"/>
        <v>29</v>
      </c>
      <c r="AN35" s="216">
        <f t="shared" si="9"/>
        <v>0</v>
      </c>
      <c r="AO35" s="216">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6">
        <f t="shared" si="6"/>
        <v>0</v>
      </c>
      <c r="P36" s="216">
        <f t="shared" si="7"/>
        <v>0</v>
      </c>
      <c r="Q36" s="216">
        <f t="shared" si="7"/>
        <v>0</v>
      </c>
      <c r="R36" s="216">
        <f t="shared" si="7"/>
        <v>0</v>
      </c>
      <c r="S36" s="216">
        <f t="shared" si="7"/>
        <v>0</v>
      </c>
      <c r="T36" s="216">
        <f t="shared" si="7"/>
        <v>0</v>
      </c>
      <c r="U36" s="216">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6">
        <f t="shared" si="12"/>
        <v>0</v>
      </c>
      <c r="AJ36" s="216">
        <f t="shared" si="12"/>
        <v>0</v>
      </c>
      <c r="AK36" s="216">
        <f t="shared" si="9"/>
        <v>0</v>
      </c>
      <c r="AL36" s="216">
        <f t="shared" si="9"/>
        <v>0</v>
      </c>
      <c r="AM36" s="216">
        <f t="shared" si="9"/>
        <v>0</v>
      </c>
      <c r="AN36" s="216">
        <f t="shared" si="9"/>
        <v>0</v>
      </c>
      <c r="AO36" s="216">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6">
        <f t="shared" si="6"/>
        <v>0</v>
      </c>
      <c r="P37" s="216">
        <f t="shared" si="7"/>
        <v>0</v>
      </c>
      <c r="Q37" s="216">
        <f t="shared" si="7"/>
        <v>0</v>
      </c>
      <c r="R37" s="216">
        <f t="shared" si="7"/>
        <v>0</v>
      </c>
      <c r="S37" s="216">
        <f t="shared" si="7"/>
        <v>0</v>
      </c>
      <c r="T37" s="216">
        <f t="shared" si="7"/>
        <v>0</v>
      </c>
      <c r="U37" s="216">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6">
        <f t="shared" si="12"/>
        <v>0</v>
      </c>
      <c r="AJ37" s="216">
        <f t="shared" si="12"/>
        <v>0</v>
      </c>
      <c r="AK37" s="216">
        <f t="shared" si="9"/>
        <v>0</v>
      </c>
      <c r="AL37" s="216">
        <f t="shared" si="9"/>
        <v>0</v>
      </c>
      <c r="AM37" s="216">
        <f t="shared" si="9"/>
        <v>0</v>
      </c>
      <c r="AN37" s="216">
        <f t="shared" si="9"/>
        <v>0</v>
      </c>
      <c r="AO37" s="216">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6">
        <f t="shared" si="6"/>
        <v>0</v>
      </c>
      <c r="P38" s="216">
        <f t="shared" si="7"/>
        <v>0</v>
      </c>
      <c r="Q38" s="216">
        <f t="shared" si="7"/>
        <v>0</v>
      </c>
      <c r="R38" s="216">
        <f t="shared" si="7"/>
        <v>0</v>
      </c>
      <c r="S38" s="216">
        <f t="shared" si="7"/>
        <v>0</v>
      </c>
      <c r="T38" s="216">
        <f t="shared" si="7"/>
        <v>0</v>
      </c>
      <c r="U38" s="216">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6">
        <f t="shared" si="12"/>
        <v>0</v>
      </c>
      <c r="AJ38" s="216">
        <f t="shared" si="12"/>
        <v>0</v>
      </c>
      <c r="AK38" s="216">
        <f t="shared" si="9"/>
        <v>0</v>
      </c>
      <c r="AL38" s="216">
        <f t="shared" si="9"/>
        <v>0</v>
      </c>
      <c r="AM38" s="216">
        <f t="shared" si="9"/>
        <v>0</v>
      </c>
      <c r="AN38" s="216">
        <f t="shared" si="9"/>
        <v>0</v>
      </c>
      <c r="AO38" s="216">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6">
        <f t="shared" si="6"/>
        <v>0</v>
      </c>
      <c r="P39" s="216">
        <f t="shared" si="7"/>
        <v>0</v>
      </c>
      <c r="Q39" s="216">
        <f t="shared" si="7"/>
        <v>13</v>
      </c>
      <c r="R39" s="216">
        <f t="shared" si="7"/>
        <v>42</v>
      </c>
      <c r="S39" s="216">
        <f t="shared" si="7"/>
        <v>8</v>
      </c>
      <c r="T39" s="216">
        <f t="shared" si="7"/>
        <v>18</v>
      </c>
      <c r="U39" s="216">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6">
        <f t="shared" si="12"/>
        <v>0</v>
      </c>
      <c r="AJ39" s="216">
        <f>P39+AR33</f>
        <v>30</v>
      </c>
      <c r="AK39" s="216">
        <f t="shared" si="9"/>
        <v>13</v>
      </c>
      <c r="AL39" s="216">
        <f t="shared" si="9"/>
        <v>42</v>
      </c>
      <c r="AM39" s="216">
        <f t="shared" si="9"/>
        <v>8</v>
      </c>
      <c r="AN39" s="216">
        <f t="shared" si="9"/>
        <v>18</v>
      </c>
      <c r="AO39" s="216">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6">
        <f t="shared" si="6"/>
        <v>0</v>
      </c>
      <c r="P40" s="216">
        <f t="shared" si="7"/>
        <v>14</v>
      </c>
      <c r="Q40" s="216">
        <f t="shared" si="7"/>
        <v>3</v>
      </c>
      <c r="R40" s="216">
        <f t="shared" si="7"/>
        <v>33</v>
      </c>
      <c r="S40" s="216">
        <f t="shared" si="7"/>
        <v>8</v>
      </c>
      <c r="T40" s="216">
        <f t="shared" si="7"/>
        <v>16</v>
      </c>
      <c r="U40" s="216">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6">
        <f t="shared" si="12"/>
        <v>0</v>
      </c>
      <c r="AJ40" s="216">
        <f>P40+AR33</f>
        <v>44</v>
      </c>
      <c r="AK40" s="216">
        <f t="shared" si="9"/>
        <v>3</v>
      </c>
      <c r="AL40" s="216">
        <f t="shared" si="9"/>
        <v>33</v>
      </c>
      <c r="AM40" s="216">
        <f t="shared" si="9"/>
        <v>8</v>
      </c>
      <c r="AN40" s="216">
        <f t="shared" si="9"/>
        <v>16</v>
      </c>
      <c r="AO40" s="216">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6">
        <f t="shared" si="6"/>
        <v>0</v>
      </c>
      <c r="P41" s="216">
        <f t="shared" si="7"/>
        <v>3</v>
      </c>
      <c r="Q41" s="216">
        <f t="shared" si="7"/>
        <v>9</v>
      </c>
      <c r="R41" s="216">
        <f t="shared" si="7"/>
        <v>35</v>
      </c>
      <c r="S41" s="216">
        <f t="shared" si="7"/>
        <v>4</v>
      </c>
      <c r="T41" s="216">
        <f t="shared" si="7"/>
        <v>18</v>
      </c>
      <c r="U41" s="216">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6">
        <f t="shared" si="12"/>
        <v>0</v>
      </c>
      <c r="AJ41" s="216">
        <f>P41+AR33</f>
        <v>33</v>
      </c>
      <c r="AK41" s="216">
        <f t="shared" si="9"/>
        <v>9</v>
      </c>
      <c r="AL41" s="216">
        <f t="shared" si="9"/>
        <v>35</v>
      </c>
      <c r="AM41" s="216">
        <f t="shared" si="9"/>
        <v>4</v>
      </c>
      <c r="AN41" s="216">
        <f t="shared" si="9"/>
        <v>18</v>
      </c>
      <c r="AO41" s="216">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6">
        <f t="shared" si="6"/>
        <v>0</v>
      </c>
      <c r="P42" s="216">
        <f t="shared" si="7"/>
        <v>0</v>
      </c>
      <c r="Q42" s="216">
        <f t="shared" si="7"/>
        <v>0</v>
      </c>
      <c r="R42" s="216">
        <f t="shared" si="7"/>
        <v>0</v>
      </c>
      <c r="S42" s="216">
        <f t="shared" si="7"/>
        <v>0</v>
      </c>
      <c r="T42" s="216">
        <f t="shared" si="7"/>
        <v>0</v>
      </c>
      <c r="U42" s="216">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6">
        <f t="shared" si="12"/>
        <v>0</v>
      </c>
      <c r="AJ42" s="216">
        <f t="shared" si="12"/>
        <v>0</v>
      </c>
      <c r="AK42" s="216">
        <f t="shared" si="9"/>
        <v>0</v>
      </c>
      <c r="AL42" s="216">
        <f t="shared" si="9"/>
        <v>0</v>
      </c>
      <c r="AM42" s="216">
        <f t="shared" si="9"/>
        <v>0</v>
      </c>
      <c r="AN42" s="216">
        <f t="shared" si="9"/>
        <v>0</v>
      </c>
      <c r="AO42" s="216">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6">
        <f t="shared" si="6"/>
        <v>0</v>
      </c>
      <c r="P43" s="216">
        <f t="shared" si="7"/>
        <v>0</v>
      </c>
      <c r="Q43" s="216">
        <f t="shared" si="7"/>
        <v>0</v>
      </c>
      <c r="R43" s="216">
        <f t="shared" si="7"/>
        <v>0</v>
      </c>
      <c r="S43" s="216">
        <f t="shared" si="7"/>
        <v>0</v>
      </c>
      <c r="T43" s="216">
        <f t="shared" si="7"/>
        <v>0</v>
      </c>
      <c r="U43" s="216">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6">
        <f t="shared" si="12"/>
        <v>0</v>
      </c>
      <c r="AJ43" s="216">
        <f t="shared" si="12"/>
        <v>0</v>
      </c>
      <c r="AK43" s="216">
        <f t="shared" si="9"/>
        <v>0</v>
      </c>
      <c r="AL43" s="216">
        <f t="shared" si="9"/>
        <v>0</v>
      </c>
      <c r="AM43" s="216">
        <f t="shared" si="9"/>
        <v>0</v>
      </c>
      <c r="AN43" s="216">
        <f t="shared" si="9"/>
        <v>0</v>
      </c>
      <c r="AO43" s="216">
        <f t="shared" si="9"/>
        <v>0</v>
      </c>
      <c r="AP43" s="66">
        <f>SUM(AI43:AO43)</f>
        <v>0</v>
      </c>
      <c r="AQ43" s="110"/>
    </row>
    <row r="44" spans="1:45" x14ac:dyDescent="0.25">
      <c r="A44" t="s">
        <v>327</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6">
        <f t="shared" si="6"/>
        <v>0</v>
      </c>
      <c r="P44" s="216">
        <f t="shared" si="7"/>
        <v>0</v>
      </c>
      <c r="Q44" s="216">
        <f t="shared" si="7"/>
        <v>0</v>
      </c>
      <c r="R44" s="216">
        <f t="shared" si="7"/>
        <v>0</v>
      </c>
      <c r="S44" s="216">
        <f t="shared" si="7"/>
        <v>0</v>
      </c>
      <c r="T44" s="216">
        <f t="shared" si="7"/>
        <v>0</v>
      </c>
      <c r="U44" s="216">
        <f t="shared" si="7"/>
        <v>0</v>
      </c>
      <c r="V44" s="66">
        <f>SUM(O44:U44)</f>
        <v>0</v>
      </c>
      <c r="X44" t="s">
        <v>327</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6">
        <f t="shared" si="12"/>
        <v>0</v>
      </c>
      <c r="AJ44" s="216">
        <f t="shared" si="12"/>
        <v>0</v>
      </c>
      <c r="AK44" s="216">
        <f t="shared" si="9"/>
        <v>0</v>
      </c>
      <c r="AL44" s="216">
        <f t="shared" si="9"/>
        <v>0</v>
      </c>
      <c r="AM44" s="216">
        <f t="shared" si="9"/>
        <v>0</v>
      </c>
      <c r="AN44" s="216">
        <f t="shared" si="9"/>
        <v>0</v>
      </c>
      <c r="AO44" s="216">
        <f t="shared" si="9"/>
        <v>0</v>
      </c>
      <c r="AP44" s="66">
        <f>SUM(AI44:AO44)</f>
        <v>0</v>
      </c>
      <c r="AQ44" s="110"/>
    </row>
    <row r="45" spans="1:45" x14ac:dyDescent="0.25">
      <c r="N45" s="196">
        <f>SUM(N47:N61)</f>
        <v>173422.41600000003</v>
      </c>
      <c r="AH45" s="196">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316</v>
      </c>
      <c r="P46" s="10" t="s">
        <v>317</v>
      </c>
      <c r="Q46" s="10" t="s">
        <v>318</v>
      </c>
      <c r="R46" s="10" t="s">
        <v>319</v>
      </c>
      <c r="S46" s="10" t="s">
        <v>320</v>
      </c>
      <c r="T46" s="10" t="s">
        <v>321</v>
      </c>
      <c r="U46" s="10" t="s">
        <v>322</v>
      </c>
      <c r="V46" s="10" t="s">
        <v>323</v>
      </c>
      <c r="X46" s="10" t="s">
        <v>170</v>
      </c>
      <c r="Y46" s="10" t="str">
        <f>Y28</f>
        <v>Año</v>
      </c>
      <c r="Z46" s="10" t="str">
        <f>Z28</f>
        <v>Dia</v>
      </c>
      <c r="AA46" s="10" t="s">
        <v>15</v>
      </c>
      <c r="AB46" s="10" t="s">
        <v>16</v>
      </c>
      <c r="AC46" s="10" t="s">
        <v>17</v>
      </c>
      <c r="AD46" s="10" t="s">
        <v>18</v>
      </c>
      <c r="AE46" s="10" t="s">
        <v>19</v>
      </c>
      <c r="AF46" s="10" t="s">
        <v>20</v>
      </c>
      <c r="AG46" s="10" t="s">
        <v>6</v>
      </c>
      <c r="AH46" s="10" t="s">
        <v>68</v>
      </c>
      <c r="AI46" s="10" t="s">
        <v>316</v>
      </c>
      <c r="AJ46" s="10" t="s">
        <v>317</v>
      </c>
      <c r="AK46" s="10" t="s">
        <v>318</v>
      </c>
      <c r="AL46" s="10" t="s">
        <v>319</v>
      </c>
      <c r="AM46" s="10" t="s">
        <v>320</v>
      </c>
      <c r="AN46" s="10" t="s">
        <v>321</v>
      </c>
      <c r="AO46" s="10" t="s">
        <v>322</v>
      </c>
      <c r="AP46" s="10" t="s">
        <v>323</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6">
        <f>AI29</f>
        <v>62</v>
      </c>
      <c r="P47" s="216">
        <f t="shared" ref="P47:U62" si="17">AJ29</f>
        <v>30</v>
      </c>
      <c r="Q47" s="216">
        <f t="shared" si="17"/>
        <v>0</v>
      </c>
      <c r="R47" s="216">
        <f t="shared" si="17"/>
        <v>0</v>
      </c>
      <c r="S47" s="216">
        <f t="shared" si="17"/>
        <v>0</v>
      </c>
      <c r="T47" s="216">
        <f t="shared" si="17"/>
        <v>0</v>
      </c>
      <c r="U47" s="216">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6">
        <f>O47</f>
        <v>62</v>
      </c>
      <c r="AJ47" s="216">
        <f t="shared" ref="AJ47:AO62" si="19">P47</f>
        <v>30</v>
      </c>
      <c r="AK47" s="216">
        <f t="shared" si="19"/>
        <v>0</v>
      </c>
      <c r="AL47" s="216">
        <f t="shared" si="19"/>
        <v>0</v>
      </c>
      <c r="AM47" s="216">
        <f t="shared" si="19"/>
        <v>0</v>
      </c>
      <c r="AN47" s="216">
        <f t="shared" si="19"/>
        <v>0</v>
      </c>
      <c r="AO47" s="216">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6">
        <f t="shared" si="16"/>
        <v>0</v>
      </c>
      <c r="P48" s="216">
        <f t="shared" si="17"/>
        <v>44</v>
      </c>
      <c r="Q48" s="216">
        <f t="shared" si="17"/>
        <v>9</v>
      </c>
      <c r="R48" s="216">
        <f t="shared" si="17"/>
        <v>35</v>
      </c>
      <c r="S48" s="216">
        <f t="shared" si="17"/>
        <v>7</v>
      </c>
      <c r="T48" s="216">
        <f t="shared" si="17"/>
        <v>21</v>
      </c>
      <c r="U48" s="216">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6">
        <f t="shared" ref="AI48:AI62" si="23">O48</f>
        <v>0</v>
      </c>
      <c r="AJ48" s="216">
        <f t="shared" si="19"/>
        <v>44</v>
      </c>
      <c r="AK48" s="216">
        <f t="shared" si="19"/>
        <v>9</v>
      </c>
      <c r="AL48" s="216">
        <f t="shared" si="19"/>
        <v>35</v>
      </c>
      <c r="AM48" s="216">
        <f t="shared" si="19"/>
        <v>7</v>
      </c>
      <c r="AN48" s="216">
        <f t="shared" si="19"/>
        <v>21</v>
      </c>
      <c r="AO48" s="216">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6">
        <f t="shared" si="16"/>
        <v>0</v>
      </c>
      <c r="P49" s="216">
        <f t="shared" si="17"/>
        <v>67</v>
      </c>
      <c r="Q49" s="216">
        <f t="shared" si="17"/>
        <v>6</v>
      </c>
      <c r="R49" s="216">
        <f t="shared" si="17"/>
        <v>3.5</v>
      </c>
      <c r="S49" s="216">
        <f t="shared" si="17"/>
        <v>29</v>
      </c>
      <c r="T49" s="216">
        <f t="shared" si="17"/>
        <v>0</v>
      </c>
      <c r="U49" s="216">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6">
        <f t="shared" si="23"/>
        <v>0</v>
      </c>
      <c r="AJ49" s="216">
        <f t="shared" si="19"/>
        <v>67</v>
      </c>
      <c r="AK49" s="216">
        <f t="shared" si="19"/>
        <v>6</v>
      </c>
      <c r="AL49" s="216">
        <f t="shared" si="19"/>
        <v>3.5</v>
      </c>
      <c r="AM49" s="216">
        <f t="shared" si="19"/>
        <v>29</v>
      </c>
      <c r="AN49" s="216">
        <f t="shared" si="19"/>
        <v>0</v>
      </c>
      <c r="AO49" s="216">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6">
        <f t="shared" si="16"/>
        <v>0</v>
      </c>
      <c r="P50" s="216">
        <f t="shared" si="17"/>
        <v>67</v>
      </c>
      <c r="Q50" s="216">
        <f t="shared" si="17"/>
        <v>6</v>
      </c>
      <c r="R50" s="216">
        <f t="shared" si="17"/>
        <v>3.5</v>
      </c>
      <c r="S50" s="216">
        <f t="shared" si="17"/>
        <v>29</v>
      </c>
      <c r="T50" s="216">
        <f t="shared" si="17"/>
        <v>0</v>
      </c>
      <c r="U50" s="216">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6">
        <f t="shared" si="23"/>
        <v>0</v>
      </c>
      <c r="AJ50" s="216">
        <f t="shared" si="19"/>
        <v>67</v>
      </c>
      <c r="AK50" s="216">
        <f t="shared" si="19"/>
        <v>6</v>
      </c>
      <c r="AL50" s="216">
        <f t="shared" si="19"/>
        <v>3.5</v>
      </c>
      <c r="AM50" s="216">
        <f t="shared" si="19"/>
        <v>29</v>
      </c>
      <c r="AN50" s="216">
        <f t="shared" si="19"/>
        <v>0</v>
      </c>
      <c r="AO50" s="216">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6">
        <f t="shared" si="16"/>
        <v>0</v>
      </c>
      <c r="P51" s="216">
        <f t="shared" si="17"/>
        <v>67</v>
      </c>
      <c r="Q51" s="216">
        <f t="shared" si="17"/>
        <v>6</v>
      </c>
      <c r="R51" s="216">
        <f t="shared" si="17"/>
        <v>3.5</v>
      </c>
      <c r="S51" s="216">
        <f t="shared" si="17"/>
        <v>29</v>
      </c>
      <c r="T51" s="216">
        <f t="shared" si="17"/>
        <v>0</v>
      </c>
      <c r="U51" s="216">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6">
        <f t="shared" si="23"/>
        <v>0</v>
      </c>
      <c r="AJ51" s="216">
        <f t="shared" si="19"/>
        <v>67</v>
      </c>
      <c r="AK51" s="216">
        <f t="shared" si="19"/>
        <v>6</v>
      </c>
      <c r="AL51" s="216">
        <f t="shared" si="19"/>
        <v>3.5</v>
      </c>
      <c r="AM51" s="216">
        <f t="shared" si="19"/>
        <v>29</v>
      </c>
      <c r="AN51" s="216">
        <f t="shared" si="19"/>
        <v>0</v>
      </c>
      <c r="AO51" s="216">
        <f>U51+AR52</f>
        <v>25</v>
      </c>
      <c r="AP51" s="66">
        <f t="shared" ref="AP51:AP57" si="25">SUM(AI51:AO51)</f>
        <v>130.5</v>
      </c>
      <c r="AQ51" s="110"/>
      <c r="AR51" t="s">
        <v>364</v>
      </c>
      <c r="AS51" t="s">
        <v>365</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6">
        <f t="shared" si="16"/>
        <v>0</v>
      </c>
      <c r="P52" s="216">
        <f t="shared" si="17"/>
        <v>67</v>
      </c>
      <c r="Q52" s="216">
        <f t="shared" si="17"/>
        <v>6</v>
      </c>
      <c r="R52" s="216">
        <f t="shared" si="17"/>
        <v>3.5</v>
      </c>
      <c r="S52" s="216">
        <f t="shared" si="17"/>
        <v>29</v>
      </c>
      <c r="T52" s="216">
        <f t="shared" si="17"/>
        <v>0</v>
      </c>
      <c r="U52" s="216">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6">
        <f t="shared" si="23"/>
        <v>0</v>
      </c>
      <c r="AJ52" s="216">
        <f t="shared" si="19"/>
        <v>67</v>
      </c>
      <c r="AK52" s="216">
        <f t="shared" si="19"/>
        <v>6</v>
      </c>
      <c r="AL52" s="216">
        <f t="shared" si="19"/>
        <v>3.5</v>
      </c>
      <c r="AM52" s="216">
        <f t="shared" si="19"/>
        <v>29</v>
      </c>
      <c r="AN52" s="216">
        <f t="shared" si="19"/>
        <v>0</v>
      </c>
      <c r="AO52" s="216">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6">
        <f t="shared" si="16"/>
        <v>0</v>
      </c>
      <c r="P53" s="216">
        <f t="shared" si="17"/>
        <v>67</v>
      </c>
      <c r="Q53" s="216">
        <f t="shared" si="17"/>
        <v>6</v>
      </c>
      <c r="R53" s="216">
        <f t="shared" si="17"/>
        <v>3.5</v>
      </c>
      <c r="S53" s="216">
        <f t="shared" si="17"/>
        <v>29</v>
      </c>
      <c r="T53" s="216">
        <f t="shared" si="17"/>
        <v>0</v>
      </c>
      <c r="U53" s="216">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6">
        <f t="shared" si="23"/>
        <v>0</v>
      </c>
      <c r="AJ53" s="216">
        <f t="shared" si="19"/>
        <v>67</v>
      </c>
      <c r="AK53" s="216">
        <f t="shared" si="19"/>
        <v>6</v>
      </c>
      <c r="AL53" s="216">
        <f t="shared" si="19"/>
        <v>3.5</v>
      </c>
      <c r="AM53" s="216">
        <f t="shared" si="19"/>
        <v>29</v>
      </c>
      <c r="AN53" s="216">
        <f t="shared" si="19"/>
        <v>0</v>
      </c>
      <c r="AO53" s="216">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6">
        <f t="shared" si="16"/>
        <v>0</v>
      </c>
      <c r="P54" s="216">
        <f t="shared" si="17"/>
        <v>0</v>
      </c>
      <c r="Q54" s="216">
        <f t="shared" si="17"/>
        <v>0</v>
      </c>
      <c r="R54" s="216">
        <f t="shared" si="17"/>
        <v>0</v>
      </c>
      <c r="S54" s="216">
        <f t="shared" si="17"/>
        <v>0</v>
      </c>
      <c r="T54" s="216">
        <f t="shared" si="17"/>
        <v>0</v>
      </c>
      <c r="U54" s="216">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6">
        <f t="shared" si="23"/>
        <v>0</v>
      </c>
      <c r="AJ54" s="216">
        <f t="shared" si="19"/>
        <v>0</v>
      </c>
      <c r="AK54" s="216">
        <f t="shared" si="19"/>
        <v>0</v>
      </c>
      <c r="AL54" s="216">
        <f t="shared" si="19"/>
        <v>0</v>
      </c>
      <c r="AM54" s="216">
        <f t="shared" si="19"/>
        <v>0</v>
      </c>
      <c r="AN54" s="216">
        <f t="shared" si="19"/>
        <v>0</v>
      </c>
      <c r="AO54" s="216">
        <f t="shared" si="19"/>
        <v>0</v>
      </c>
      <c r="AP54" s="66">
        <f t="shared" si="25"/>
        <v>0</v>
      </c>
      <c r="AQ54" s="110"/>
    </row>
    <row r="55" spans="1:45" x14ac:dyDescent="0.25">
      <c r="A55" t="s">
        <v>43</v>
      </c>
      <c r="B55" s="15" t="str">
        <f t="shared" ref="B55:D62" si="26">B37</f>
        <v>INN</v>
      </c>
      <c r="C55" s="18" t="s">
        <v>177</v>
      </c>
      <c r="D55" s="18" t="s">
        <v>328</v>
      </c>
      <c r="E55" s="18">
        <v>22</v>
      </c>
      <c r="F55" s="18">
        <v>70</v>
      </c>
      <c r="G55" s="111">
        <f t="shared" si="21"/>
        <v>0</v>
      </c>
      <c r="H55" s="111">
        <v>11</v>
      </c>
      <c r="I55" s="111">
        <v>12</v>
      </c>
      <c r="J55" s="111">
        <f t="shared" si="16"/>
        <v>2</v>
      </c>
      <c r="K55" s="111">
        <v>8</v>
      </c>
      <c r="L55" s="111">
        <v>5</v>
      </c>
      <c r="M55" s="111">
        <f t="shared" si="16"/>
        <v>2</v>
      </c>
      <c r="N55" s="47">
        <f>(8670+1165+135+125)*1.008</f>
        <v>10175.76</v>
      </c>
      <c r="O55" s="216">
        <f t="shared" si="16"/>
        <v>0</v>
      </c>
      <c r="P55" s="216">
        <v>37</v>
      </c>
      <c r="Q55" s="216">
        <v>48</v>
      </c>
      <c r="R55" s="216">
        <f t="shared" si="17"/>
        <v>0</v>
      </c>
      <c r="S55" s="216">
        <v>18</v>
      </c>
      <c r="T55" s="216">
        <v>8</v>
      </c>
      <c r="U55" s="216">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6">
        <f t="shared" si="23"/>
        <v>0</v>
      </c>
      <c r="AJ55" s="216">
        <f t="shared" si="19"/>
        <v>37</v>
      </c>
      <c r="AK55" s="216">
        <f t="shared" si="19"/>
        <v>48</v>
      </c>
      <c r="AL55" s="216">
        <f t="shared" si="19"/>
        <v>0</v>
      </c>
      <c r="AM55" s="216">
        <f t="shared" si="19"/>
        <v>18</v>
      </c>
      <c r="AN55" s="216">
        <f t="shared" si="19"/>
        <v>8</v>
      </c>
      <c r="AO55" s="216">
        <f>U55+AR52</f>
        <v>25</v>
      </c>
      <c r="AP55" s="66">
        <f t="shared" si="25"/>
        <v>136</v>
      </c>
      <c r="AQ55" s="110"/>
    </row>
    <row r="56" spans="1:45" x14ac:dyDescent="0.25">
      <c r="A56" t="s">
        <v>43</v>
      </c>
      <c r="B56" s="15" t="str">
        <f t="shared" si="26"/>
        <v>INN</v>
      </c>
      <c r="C56" s="18" t="s">
        <v>0</v>
      </c>
      <c r="D56" s="18" t="s">
        <v>328</v>
      </c>
      <c r="E56" s="18">
        <v>22</v>
      </c>
      <c r="F56" s="18">
        <v>70</v>
      </c>
      <c r="G56" s="111">
        <f t="shared" si="21"/>
        <v>0</v>
      </c>
      <c r="H56" s="111">
        <v>11</v>
      </c>
      <c r="I56" s="111">
        <v>12</v>
      </c>
      <c r="J56" s="111">
        <f t="shared" si="16"/>
        <v>2</v>
      </c>
      <c r="K56" s="111">
        <v>8</v>
      </c>
      <c r="L56" s="111">
        <v>5</v>
      </c>
      <c r="M56" s="111">
        <f t="shared" si="16"/>
        <v>2</v>
      </c>
      <c r="N56" s="47">
        <f>(8670+1165+135+125)*1.008</f>
        <v>10175.76</v>
      </c>
      <c r="O56" s="216">
        <f t="shared" si="16"/>
        <v>0</v>
      </c>
      <c r="P56" s="216">
        <v>37</v>
      </c>
      <c r="Q56" s="216">
        <v>48</v>
      </c>
      <c r="R56" s="216">
        <f t="shared" si="17"/>
        <v>0</v>
      </c>
      <c r="S56" s="216">
        <v>18</v>
      </c>
      <c r="T56" s="216">
        <v>8</v>
      </c>
      <c r="U56" s="216">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6">
        <f t="shared" si="23"/>
        <v>0</v>
      </c>
      <c r="AJ56" s="216">
        <f t="shared" si="19"/>
        <v>37</v>
      </c>
      <c r="AK56" s="216">
        <f t="shared" si="19"/>
        <v>48</v>
      </c>
      <c r="AL56" s="216">
        <f t="shared" si="19"/>
        <v>0</v>
      </c>
      <c r="AM56" s="216">
        <f t="shared" si="19"/>
        <v>18</v>
      </c>
      <c r="AN56" s="216">
        <f t="shared" si="19"/>
        <v>8</v>
      </c>
      <c r="AO56" s="216">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6">
        <f t="shared" si="16"/>
        <v>0</v>
      </c>
      <c r="P57" s="216">
        <f t="shared" si="17"/>
        <v>30</v>
      </c>
      <c r="Q57" s="216">
        <f t="shared" si="17"/>
        <v>13</v>
      </c>
      <c r="R57" s="216">
        <f t="shared" si="17"/>
        <v>42</v>
      </c>
      <c r="S57" s="216">
        <f t="shared" si="17"/>
        <v>8</v>
      </c>
      <c r="T57" s="216">
        <f t="shared" si="17"/>
        <v>18</v>
      </c>
      <c r="U57" s="216">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6">
        <f t="shared" si="23"/>
        <v>0</v>
      </c>
      <c r="AJ57" s="216">
        <f t="shared" si="19"/>
        <v>30</v>
      </c>
      <c r="AK57" s="216">
        <f t="shared" si="19"/>
        <v>13</v>
      </c>
      <c r="AL57" s="216">
        <f t="shared" si="19"/>
        <v>42</v>
      </c>
      <c r="AM57" s="216">
        <f t="shared" si="19"/>
        <v>8</v>
      </c>
      <c r="AN57" s="216">
        <f t="shared" si="19"/>
        <v>18</v>
      </c>
      <c r="AO57" s="216">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6">
        <f t="shared" si="16"/>
        <v>0</v>
      </c>
      <c r="P58" s="216">
        <f t="shared" si="17"/>
        <v>44</v>
      </c>
      <c r="Q58" s="216">
        <f t="shared" si="17"/>
        <v>3</v>
      </c>
      <c r="R58" s="216">
        <f t="shared" si="17"/>
        <v>33</v>
      </c>
      <c r="S58" s="216">
        <f t="shared" si="17"/>
        <v>8</v>
      </c>
      <c r="T58" s="216">
        <f t="shared" si="17"/>
        <v>16</v>
      </c>
      <c r="U58" s="216">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6">
        <f t="shared" si="23"/>
        <v>0</v>
      </c>
      <c r="AJ58" s="216">
        <f t="shared" si="19"/>
        <v>44</v>
      </c>
      <c r="AK58" s="216">
        <f t="shared" si="19"/>
        <v>3</v>
      </c>
      <c r="AL58" s="216">
        <f t="shared" si="19"/>
        <v>33</v>
      </c>
      <c r="AM58" s="216">
        <f t="shared" si="19"/>
        <v>8</v>
      </c>
      <c r="AN58" s="216">
        <f t="shared" si="19"/>
        <v>16</v>
      </c>
      <c r="AO58" s="216">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6">
        <f t="shared" si="16"/>
        <v>0</v>
      </c>
      <c r="P59" s="216">
        <f t="shared" si="17"/>
        <v>33</v>
      </c>
      <c r="Q59" s="216">
        <f t="shared" si="17"/>
        <v>9</v>
      </c>
      <c r="R59" s="216">
        <f t="shared" si="17"/>
        <v>35</v>
      </c>
      <c r="S59" s="216">
        <f t="shared" si="17"/>
        <v>4</v>
      </c>
      <c r="T59" s="216">
        <f t="shared" si="17"/>
        <v>18</v>
      </c>
      <c r="U59" s="216">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6">
        <f t="shared" si="23"/>
        <v>0</v>
      </c>
      <c r="AJ59" s="216">
        <f t="shared" si="19"/>
        <v>33</v>
      </c>
      <c r="AK59" s="216">
        <f t="shared" si="19"/>
        <v>9</v>
      </c>
      <c r="AL59" s="216">
        <f t="shared" si="19"/>
        <v>35</v>
      </c>
      <c r="AM59" s="216">
        <f t="shared" si="19"/>
        <v>4</v>
      </c>
      <c r="AN59" s="216">
        <f t="shared" si="19"/>
        <v>18</v>
      </c>
      <c r="AO59" s="216">
        <f>U59+AR52</f>
        <v>26</v>
      </c>
      <c r="AP59" s="66">
        <f>SUM(AI59:AO59)</f>
        <v>125</v>
      </c>
      <c r="AQ59" s="110"/>
    </row>
    <row r="60" spans="1:45" x14ac:dyDescent="0.25">
      <c r="A60" t="s">
        <v>42</v>
      </c>
      <c r="B60" s="15" t="str">
        <f t="shared" si="26"/>
        <v>DAV</v>
      </c>
      <c r="C60" s="18" t="s">
        <v>0</v>
      </c>
      <c r="D60" s="18" t="s">
        <v>330</v>
      </c>
      <c r="E60" s="18">
        <v>22</v>
      </c>
      <c r="F60" s="18">
        <v>64</v>
      </c>
      <c r="G60" s="111">
        <f t="shared" si="27"/>
        <v>0</v>
      </c>
      <c r="H60" s="111">
        <f t="shared" si="16"/>
        <v>2</v>
      </c>
      <c r="I60" s="111">
        <f t="shared" si="16"/>
        <v>2</v>
      </c>
      <c r="J60" s="111">
        <v>8</v>
      </c>
      <c r="K60" s="111">
        <v>8</v>
      </c>
      <c r="L60" s="111">
        <v>13</v>
      </c>
      <c r="M60" s="111">
        <v>10</v>
      </c>
      <c r="N60" s="47">
        <f>(12930+275+135)*1.023</f>
        <v>13646.819999999998</v>
      </c>
      <c r="O60" s="216">
        <f t="shared" si="16"/>
        <v>0</v>
      </c>
      <c r="P60" s="216">
        <f t="shared" si="17"/>
        <v>0</v>
      </c>
      <c r="Q60" s="216">
        <f t="shared" si="17"/>
        <v>0</v>
      </c>
      <c r="R60" s="216">
        <v>15</v>
      </c>
      <c r="S60" s="216">
        <v>18</v>
      </c>
      <c r="T60" s="216">
        <v>59</v>
      </c>
      <c r="U60" s="216">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6">
        <f t="shared" si="23"/>
        <v>0</v>
      </c>
      <c r="AJ60" s="216">
        <f t="shared" si="19"/>
        <v>0</v>
      </c>
      <c r="AK60" s="216">
        <f t="shared" si="19"/>
        <v>0</v>
      </c>
      <c r="AL60" s="216">
        <f t="shared" si="19"/>
        <v>15</v>
      </c>
      <c r="AM60" s="216">
        <f t="shared" si="19"/>
        <v>18</v>
      </c>
      <c r="AN60" s="216">
        <f t="shared" si="19"/>
        <v>59</v>
      </c>
      <c r="AO60" s="216">
        <f>U60+AR52</f>
        <v>33</v>
      </c>
      <c r="AP60" s="66">
        <f>SUM(AI60:AO60)</f>
        <v>125</v>
      </c>
      <c r="AQ60" s="110"/>
    </row>
    <row r="61" spans="1:45" x14ac:dyDescent="0.25">
      <c r="A61" t="s">
        <v>46</v>
      </c>
      <c r="B61" s="15" t="str">
        <f t="shared" si="26"/>
        <v>DAV</v>
      </c>
      <c r="C61" s="18" t="s">
        <v>45</v>
      </c>
      <c r="D61" s="18" t="s">
        <v>330</v>
      </c>
      <c r="E61" s="18">
        <v>22</v>
      </c>
      <c r="F61" s="18">
        <v>64</v>
      </c>
      <c r="G61" s="111">
        <f t="shared" si="27"/>
        <v>0</v>
      </c>
      <c r="H61" s="111">
        <f t="shared" si="16"/>
        <v>2</v>
      </c>
      <c r="I61" s="111">
        <f t="shared" si="16"/>
        <v>2</v>
      </c>
      <c r="J61" s="111">
        <v>8</v>
      </c>
      <c r="K61" s="111">
        <v>8</v>
      </c>
      <c r="L61" s="111">
        <v>13</v>
      </c>
      <c r="M61" s="111">
        <v>10</v>
      </c>
      <c r="N61" s="47">
        <f>(12930+275+135)*1.023</f>
        <v>13646.819999999998</v>
      </c>
      <c r="O61" s="216">
        <f t="shared" si="16"/>
        <v>0</v>
      </c>
      <c r="P61" s="216">
        <f t="shared" si="17"/>
        <v>0</v>
      </c>
      <c r="Q61" s="216">
        <f t="shared" si="17"/>
        <v>0</v>
      </c>
      <c r="R61" s="216">
        <v>15</v>
      </c>
      <c r="S61" s="216">
        <v>18</v>
      </c>
      <c r="T61" s="216">
        <v>59</v>
      </c>
      <c r="U61" s="216">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6">
        <f t="shared" si="23"/>
        <v>0</v>
      </c>
      <c r="AJ61" s="216">
        <f t="shared" si="19"/>
        <v>0</v>
      </c>
      <c r="AK61" s="216">
        <f t="shared" si="19"/>
        <v>0</v>
      </c>
      <c r="AL61" s="216">
        <f t="shared" si="19"/>
        <v>15</v>
      </c>
      <c r="AM61" s="216">
        <f t="shared" si="19"/>
        <v>18</v>
      </c>
      <c r="AN61" s="216">
        <f t="shared" si="19"/>
        <v>59</v>
      </c>
      <c r="AO61" s="216">
        <f>U61+AR52</f>
        <v>33</v>
      </c>
      <c r="AP61" s="66">
        <f>SUM(AI61:AO61)</f>
        <v>125</v>
      </c>
      <c r="AQ61" s="110"/>
    </row>
    <row r="62" spans="1:45" x14ac:dyDescent="0.25">
      <c r="A62" t="s">
        <v>327</v>
      </c>
      <c r="B62" s="15" t="str">
        <f t="shared" si="26"/>
        <v>DAV</v>
      </c>
      <c r="C62" s="18" t="s">
        <v>295</v>
      </c>
      <c r="D62" s="18" t="s">
        <v>330</v>
      </c>
      <c r="E62" s="18">
        <v>22</v>
      </c>
      <c r="F62" s="18">
        <v>64</v>
      </c>
      <c r="G62" s="111">
        <f t="shared" si="27"/>
        <v>0</v>
      </c>
      <c r="H62" s="111">
        <f t="shared" si="16"/>
        <v>2</v>
      </c>
      <c r="I62" s="111">
        <f t="shared" si="16"/>
        <v>2</v>
      </c>
      <c r="J62" s="111">
        <v>8</v>
      </c>
      <c r="K62" s="111">
        <v>8</v>
      </c>
      <c r="L62" s="111">
        <v>13</v>
      </c>
      <c r="M62" s="111">
        <v>10</v>
      </c>
      <c r="N62" s="47">
        <f>(12930+275+135)*1.023</f>
        <v>13646.819999999998</v>
      </c>
      <c r="O62" s="216">
        <f t="shared" si="16"/>
        <v>0</v>
      </c>
      <c r="P62" s="216">
        <f t="shared" si="17"/>
        <v>0</v>
      </c>
      <c r="Q62" s="216">
        <f t="shared" si="17"/>
        <v>0</v>
      </c>
      <c r="R62" s="216">
        <v>15</v>
      </c>
      <c r="S62" s="216">
        <v>18</v>
      </c>
      <c r="T62" s="216">
        <v>59</v>
      </c>
      <c r="U62" s="216">
        <v>8</v>
      </c>
      <c r="V62" s="66">
        <f>SUM(O62:U62)</f>
        <v>100</v>
      </c>
      <c r="X62" t="s">
        <v>327</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6">
        <f t="shared" si="23"/>
        <v>0</v>
      </c>
      <c r="AJ62" s="216">
        <f t="shared" si="19"/>
        <v>0</v>
      </c>
      <c r="AK62" s="216">
        <f t="shared" si="19"/>
        <v>0</v>
      </c>
      <c r="AL62" s="216">
        <f t="shared" si="19"/>
        <v>15</v>
      </c>
      <c r="AM62" s="216">
        <f t="shared" si="19"/>
        <v>18</v>
      </c>
      <c r="AN62" s="216">
        <f t="shared" si="19"/>
        <v>59</v>
      </c>
      <c r="AO62" s="216">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55205-CCAE-463B-9A8D-5D87C0376DE4}">
  <sheetPr>
    <tabColor theme="7" tint="-0.249977111117893"/>
  </sheetPr>
  <dimension ref="A1:AS106"/>
  <sheetViews>
    <sheetView topLeftCell="A7" workbookViewId="0">
      <selection activeCell="J20" sqref="J20"/>
    </sheetView>
  </sheetViews>
  <sheetFormatPr baseColWidth="10" defaultColWidth="11.42578125" defaultRowHeight="15" x14ac:dyDescent="0.25"/>
  <cols>
    <col min="1" max="1" width="5.140625" bestFit="1" customWidth="1"/>
    <col min="2" max="2" width="6.140625" bestFit="1" customWidth="1"/>
    <col min="3" max="3" width="12" bestFit="1" customWidth="1"/>
    <col min="4" max="4" width="13.5703125" bestFit="1" customWidth="1"/>
    <col min="5" max="5" width="4.5703125" bestFit="1" customWidth="1"/>
    <col min="6" max="6" width="5" bestFit="1" customWidth="1"/>
    <col min="7" max="9" width="4.5703125" bestFit="1" customWidth="1"/>
    <col min="10" max="10" width="5.5703125" bestFit="1" customWidth="1"/>
    <col min="11"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5" width="6.140625" customWidth="1"/>
  </cols>
  <sheetData>
    <row r="1" spans="1:45" x14ac:dyDescent="0.25">
      <c r="B1" t="s">
        <v>362</v>
      </c>
      <c r="AQ1" s="110"/>
    </row>
    <row r="2" spans="1:45" x14ac:dyDescent="0.25">
      <c r="B2" t="s">
        <v>363</v>
      </c>
      <c r="AQ2" s="110"/>
      <c r="AR2" s="52" t="s">
        <v>364</v>
      </c>
      <c r="AS2" s="52" t="s">
        <v>365</v>
      </c>
    </row>
    <row r="3" spans="1:45" x14ac:dyDescent="0.25">
      <c r="B3" t="s">
        <v>366</v>
      </c>
      <c r="AQ3" s="110"/>
      <c r="AR3">
        <f>AR18+AR33+AR52</f>
        <v>76</v>
      </c>
      <c r="AS3">
        <f>AR3/16</f>
        <v>4.75</v>
      </c>
    </row>
    <row r="4" spans="1:45" x14ac:dyDescent="0.25">
      <c r="B4" t="s">
        <v>367</v>
      </c>
      <c r="AQ4" s="110"/>
    </row>
    <row r="5" spans="1:45" x14ac:dyDescent="0.25">
      <c r="B5" t="s">
        <v>368</v>
      </c>
      <c r="AQ5" s="110"/>
    </row>
    <row r="6" spans="1:45" x14ac:dyDescent="0.25">
      <c r="B6" t="s">
        <v>369</v>
      </c>
      <c r="AQ6" s="110"/>
    </row>
    <row r="7" spans="1:45" x14ac:dyDescent="0.25">
      <c r="B7" t="s">
        <v>370</v>
      </c>
      <c r="AQ7" s="110"/>
    </row>
    <row r="8" spans="1:45" x14ac:dyDescent="0.25">
      <c r="AQ8" s="110"/>
    </row>
    <row r="9" spans="1:45" x14ac:dyDescent="0.25">
      <c r="N9" s="196">
        <f>SUM(N11:N25)</f>
        <v>6420</v>
      </c>
      <c r="AH9" s="196">
        <f>SUM(AH11:AH25)</f>
        <v>53038.62</v>
      </c>
      <c r="AQ9" s="110"/>
    </row>
    <row r="10" spans="1:45" x14ac:dyDescent="0.25">
      <c r="A10" s="10" t="s">
        <v>170</v>
      </c>
      <c r="B10" s="10" t="s">
        <v>2</v>
      </c>
      <c r="C10" s="10" t="s">
        <v>84</v>
      </c>
      <c r="D10" s="10" t="s">
        <v>171</v>
      </c>
      <c r="E10" s="10" t="s">
        <v>314</v>
      </c>
      <c r="F10" s="10" t="s">
        <v>315</v>
      </c>
      <c r="G10" s="10" t="s">
        <v>15</v>
      </c>
      <c r="H10" s="10" t="s">
        <v>16</v>
      </c>
      <c r="I10" s="10" t="s">
        <v>17</v>
      </c>
      <c r="J10" s="10" t="s">
        <v>18</v>
      </c>
      <c r="K10" s="10" t="s">
        <v>19</v>
      </c>
      <c r="L10" s="10" t="s">
        <v>20</v>
      </c>
      <c r="M10" s="10" t="s">
        <v>6</v>
      </c>
      <c r="N10" s="10" t="s">
        <v>68</v>
      </c>
      <c r="O10" s="10" t="s">
        <v>316</v>
      </c>
      <c r="P10" s="10" t="s">
        <v>317</v>
      </c>
      <c r="Q10" s="10" t="s">
        <v>318</v>
      </c>
      <c r="R10" s="10" t="s">
        <v>319</v>
      </c>
      <c r="S10" s="10" t="s">
        <v>320</v>
      </c>
      <c r="T10" s="10" t="s">
        <v>321</v>
      </c>
      <c r="U10" s="10" t="s">
        <v>322</v>
      </c>
      <c r="V10" s="10" t="s">
        <v>323</v>
      </c>
      <c r="X10" s="10" t="s">
        <v>170</v>
      </c>
      <c r="Y10" s="10" t="s">
        <v>314</v>
      </c>
      <c r="Z10" s="10" t="s">
        <v>315</v>
      </c>
      <c r="AA10" s="10" t="s">
        <v>15</v>
      </c>
      <c r="AB10" s="10" t="s">
        <v>16</v>
      </c>
      <c r="AC10" s="10" t="s">
        <v>17</v>
      </c>
      <c r="AD10" s="10" t="s">
        <v>18</v>
      </c>
      <c r="AE10" s="10" t="s">
        <v>19</v>
      </c>
      <c r="AF10" s="10" t="s">
        <v>20</v>
      </c>
      <c r="AG10" s="10" t="s">
        <v>6</v>
      </c>
      <c r="AH10" s="10" t="s">
        <v>68</v>
      </c>
      <c r="AI10" s="10" t="s">
        <v>316</v>
      </c>
      <c r="AJ10" s="10" t="s">
        <v>317</v>
      </c>
      <c r="AK10" s="10" t="s">
        <v>318</v>
      </c>
      <c r="AL10" s="10" t="s">
        <v>319</v>
      </c>
      <c r="AM10" s="10" t="s">
        <v>320</v>
      </c>
      <c r="AN10" s="10" t="s">
        <v>321</v>
      </c>
      <c r="AO10" s="10" t="s">
        <v>322</v>
      </c>
      <c r="AP10" s="10" t="s">
        <v>323</v>
      </c>
      <c r="AQ10" s="110"/>
    </row>
    <row r="11" spans="1:45" x14ac:dyDescent="0.25">
      <c r="A11" t="s">
        <v>29</v>
      </c>
      <c r="B11" s="15" t="s">
        <v>28</v>
      </c>
      <c r="C11" s="18"/>
      <c r="D11" s="18"/>
      <c r="E11" s="18"/>
      <c r="F11" s="18"/>
      <c r="G11" s="217">
        <v>2</v>
      </c>
      <c r="H11" s="131">
        <v>2</v>
      </c>
      <c r="I11" s="217">
        <v>0</v>
      </c>
      <c r="J11" s="131">
        <v>0</v>
      </c>
      <c r="K11" s="217">
        <v>0</v>
      </c>
      <c r="L11" s="131">
        <v>0</v>
      </c>
      <c r="M11" s="217">
        <v>2</v>
      </c>
      <c r="N11" s="47"/>
      <c r="O11" s="230">
        <v>0</v>
      </c>
      <c r="P11" s="230">
        <v>0</v>
      </c>
      <c r="Q11" s="230">
        <v>0</v>
      </c>
      <c r="R11" s="195">
        <v>0</v>
      </c>
      <c r="S11" s="195">
        <v>0</v>
      </c>
      <c r="T11" s="195">
        <v>0</v>
      </c>
      <c r="U11" s="195">
        <v>0</v>
      </c>
      <c r="V11" s="66">
        <f>SUM(O11:U11)</f>
        <v>0</v>
      </c>
      <c r="X11" t="s">
        <v>29</v>
      </c>
      <c r="Y11" s="18"/>
      <c r="Z11" s="18"/>
      <c r="AA11" s="111">
        <f>G11</f>
        <v>2</v>
      </c>
      <c r="AB11" s="111">
        <f t="shared" ref="AB11:AG11" si="0">H11</f>
        <v>2</v>
      </c>
      <c r="AC11" s="111">
        <f t="shared" si="0"/>
        <v>0</v>
      </c>
      <c r="AD11" s="111">
        <f t="shared" si="0"/>
        <v>0</v>
      </c>
      <c r="AE11" s="111">
        <f t="shared" si="0"/>
        <v>0</v>
      </c>
      <c r="AF11" s="111">
        <f t="shared" si="0"/>
        <v>0</v>
      </c>
      <c r="AG11" s="111">
        <f t="shared" si="0"/>
        <v>2</v>
      </c>
      <c r="AH11" s="47"/>
      <c r="AI11" s="230">
        <f>O11</f>
        <v>0</v>
      </c>
      <c r="AJ11" s="230">
        <f t="shared" ref="AJ11:AO11" si="1">P11</f>
        <v>0</v>
      </c>
      <c r="AK11" s="230">
        <f t="shared" si="1"/>
        <v>0</v>
      </c>
      <c r="AL11" s="230">
        <f t="shared" si="1"/>
        <v>0</v>
      </c>
      <c r="AM11" s="230">
        <f t="shared" si="1"/>
        <v>0</v>
      </c>
      <c r="AN11" s="230">
        <f t="shared" si="1"/>
        <v>0</v>
      </c>
      <c r="AO11" s="230">
        <f t="shared" si="1"/>
        <v>0</v>
      </c>
      <c r="AP11" s="66">
        <f>SUM(AI11:AO11)</f>
        <v>0</v>
      </c>
      <c r="AQ11" s="110"/>
    </row>
    <row r="12" spans="1:45" x14ac:dyDescent="0.25">
      <c r="A12" t="s">
        <v>32</v>
      </c>
      <c r="B12" s="15" t="s">
        <v>30</v>
      </c>
      <c r="C12" s="3" t="s">
        <v>70</v>
      </c>
      <c r="D12" s="3" t="s">
        <v>371</v>
      </c>
      <c r="E12" s="3">
        <v>19</v>
      </c>
      <c r="F12" s="3">
        <v>69</v>
      </c>
      <c r="G12" s="217">
        <v>0</v>
      </c>
      <c r="H12" s="131">
        <v>6</v>
      </c>
      <c r="I12" s="217">
        <v>5</v>
      </c>
      <c r="J12" s="131">
        <v>9</v>
      </c>
      <c r="K12" s="217">
        <v>6</v>
      </c>
      <c r="L12" s="131">
        <v>8</v>
      </c>
      <c r="M12" s="217">
        <v>0</v>
      </c>
      <c r="N12" s="47">
        <v>1210</v>
      </c>
      <c r="O12" s="230">
        <v>0</v>
      </c>
      <c r="P12" s="230">
        <v>14</v>
      </c>
      <c r="Q12" s="230">
        <v>9</v>
      </c>
      <c r="R12" s="195">
        <v>18</v>
      </c>
      <c r="S12" s="195">
        <v>10</v>
      </c>
      <c r="T12" s="195">
        <v>21</v>
      </c>
      <c r="U12" s="195">
        <v>0</v>
      </c>
      <c r="V12" s="66">
        <f t="shared" ref="V12:V21" si="2">SUM(O12:U12)</f>
        <v>72</v>
      </c>
      <c r="X12" t="s">
        <v>32</v>
      </c>
      <c r="Y12" s="3">
        <v>20</v>
      </c>
      <c r="Z12" s="3">
        <f>F12+(7*$AR$18)-112</f>
        <v>97</v>
      </c>
      <c r="AA12" s="111">
        <f t="shared" ref="AA12:AA26" si="3">G12</f>
        <v>0</v>
      </c>
      <c r="AB12" s="111">
        <f t="shared" ref="AB12:AB26" si="4">H12</f>
        <v>6</v>
      </c>
      <c r="AC12" s="111">
        <f t="shared" ref="AC12:AC26" si="5">I12</f>
        <v>5</v>
      </c>
      <c r="AD12" s="111">
        <f>11+6/10</f>
        <v>11.6</v>
      </c>
      <c r="AE12" s="111">
        <f t="shared" ref="AE12:AE26" si="6">K12</f>
        <v>6</v>
      </c>
      <c r="AF12" s="111">
        <f t="shared" ref="AF12:AF26" si="7">L12</f>
        <v>8</v>
      </c>
      <c r="AG12" s="111">
        <f t="shared" ref="AG12:AG26" si="8">M12</f>
        <v>0</v>
      </c>
      <c r="AH12" s="47">
        <f>(3600+405+145+165+135)*1</f>
        <v>4450</v>
      </c>
      <c r="AI12" s="230">
        <f t="shared" ref="AI12:AI26" si="9">O12</f>
        <v>0</v>
      </c>
      <c r="AJ12" s="230">
        <f t="shared" ref="AJ12:AJ26" si="10">P12</f>
        <v>14</v>
      </c>
      <c r="AK12" s="230">
        <f t="shared" ref="AK12:AK26" si="11">Q12</f>
        <v>9</v>
      </c>
      <c r="AL12" s="230">
        <v>31</v>
      </c>
      <c r="AM12" s="230">
        <f t="shared" ref="AM12:AM26" si="12">S12</f>
        <v>10</v>
      </c>
      <c r="AN12" s="230">
        <f t="shared" ref="AN12:AN26" si="13">T12</f>
        <v>21</v>
      </c>
      <c r="AO12" s="230">
        <f t="shared" ref="AO12:AO26" si="14">U12</f>
        <v>0</v>
      </c>
      <c r="AP12" s="66">
        <f>SUM(AI12:AO12)</f>
        <v>85</v>
      </c>
      <c r="AQ12" s="110"/>
    </row>
    <row r="13" spans="1:45" x14ac:dyDescent="0.25">
      <c r="A13" t="s">
        <v>33</v>
      </c>
      <c r="B13" s="15" t="s">
        <v>30</v>
      </c>
      <c r="C13" s="3"/>
      <c r="D13" s="3"/>
      <c r="E13" s="3"/>
      <c r="F13" s="3"/>
      <c r="G13" s="217">
        <v>0</v>
      </c>
      <c r="H13" s="131">
        <v>2</v>
      </c>
      <c r="I13" s="217">
        <v>2</v>
      </c>
      <c r="J13" s="131">
        <v>2</v>
      </c>
      <c r="K13" s="217">
        <v>2</v>
      </c>
      <c r="L13" s="131">
        <v>2</v>
      </c>
      <c r="M13" s="217">
        <v>2</v>
      </c>
      <c r="N13" s="47"/>
      <c r="O13" s="230">
        <v>0</v>
      </c>
      <c r="P13" s="230">
        <v>0</v>
      </c>
      <c r="Q13" s="230">
        <v>0</v>
      </c>
      <c r="R13" s="195">
        <v>0</v>
      </c>
      <c r="S13" s="195">
        <v>0</v>
      </c>
      <c r="T13" s="195">
        <v>0</v>
      </c>
      <c r="U13" s="195">
        <v>0</v>
      </c>
      <c r="V13" s="66">
        <f>SUM(O13:U13)</f>
        <v>0</v>
      </c>
      <c r="X13" t="s">
        <v>33</v>
      </c>
      <c r="Y13" s="3"/>
      <c r="Z13" s="3"/>
      <c r="AA13" s="111">
        <f t="shared" si="3"/>
        <v>0</v>
      </c>
      <c r="AB13" s="111">
        <f t="shared" si="4"/>
        <v>2</v>
      </c>
      <c r="AC13" s="111">
        <f t="shared" si="5"/>
        <v>2</v>
      </c>
      <c r="AD13" s="111">
        <f t="shared" ref="AD13:AD26" si="15">J13</f>
        <v>2</v>
      </c>
      <c r="AE13" s="111">
        <f t="shared" si="6"/>
        <v>2</v>
      </c>
      <c r="AF13" s="111">
        <f t="shared" si="7"/>
        <v>2</v>
      </c>
      <c r="AG13" s="111">
        <f t="shared" si="8"/>
        <v>2</v>
      </c>
      <c r="AH13" s="47"/>
      <c r="AI13" s="230">
        <f t="shared" si="9"/>
        <v>0</v>
      </c>
      <c r="AJ13" s="230">
        <f t="shared" si="10"/>
        <v>0</v>
      </c>
      <c r="AK13" s="230">
        <f t="shared" si="11"/>
        <v>0</v>
      </c>
      <c r="AL13" s="230">
        <f t="shared" ref="AL13:AL26" si="16">R13</f>
        <v>0</v>
      </c>
      <c r="AM13" s="230">
        <f t="shared" si="12"/>
        <v>0</v>
      </c>
      <c r="AN13" s="230">
        <f t="shared" si="13"/>
        <v>0</v>
      </c>
      <c r="AO13" s="230">
        <f t="shared" si="14"/>
        <v>0</v>
      </c>
      <c r="AP13" s="66">
        <f>SUM(AI13:AO13)</f>
        <v>0</v>
      </c>
      <c r="AQ13" s="110"/>
    </row>
    <row r="14" spans="1:45" x14ac:dyDescent="0.25">
      <c r="A14" t="s">
        <v>39</v>
      </c>
      <c r="B14" s="15" t="s">
        <v>30</v>
      </c>
      <c r="C14" s="3"/>
      <c r="D14" s="3"/>
      <c r="E14" s="3"/>
      <c r="F14" s="3"/>
      <c r="G14" s="217">
        <v>0</v>
      </c>
      <c r="H14" s="131">
        <v>2</v>
      </c>
      <c r="I14" s="217">
        <v>2</v>
      </c>
      <c r="J14" s="131">
        <v>2</v>
      </c>
      <c r="K14" s="217">
        <v>2</v>
      </c>
      <c r="L14" s="131">
        <v>2</v>
      </c>
      <c r="M14" s="217">
        <v>2</v>
      </c>
      <c r="N14" s="47"/>
      <c r="O14" s="230">
        <v>0</v>
      </c>
      <c r="P14" s="230">
        <v>0</v>
      </c>
      <c r="Q14" s="230">
        <v>0</v>
      </c>
      <c r="R14" s="195">
        <v>0</v>
      </c>
      <c r="S14" s="195">
        <v>0</v>
      </c>
      <c r="T14" s="195">
        <v>0</v>
      </c>
      <c r="U14" s="195">
        <v>0</v>
      </c>
      <c r="V14" s="66">
        <f>SUM(O14:U14)</f>
        <v>0</v>
      </c>
      <c r="X14" t="s">
        <v>39</v>
      </c>
      <c r="Y14" s="3"/>
      <c r="Z14" s="3"/>
      <c r="AA14" s="111">
        <f t="shared" si="3"/>
        <v>0</v>
      </c>
      <c r="AB14" s="111">
        <f t="shared" si="4"/>
        <v>2</v>
      </c>
      <c r="AC14" s="111">
        <f t="shared" si="5"/>
        <v>2</v>
      </c>
      <c r="AD14" s="111">
        <f t="shared" si="15"/>
        <v>2</v>
      </c>
      <c r="AE14" s="111">
        <f t="shared" si="6"/>
        <v>2</v>
      </c>
      <c r="AF14" s="111">
        <f t="shared" si="7"/>
        <v>2</v>
      </c>
      <c r="AG14" s="111">
        <f t="shared" si="8"/>
        <v>2</v>
      </c>
      <c r="AH14" s="47"/>
      <c r="AI14" s="230">
        <f t="shared" si="9"/>
        <v>0</v>
      </c>
      <c r="AJ14" s="230">
        <f t="shared" si="10"/>
        <v>0</v>
      </c>
      <c r="AK14" s="230">
        <f t="shared" si="11"/>
        <v>0</v>
      </c>
      <c r="AL14" s="230">
        <f t="shared" si="16"/>
        <v>0</v>
      </c>
      <c r="AM14" s="230">
        <f t="shared" si="12"/>
        <v>0</v>
      </c>
      <c r="AN14" s="230">
        <f t="shared" si="13"/>
        <v>0</v>
      </c>
      <c r="AO14" s="230">
        <f t="shared" si="14"/>
        <v>0</v>
      </c>
      <c r="AP14" s="66">
        <f>SUM(AI14:AO14)</f>
        <v>0</v>
      </c>
      <c r="AQ14" s="110"/>
    </row>
    <row r="15" spans="1:45" x14ac:dyDescent="0.25">
      <c r="A15" t="s">
        <v>41</v>
      </c>
      <c r="B15" s="15" t="s">
        <v>30</v>
      </c>
      <c r="C15" s="3"/>
      <c r="D15" s="3"/>
      <c r="E15" s="3"/>
      <c r="F15" s="3"/>
      <c r="G15" s="217">
        <v>0</v>
      </c>
      <c r="H15" s="131">
        <v>2</v>
      </c>
      <c r="I15" s="217">
        <v>2</v>
      </c>
      <c r="J15" s="131">
        <v>2</v>
      </c>
      <c r="K15" s="217">
        <v>2</v>
      </c>
      <c r="L15" s="131">
        <v>2</v>
      </c>
      <c r="M15" s="217">
        <v>2</v>
      </c>
      <c r="N15" s="47"/>
      <c r="O15" s="230">
        <v>0</v>
      </c>
      <c r="P15" s="230">
        <v>0</v>
      </c>
      <c r="Q15" s="230">
        <v>0</v>
      </c>
      <c r="R15" s="195">
        <v>0</v>
      </c>
      <c r="S15" s="195">
        <v>0</v>
      </c>
      <c r="T15" s="195">
        <v>0</v>
      </c>
      <c r="U15" s="195">
        <v>0</v>
      </c>
      <c r="V15" s="66">
        <f t="shared" si="2"/>
        <v>0</v>
      </c>
      <c r="X15" t="s">
        <v>41</v>
      </c>
      <c r="Y15" s="3"/>
      <c r="Z15" s="3"/>
      <c r="AA15" s="111">
        <f t="shared" si="3"/>
        <v>0</v>
      </c>
      <c r="AB15" s="111">
        <f t="shared" si="4"/>
        <v>2</v>
      </c>
      <c r="AC15" s="111">
        <f t="shared" si="5"/>
        <v>2</v>
      </c>
      <c r="AD15" s="111">
        <f t="shared" si="15"/>
        <v>2</v>
      </c>
      <c r="AE15" s="111">
        <f t="shared" si="6"/>
        <v>2</v>
      </c>
      <c r="AF15" s="111">
        <f t="shared" si="7"/>
        <v>2</v>
      </c>
      <c r="AG15" s="111">
        <f t="shared" si="8"/>
        <v>2</v>
      </c>
      <c r="AH15" s="47"/>
      <c r="AI15" s="230">
        <f t="shared" si="9"/>
        <v>0</v>
      </c>
      <c r="AJ15" s="230">
        <f t="shared" si="10"/>
        <v>0</v>
      </c>
      <c r="AK15" s="230">
        <f t="shared" si="11"/>
        <v>0</v>
      </c>
      <c r="AL15" s="230">
        <f t="shared" si="16"/>
        <v>0</v>
      </c>
      <c r="AM15" s="230">
        <f t="shared" si="12"/>
        <v>0</v>
      </c>
      <c r="AN15" s="230">
        <f t="shared" si="13"/>
        <v>0</v>
      </c>
      <c r="AO15" s="230">
        <f t="shared" si="14"/>
        <v>0</v>
      </c>
      <c r="AP15" s="66">
        <f t="shared" ref="AP15:AP21" si="17">SUM(AI15:AO15)</f>
        <v>0</v>
      </c>
      <c r="AQ15" s="110"/>
      <c r="AR15" s="52" t="s">
        <v>364</v>
      </c>
      <c r="AS15" s="52" t="s">
        <v>365</v>
      </c>
    </row>
    <row r="16" spans="1:45" x14ac:dyDescent="0.25">
      <c r="A16" t="s">
        <v>38</v>
      </c>
      <c r="B16" s="15" t="s">
        <v>30</v>
      </c>
      <c r="C16" s="3"/>
      <c r="D16" s="3"/>
      <c r="E16" s="3"/>
      <c r="F16" s="3"/>
      <c r="G16" s="217">
        <v>0</v>
      </c>
      <c r="H16" s="131">
        <v>2</v>
      </c>
      <c r="I16" s="217">
        <v>2</v>
      </c>
      <c r="J16" s="131">
        <v>2</v>
      </c>
      <c r="K16" s="217">
        <v>2</v>
      </c>
      <c r="L16" s="131">
        <v>2</v>
      </c>
      <c r="M16" s="217">
        <v>2</v>
      </c>
      <c r="N16" s="47"/>
      <c r="O16" s="230">
        <v>0</v>
      </c>
      <c r="P16" s="230">
        <v>0</v>
      </c>
      <c r="Q16" s="230">
        <v>0</v>
      </c>
      <c r="R16" s="195">
        <v>0</v>
      </c>
      <c r="S16" s="195">
        <v>0</v>
      </c>
      <c r="T16" s="195">
        <v>0</v>
      </c>
      <c r="U16" s="195">
        <v>0</v>
      </c>
      <c r="V16" s="66">
        <f t="shared" si="2"/>
        <v>0</v>
      </c>
      <c r="X16" t="s">
        <v>38</v>
      </c>
      <c r="Y16" s="3"/>
      <c r="Z16" s="3"/>
      <c r="AA16" s="111">
        <f t="shared" si="3"/>
        <v>0</v>
      </c>
      <c r="AB16" s="111">
        <f t="shared" si="4"/>
        <v>2</v>
      </c>
      <c r="AC16" s="111">
        <f t="shared" si="5"/>
        <v>2</v>
      </c>
      <c r="AD16" s="111">
        <f t="shared" si="15"/>
        <v>2</v>
      </c>
      <c r="AE16" s="111">
        <f t="shared" si="6"/>
        <v>2</v>
      </c>
      <c r="AF16" s="111">
        <f t="shared" si="7"/>
        <v>2</v>
      </c>
      <c r="AG16" s="111">
        <f t="shared" si="8"/>
        <v>2</v>
      </c>
      <c r="AH16" s="47"/>
      <c r="AI16" s="230">
        <f t="shared" si="9"/>
        <v>0</v>
      </c>
      <c r="AJ16" s="230">
        <f t="shared" si="10"/>
        <v>0</v>
      </c>
      <c r="AK16" s="230">
        <f t="shared" si="11"/>
        <v>0</v>
      </c>
      <c r="AL16" s="230">
        <f t="shared" si="16"/>
        <v>0</v>
      </c>
      <c r="AM16" s="230">
        <f t="shared" si="12"/>
        <v>0</v>
      </c>
      <c r="AN16" s="230">
        <f t="shared" si="13"/>
        <v>0</v>
      </c>
      <c r="AO16" s="230">
        <f t="shared" si="14"/>
        <v>0</v>
      </c>
      <c r="AP16" s="66">
        <f t="shared" si="17"/>
        <v>0</v>
      </c>
      <c r="AQ16" s="218" t="s">
        <v>90</v>
      </c>
      <c r="AR16">
        <v>0</v>
      </c>
      <c r="AS16" s="37">
        <v>0</v>
      </c>
    </row>
    <row r="17" spans="1:45" x14ac:dyDescent="0.25">
      <c r="A17" t="s">
        <v>35</v>
      </c>
      <c r="B17" s="15" t="s">
        <v>30</v>
      </c>
      <c r="C17" s="3" t="s">
        <v>295</v>
      </c>
      <c r="D17" s="3" t="s">
        <v>482</v>
      </c>
      <c r="E17" s="3">
        <v>19</v>
      </c>
      <c r="F17" s="3">
        <v>59</v>
      </c>
      <c r="G17" s="217">
        <v>0</v>
      </c>
      <c r="H17" s="131">
        <v>8</v>
      </c>
      <c r="I17" s="217">
        <v>4</v>
      </c>
      <c r="J17" s="131">
        <v>8</v>
      </c>
      <c r="K17" s="217">
        <v>4</v>
      </c>
      <c r="L17" s="131">
        <v>7</v>
      </c>
      <c r="M17" s="217">
        <v>3</v>
      </c>
      <c r="N17" s="47">
        <v>950</v>
      </c>
      <c r="O17" s="230">
        <v>0</v>
      </c>
      <c r="P17" s="230">
        <v>24</v>
      </c>
      <c r="Q17" s="230">
        <v>6</v>
      </c>
      <c r="R17" s="195">
        <v>11</v>
      </c>
      <c r="S17" s="195">
        <v>4</v>
      </c>
      <c r="T17" s="195">
        <v>16</v>
      </c>
      <c r="U17" s="195">
        <v>1</v>
      </c>
      <c r="V17" s="66">
        <f t="shared" si="2"/>
        <v>62</v>
      </c>
      <c r="X17" t="s">
        <v>35</v>
      </c>
      <c r="Y17" s="3">
        <v>20</v>
      </c>
      <c r="Z17" s="3">
        <f>F17+(7*$AR$18)-112</f>
        <v>87</v>
      </c>
      <c r="AA17" s="111">
        <f t="shared" si="3"/>
        <v>0</v>
      </c>
      <c r="AB17" s="111">
        <f t="shared" si="4"/>
        <v>8</v>
      </c>
      <c r="AC17" s="111">
        <f t="shared" si="5"/>
        <v>4</v>
      </c>
      <c r="AD17" s="111">
        <v>13</v>
      </c>
      <c r="AE17" s="111">
        <f t="shared" si="6"/>
        <v>4</v>
      </c>
      <c r="AF17" s="111">
        <f t="shared" si="7"/>
        <v>7</v>
      </c>
      <c r="AG17" s="111">
        <f t="shared" si="8"/>
        <v>3</v>
      </c>
      <c r="AH17" s="47">
        <f>(7470+375+125+125+245)*1.012</f>
        <v>8440.08</v>
      </c>
      <c r="AI17" s="230">
        <f t="shared" si="9"/>
        <v>0</v>
      </c>
      <c r="AJ17" s="230">
        <f t="shared" si="10"/>
        <v>24</v>
      </c>
      <c r="AK17" s="230">
        <f t="shared" si="11"/>
        <v>6</v>
      </c>
      <c r="AL17" s="230">
        <v>40</v>
      </c>
      <c r="AM17" s="230">
        <f t="shared" si="12"/>
        <v>4</v>
      </c>
      <c r="AN17" s="230">
        <f t="shared" si="13"/>
        <v>16</v>
      </c>
      <c r="AO17" s="230">
        <f t="shared" si="14"/>
        <v>1</v>
      </c>
      <c r="AP17" s="66">
        <f t="shared" si="17"/>
        <v>91</v>
      </c>
      <c r="AQ17" s="218" t="s">
        <v>193</v>
      </c>
      <c r="AR17">
        <v>20</v>
      </c>
      <c r="AS17" s="37">
        <f>AR17/16</f>
        <v>1.25</v>
      </c>
    </row>
    <row r="18" spans="1:45" x14ac:dyDescent="0.25">
      <c r="A18" t="s">
        <v>31</v>
      </c>
      <c r="B18" s="15" t="s">
        <v>30</v>
      </c>
      <c r="C18" s="3" t="s">
        <v>295</v>
      </c>
      <c r="D18" s="3" t="s">
        <v>325</v>
      </c>
      <c r="E18" s="3">
        <v>19</v>
      </c>
      <c r="F18" s="3">
        <v>59</v>
      </c>
      <c r="G18" s="217">
        <v>0</v>
      </c>
      <c r="H18" s="131">
        <v>6</v>
      </c>
      <c r="I18" s="217">
        <v>3</v>
      </c>
      <c r="J18" s="131">
        <v>9.8000000000000007</v>
      </c>
      <c r="K18" s="217">
        <v>6</v>
      </c>
      <c r="L18" s="131">
        <v>7</v>
      </c>
      <c r="M18" s="217">
        <v>3</v>
      </c>
      <c r="N18" s="47">
        <v>750</v>
      </c>
      <c r="O18" s="230">
        <v>0</v>
      </c>
      <c r="P18" s="230">
        <v>14</v>
      </c>
      <c r="Q18" s="230">
        <v>3</v>
      </c>
      <c r="R18" s="195">
        <v>18</v>
      </c>
      <c r="S18" s="195">
        <v>10</v>
      </c>
      <c r="T18" s="195">
        <v>16</v>
      </c>
      <c r="U18" s="195">
        <v>1</v>
      </c>
      <c r="V18" s="66">
        <f t="shared" si="2"/>
        <v>62</v>
      </c>
      <c r="X18" t="s">
        <v>31</v>
      </c>
      <c r="Y18" s="3">
        <v>20</v>
      </c>
      <c r="Z18" s="3">
        <f>F18+(7*$AR$18)-112</f>
        <v>87</v>
      </c>
      <c r="AA18" s="111">
        <f t="shared" si="3"/>
        <v>0</v>
      </c>
      <c r="AB18" s="111">
        <f t="shared" si="4"/>
        <v>6</v>
      </c>
      <c r="AC18" s="111">
        <f t="shared" si="5"/>
        <v>3</v>
      </c>
      <c r="AD18" s="111">
        <v>12</v>
      </c>
      <c r="AE18" s="111">
        <f t="shared" si="6"/>
        <v>6</v>
      </c>
      <c r="AF18" s="111">
        <f t="shared" si="7"/>
        <v>7</v>
      </c>
      <c r="AG18" s="111">
        <f t="shared" si="8"/>
        <v>3</v>
      </c>
      <c r="AH18" s="47">
        <f>(4470+165+145+245)*1.012</f>
        <v>5085.3</v>
      </c>
      <c r="AI18" s="230">
        <f t="shared" si="9"/>
        <v>0</v>
      </c>
      <c r="AJ18" s="230">
        <f t="shared" si="10"/>
        <v>14</v>
      </c>
      <c r="AK18" s="230">
        <f t="shared" si="11"/>
        <v>3</v>
      </c>
      <c r="AL18" s="230">
        <v>33</v>
      </c>
      <c r="AM18" s="230">
        <f t="shared" si="12"/>
        <v>10</v>
      </c>
      <c r="AN18" s="230">
        <f t="shared" si="13"/>
        <v>16</v>
      </c>
      <c r="AO18" s="230">
        <f t="shared" si="14"/>
        <v>1</v>
      </c>
      <c r="AP18" s="66">
        <f t="shared" si="17"/>
        <v>77</v>
      </c>
      <c r="AQ18" s="110"/>
      <c r="AR18" s="157">
        <f>AR17+AR16</f>
        <v>20</v>
      </c>
      <c r="AS18" s="157">
        <f>AS17+AS16</f>
        <v>1.25</v>
      </c>
    </row>
    <row r="19" spans="1:45" x14ac:dyDescent="0.25">
      <c r="A19" t="s">
        <v>43</v>
      </c>
      <c r="B19" s="15" t="s">
        <v>372</v>
      </c>
      <c r="C19" s="3"/>
      <c r="D19" s="3"/>
      <c r="E19" s="3"/>
      <c r="F19" s="3"/>
      <c r="G19" s="217">
        <v>0</v>
      </c>
      <c r="H19" s="131">
        <v>2</v>
      </c>
      <c r="I19" s="217">
        <v>2</v>
      </c>
      <c r="J19" s="131">
        <v>2</v>
      </c>
      <c r="K19" s="217">
        <v>2</v>
      </c>
      <c r="L19" s="131">
        <v>2</v>
      </c>
      <c r="M19" s="217">
        <v>2</v>
      </c>
      <c r="N19" s="47"/>
      <c r="O19" s="230">
        <v>0</v>
      </c>
      <c r="P19" s="230">
        <v>0</v>
      </c>
      <c r="Q19" s="230">
        <v>0</v>
      </c>
      <c r="R19" s="195">
        <v>0</v>
      </c>
      <c r="S19" s="195">
        <v>0</v>
      </c>
      <c r="T19" s="195">
        <v>0</v>
      </c>
      <c r="U19" s="195">
        <v>0</v>
      </c>
      <c r="V19" s="66">
        <f t="shared" si="2"/>
        <v>0</v>
      </c>
      <c r="X19" t="s">
        <v>43</v>
      </c>
      <c r="Y19" s="3"/>
      <c r="Z19" s="3"/>
      <c r="AA19" s="111">
        <f t="shared" si="3"/>
        <v>0</v>
      </c>
      <c r="AB19" s="111">
        <f t="shared" si="4"/>
        <v>2</v>
      </c>
      <c r="AC19" s="111">
        <f t="shared" si="5"/>
        <v>2</v>
      </c>
      <c r="AD19" s="111">
        <f t="shared" si="15"/>
        <v>2</v>
      </c>
      <c r="AE19" s="111">
        <f t="shared" si="6"/>
        <v>2</v>
      </c>
      <c r="AF19" s="111">
        <f t="shared" si="7"/>
        <v>2</v>
      </c>
      <c r="AG19" s="111">
        <f t="shared" si="8"/>
        <v>2</v>
      </c>
      <c r="AH19" s="47"/>
      <c r="AI19" s="230">
        <f t="shared" si="9"/>
        <v>0</v>
      </c>
      <c r="AJ19" s="230">
        <f t="shared" si="10"/>
        <v>0</v>
      </c>
      <c r="AK19" s="230">
        <f t="shared" si="11"/>
        <v>0</v>
      </c>
      <c r="AL19" s="230">
        <f t="shared" si="16"/>
        <v>0</v>
      </c>
      <c r="AM19" s="230">
        <f t="shared" si="12"/>
        <v>0</v>
      </c>
      <c r="AN19" s="230">
        <f t="shared" si="13"/>
        <v>0</v>
      </c>
      <c r="AO19" s="230">
        <f t="shared" si="14"/>
        <v>0</v>
      </c>
      <c r="AP19" s="66">
        <f t="shared" si="17"/>
        <v>0</v>
      </c>
      <c r="AQ19" s="110"/>
    </row>
    <row r="20" spans="1:45" x14ac:dyDescent="0.25">
      <c r="A20" t="s">
        <v>37</v>
      </c>
      <c r="B20" s="15" t="s">
        <v>372</v>
      </c>
      <c r="C20" s="3"/>
      <c r="D20" s="3"/>
      <c r="E20" s="3"/>
      <c r="F20" s="3"/>
      <c r="G20" s="217">
        <v>0</v>
      </c>
      <c r="H20" s="131">
        <v>2</v>
      </c>
      <c r="I20" s="217">
        <v>2</v>
      </c>
      <c r="J20" s="131">
        <v>2</v>
      </c>
      <c r="K20" s="217">
        <v>2</v>
      </c>
      <c r="L20" s="131">
        <v>2</v>
      </c>
      <c r="M20" s="217">
        <v>2</v>
      </c>
      <c r="N20" s="47"/>
      <c r="O20" s="230">
        <v>0</v>
      </c>
      <c r="P20" s="230">
        <v>0</v>
      </c>
      <c r="Q20" s="230">
        <v>0</v>
      </c>
      <c r="R20" s="195">
        <v>0</v>
      </c>
      <c r="S20" s="195">
        <v>0</v>
      </c>
      <c r="T20" s="195">
        <v>0</v>
      </c>
      <c r="U20" s="195">
        <v>0</v>
      </c>
      <c r="V20" s="66">
        <f t="shared" si="2"/>
        <v>0</v>
      </c>
      <c r="X20" t="s">
        <v>37</v>
      </c>
      <c r="Y20" s="3"/>
      <c r="Z20" s="3"/>
      <c r="AA20" s="111">
        <f t="shared" si="3"/>
        <v>0</v>
      </c>
      <c r="AB20" s="111">
        <f t="shared" si="4"/>
        <v>2</v>
      </c>
      <c r="AC20" s="111">
        <f t="shared" si="5"/>
        <v>2</v>
      </c>
      <c r="AD20" s="111">
        <f t="shared" si="15"/>
        <v>2</v>
      </c>
      <c r="AE20" s="111">
        <f t="shared" si="6"/>
        <v>2</v>
      </c>
      <c r="AF20" s="111">
        <f t="shared" si="7"/>
        <v>2</v>
      </c>
      <c r="AG20" s="111">
        <f t="shared" si="8"/>
        <v>2</v>
      </c>
      <c r="AH20" s="47"/>
      <c r="AI20" s="230">
        <f t="shared" si="9"/>
        <v>0</v>
      </c>
      <c r="AJ20" s="230">
        <f t="shared" si="10"/>
        <v>0</v>
      </c>
      <c r="AK20" s="230">
        <f t="shared" si="11"/>
        <v>0</v>
      </c>
      <c r="AL20" s="230">
        <f t="shared" si="16"/>
        <v>0</v>
      </c>
      <c r="AM20" s="230">
        <f t="shared" si="12"/>
        <v>0</v>
      </c>
      <c r="AN20" s="230">
        <f t="shared" si="13"/>
        <v>0</v>
      </c>
      <c r="AO20" s="230">
        <f t="shared" si="14"/>
        <v>0</v>
      </c>
      <c r="AP20" s="66">
        <f t="shared" si="17"/>
        <v>0</v>
      </c>
      <c r="AQ20" s="110"/>
    </row>
    <row r="21" spans="1:45" x14ac:dyDescent="0.25">
      <c r="A21" t="s">
        <v>36</v>
      </c>
      <c r="B21" s="15" t="s">
        <v>71</v>
      </c>
      <c r="C21" s="3" t="s">
        <v>45</v>
      </c>
      <c r="D21" s="3" t="s">
        <v>324</v>
      </c>
      <c r="E21" s="3">
        <v>19</v>
      </c>
      <c r="F21" s="3">
        <v>55</v>
      </c>
      <c r="G21" s="217">
        <v>0</v>
      </c>
      <c r="H21" s="131">
        <v>2</v>
      </c>
      <c r="I21" s="217">
        <v>5.7</v>
      </c>
      <c r="J21" s="131">
        <v>11</v>
      </c>
      <c r="K21" s="217">
        <v>6</v>
      </c>
      <c r="L21" s="131">
        <v>7</v>
      </c>
      <c r="M21" s="217">
        <v>5</v>
      </c>
      <c r="N21" s="47">
        <v>1350</v>
      </c>
      <c r="O21" s="230">
        <v>0</v>
      </c>
      <c r="P21" s="230">
        <v>0</v>
      </c>
      <c r="Q21" s="230">
        <v>13</v>
      </c>
      <c r="R21" s="195">
        <v>28</v>
      </c>
      <c r="S21" s="195">
        <v>10</v>
      </c>
      <c r="T21" s="195">
        <v>16</v>
      </c>
      <c r="U21" s="195">
        <v>3</v>
      </c>
      <c r="V21" s="66">
        <f t="shared" si="2"/>
        <v>70</v>
      </c>
      <c r="X21" t="s">
        <v>36</v>
      </c>
      <c r="Y21" s="3">
        <v>20</v>
      </c>
      <c r="Z21" s="3">
        <f>F21+(7*$AR$18)-112</f>
        <v>83</v>
      </c>
      <c r="AA21" s="111">
        <f t="shared" si="3"/>
        <v>0</v>
      </c>
      <c r="AB21" s="111">
        <f t="shared" si="4"/>
        <v>2</v>
      </c>
      <c r="AC21" s="111">
        <f t="shared" si="5"/>
        <v>5.7</v>
      </c>
      <c r="AD21" s="111">
        <f>14+3/7</f>
        <v>14.428571428571429</v>
      </c>
      <c r="AE21" s="111">
        <f t="shared" si="6"/>
        <v>6</v>
      </c>
      <c r="AF21" s="111">
        <f t="shared" si="7"/>
        <v>7</v>
      </c>
      <c r="AG21" s="111">
        <f t="shared" si="8"/>
        <v>5</v>
      </c>
      <c r="AH21" s="47">
        <f>(14000+150+145+245)*1.016</f>
        <v>14772.64</v>
      </c>
      <c r="AI21" s="230">
        <f t="shared" si="9"/>
        <v>0</v>
      </c>
      <c r="AJ21" s="230">
        <f t="shared" si="10"/>
        <v>0</v>
      </c>
      <c r="AK21" s="230">
        <f t="shared" si="11"/>
        <v>13</v>
      </c>
      <c r="AL21" s="230">
        <f>47+3</f>
        <v>50</v>
      </c>
      <c r="AM21" s="230">
        <f t="shared" si="12"/>
        <v>10</v>
      </c>
      <c r="AN21" s="230">
        <f t="shared" si="13"/>
        <v>16</v>
      </c>
      <c r="AO21" s="230">
        <f t="shared" si="14"/>
        <v>3</v>
      </c>
      <c r="AP21" s="66">
        <f t="shared" si="17"/>
        <v>92</v>
      </c>
      <c r="AQ21" s="110"/>
    </row>
    <row r="22" spans="1:45" x14ac:dyDescent="0.25">
      <c r="A22" t="s">
        <v>40</v>
      </c>
      <c r="B22" s="15" t="s">
        <v>71</v>
      </c>
      <c r="C22" s="3" t="s">
        <v>45</v>
      </c>
      <c r="D22" s="3" t="s">
        <v>481</v>
      </c>
      <c r="E22" s="3">
        <v>19</v>
      </c>
      <c r="F22" s="3">
        <v>20</v>
      </c>
      <c r="G22" s="217">
        <v>0</v>
      </c>
      <c r="H22" s="131">
        <v>6</v>
      </c>
      <c r="I22" s="217">
        <v>3</v>
      </c>
      <c r="J22" s="131">
        <v>9</v>
      </c>
      <c r="K22" s="217">
        <v>7</v>
      </c>
      <c r="L22" s="131">
        <v>7</v>
      </c>
      <c r="M22" s="217">
        <v>3</v>
      </c>
      <c r="N22" s="47">
        <v>1110</v>
      </c>
      <c r="O22" s="230">
        <v>0</v>
      </c>
      <c r="P22" s="230">
        <v>14</v>
      </c>
      <c r="Q22" s="230">
        <v>3</v>
      </c>
      <c r="R22" s="195">
        <v>18</v>
      </c>
      <c r="S22" s="195">
        <v>14</v>
      </c>
      <c r="T22" s="195">
        <v>16</v>
      </c>
      <c r="U22" s="195">
        <v>1</v>
      </c>
      <c r="V22" s="66">
        <f>SUM(O22:U22)</f>
        <v>66</v>
      </c>
      <c r="X22" t="s">
        <v>40</v>
      </c>
      <c r="Y22" s="3">
        <v>20</v>
      </c>
      <c r="Z22" s="3">
        <f>F22+(7*$AR$18)-112</f>
        <v>48</v>
      </c>
      <c r="AA22" s="111">
        <f t="shared" si="3"/>
        <v>0</v>
      </c>
      <c r="AB22" s="111">
        <f t="shared" si="4"/>
        <v>6</v>
      </c>
      <c r="AC22" s="111">
        <f t="shared" si="5"/>
        <v>3</v>
      </c>
      <c r="AD22" s="111">
        <f>13+2/6</f>
        <v>13.333333333333334</v>
      </c>
      <c r="AE22" s="111">
        <f t="shared" si="6"/>
        <v>7</v>
      </c>
      <c r="AF22" s="111">
        <f t="shared" si="7"/>
        <v>7</v>
      </c>
      <c r="AG22" s="111">
        <f t="shared" si="8"/>
        <v>3</v>
      </c>
      <c r="AH22" s="47">
        <f>(8500+165+125+245)*1.012</f>
        <v>9143.42</v>
      </c>
      <c r="AI22" s="230">
        <f t="shared" si="9"/>
        <v>0</v>
      </c>
      <c r="AJ22" s="230">
        <f t="shared" si="10"/>
        <v>14</v>
      </c>
      <c r="AK22" s="230">
        <f t="shared" si="11"/>
        <v>3</v>
      </c>
      <c r="AL22" s="230">
        <v>42</v>
      </c>
      <c r="AM22" s="230">
        <f t="shared" si="12"/>
        <v>14</v>
      </c>
      <c r="AN22" s="230">
        <f t="shared" si="13"/>
        <v>16</v>
      </c>
      <c r="AO22" s="230">
        <f t="shared" si="14"/>
        <v>1</v>
      </c>
      <c r="AP22" s="66">
        <f>SUM(AI22:AO22)</f>
        <v>90</v>
      </c>
      <c r="AQ22" s="110"/>
    </row>
    <row r="23" spans="1:45" x14ac:dyDescent="0.25">
      <c r="A23" t="s">
        <v>34</v>
      </c>
      <c r="B23" s="15" t="s">
        <v>71</v>
      </c>
      <c r="C23" s="3" t="s">
        <v>295</v>
      </c>
      <c r="D23" s="3" t="s">
        <v>326</v>
      </c>
      <c r="E23" s="3">
        <v>19</v>
      </c>
      <c r="F23" s="3">
        <v>55</v>
      </c>
      <c r="G23" s="217">
        <v>0</v>
      </c>
      <c r="H23" s="131">
        <v>3</v>
      </c>
      <c r="I23" s="217">
        <v>5</v>
      </c>
      <c r="J23" s="131">
        <v>10.199999999999999</v>
      </c>
      <c r="K23" s="217">
        <v>5</v>
      </c>
      <c r="L23" s="131">
        <v>7</v>
      </c>
      <c r="M23" s="217">
        <v>3</v>
      </c>
      <c r="N23" s="47">
        <v>1050</v>
      </c>
      <c r="O23" s="230">
        <v>0</v>
      </c>
      <c r="P23" s="230">
        <v>3</v>
      </c>
      <c r="Q23" s="230">
        <v>9</v>
      </c>
      <c r="R23" s="195">
        <v>23</v>
      </c>
      <c r="S23" s="195">
        <v>7</v>
      </c>
      <c r="T23" s="195">
        <v>16</v>
      </c>
      <c r="U23" s="195">
        <v>1</v>
      </c>
      <c r="V23" s="66">
        <f>SUM(O23:U23)</f>
        <v>59</v>
      </c>
      <c r="X23" t="s">
        <v>34</v>
      </c>
      <c r="Y23" s="3">
        <v>20</v>
      </c>
      <c r="Z23" s="3">
        <f>F23+(7*$AR$18)-112</f>
        <v>83</v>
      </c>
      <c r="AA23" s="111">
        <f t="shared" si="3"/>
        <v>0</v>
      </c>
      <c r="AB23" s="111">
        <f t="shared" si="4"/>
        <v>3</v>
      </c>
      <c r="AC23" s="111">
        <f t="shared" si="5"/>
        <v>5</v>
      </c>
      <c r="AD23" s="111">
        <f>13+5/6</f>
        <v>13.833333333333334</v>
      </c>
      <c r="AE23" s="111">
        <f t="shared" si="6"/>
        <v>5</v>
      </c>
      <c r="AF23" s="111">
        <f t="shared" si="7"/>
        <v>7</v>
      </c>
      <c r="AG23" s="111">
        <f t="shared" si="8"/>
        <v>3</v>
      </c>
      <c r="AH23" s="47">
        <f>(10500+135+135+245)*1.012</f>
        <v>11147.18</v>
      </c>
      <c r="AI23" s="230">
        <f t="shared" si="9"/>
        <v>0</v>
      </c>
      <c r="AJ23" s="230">
        <f t="shared" si="10"/>
        <v>3</v>
      </c>
      <c r="AK23" s="230">
        <f t="shared" si="11"/>
        <v>9</v>
      </c>
      <c r="AL23" s="230">
        <v>46</v>
      </c>
      <c r="AM23" s="230">
        <f t="shared" si="12"/>
        <v>7</v>
      </c>
      <c r="AN23" s="230">
        <f t="shared" si="13"/>
        <v>16</v>
      </c>
      <c r="AO23" s="230">
        <f t="shared" si="14"/>
        <v>1</v>
      </c>
      <c r="AP23" s="66">
        <f>SUM(AI23:AO23)</f>
        <v>82</v>
      </c>
      <c r="AQ23" s="110"/>
    </row>
    <row r="24" spans="1:45" x14ac:dyDescent="0.25">
      <c r="A24" t="s">
        <v>42</v>
      </c>
      <c r="B24" s="15" t="s">
        <v>44</v>
      </c>
      <c r="C24" s="3"/>
      <c r="D24" s="3"/>
      <c r="E24" s="3"/>
      <c r="F24" s="3"/>
      <c r="G24" s="217">
        <v>0</v>
      </c>
      <c r="H24" s="131">
        <v>2</v>
      </c>
      <c r="I24" s="217">
        <v>2</v>
      </c>
      <c r="J24" s="131">
        <v>2</v>
      </c>
      <c r="K24" s="217">
        <v>2</v>
      </c>
      <c r="L24" s="131">
        <v>2</v>
      </c>
      <c r="M24" s="217">
        <v>2</v>
      </c>
      <c r="N24" s="47"/>
      <c r="O24" s="230">
        <v>0</v>
      </c>
      <c r="P24" s="230">
        <v>0</v>
      </c>
      <c r="Q24" s="230">
        <v>0</v>
      </c>
      <c r="R24" s="195">
        <v>0</v>
      </c>
      <c r="S24" s="195">
        <v>0</v>
      </c>
      <c r="T24" s="195">
        <v>0</v>
      </c>
      <c r="U24" s="195">
        <v>0</v>
      </c>
      <c r="V24" s="66">
        <f>SUM(O24:U24)</f>
        <v>0</v>
      </c>
      <c r="X24" t="s">
        <v>42</v>
      </c>
      <c r="Y24" s="3"/>
      <c r="Z24" s="3"/>
      <c r="AA24" s="111">
        <f t="shared" si="3"/>
        <v>0</v>
      </c>
      <c r="AB24" s="111">
        <f t="shared" si="4"/>
        <v>2</v>
      </c>
      <c r="AC24" s="111">
        <f t="shared" si="5"/>
        <v>2</v>
      </c>
      <c r="AD24" s="111">
        <f t="shared" si="15"/>
        <v>2</v>
      </c>
      <c r="AE24" s="111">
        <f t="shared" si="6"/>
        <v>2</v>
      </c>
      <c r="AF24" s="111">
        <f t="shared" si="7"/>
        <v>2</v>
      </c>
      <c r="AG24" s="111">
        <f t="shared" si="8"/>
        <v>2</v>
      </c>
      <c r="AH24" s="47"/>
      <c r="AI24" s="230">
        <f t="shared" si="9"/>
        <v>0</v>
      </c>
      <c r="AJ24" s="230">
        <f t="shared" si="10"/>
        <v>0</v>
      </c>
      <c r="AK24" s="230">
        <f t="shared" si="11"/>
        <v>0</v>
      </c>
      <c r="AL24" s="230">
        <f t="shared" si="16"/>
        <v>0</v>
      </c>
      <c r="AM24" s="230">
        <f t="shared" si="12"/>
        <v>0</v>
      </c>
      <c r="AN24" s="230">
        <f t="shared" si="13"/>
        <v>0</v>
      </c>
      <c r="AO24" s="230">
        <f t="shared" si="14"/>
        <v>0</v>
      </c>
      <c r="AP24" s="66">
        <f>SUM(AI24:AO24)</f>
        <v>0</v>
      </c>
      <c r="AQ24" s="110"/>
    </row>
    <row r="25" spans="1:45" x14ac:dyDescent="0.25">
      <c r="A25" t="s">
        <v>46</v>
      </c>
      <c r="B25" s="15" t="s">
        <v>44</v>
      </c>
      <c r="C25" s="3"/>
      <c r="D25" s="3"/>
      <c r="E25" s="3"/>
      <c r="F25" s="3"/>
      <c r="G25" s="217">
        <v>0</v>
      </c>
      <c r="H25" s="131">
        <v>2</v>
      </c>
      <c r="I25" s="217">
        <v>2</v>
      </c>
      <c r="J25" s="131">
        <v>2</v>
      </c>
      <c r="K25" s="217">
        <v>2</v>
      </c>
      <c r="L25" s="131">
        <v>2</v>
      </c>
      <c r="M25" s="217">
        <v>2</v>
      </c>
      <c r="N25" s="47"/>
      <c r="O25" s="230">
        <v>0</v>
      </c>
      <c r="P25" s="230">
        <v>0</v>
      </c>
      <c r="Q25" s="230">
        <v>0</v>
      </c>
      <c r="R25" s="195">
        <v>0</v>
      </c>
      <c r="S25" s="195">
        <v>0</v>
      </c>
      <c r="T25" s="195">
        <v>0</v>
      </c>
      <c r="U25" s="195">
        <v>0</v>
      </c>
      <c r="V25" s="66">
        <f>SUM(O25:U25)</f>
        <v>0</v>
      </c>
      <c r="X25" t="s">
        <v>46</v>
      </c>
      <c r="Y25" s="3"/>
      <c r="Z25" s="3"/>
      <c r="AA25" s="111">
        <f t="shared" si="3"/>
        <v>0</v>
      </c>
      <c r="AB25" s="111">
        <f t="shared" si="4"/>
        <v>2</v>
      </c>
      <c r="AC25" s="111">
        <f t="shared" si="5"/>
        <v>2</v>
      </c>
      <c r="AD25" s="111">
        <f t="shared" si="15"/>
        <v>2</v>
      </c>
      <c r="AE25" s="111">
        <f t="shared" si="6"/>
        <v>2</v>
      </c>
      <c r="AF25" s="111">
        <f t="shared" si="7"/>
        <v>2</v>
      </c>
      <c r="AG25" s="111">
        <f t="shared" si="8"/>
        <v>2</v>
      </c>
      <c r="AH25" s="47"/>
      <c r="AI25" s="230">
        <f t="shared" si="9"/>
        <v>0</v>
      </c>
      <c r="AJ25" s="230">
        <f t="shared" si="10"/>
        <v>0</v>
      </c>
      <c r="AK25" s="230">
        <f t="shared" si="11"/>
        <v>0</v>
      </c>
      <c r="AL25" s="230">
        <f t="shared" si="16"/>
        <v>0</v>
      </c>
      <c r="AM25" s="230">
        <f t="shared" si="12"/>
        <v>0</v>
      </c>
      <c r="AN25" s="230">
        <f t="shared" si="13"/>
        <v>0</v>
      </c>
      <c r="AO25" s="230">
        <f t="shared" si="14"/>
        <v>0</v>
      </c>
      <c r="AP25" s="66">
        <f>SUM(AI25:AO25)</f>
        <v>0</v>
      </c>
      <c r="AQ25" s="110"/>
    </row>
    <row r="26" spans="1:45" x14ac:dyDescent="0.25">
      <c r="A26" t="s">
        <v>327</v>
      </c>
      <c r="B26" s="15" t="s">
        <v>44</v>
      </c>
      <c r="C26" s="3"/>
      <c r="D26" s="3"/>
      <c r="E26" s="3"/>
      <c r="F26" s="3"/>
      <c r="G26" s="217">
        <v>0</v>
      </c>
      <c r="H26" s="131">
        <v>2</v>
      </c>
      <c r="I26" s="217">
        <v>2</v>
      </c>
      <c r="J26" s="131">
        <v>2</v>
      </c>
      <c r="K26" s="217">
        <v>2</v>
      </c>
      <c r="L26" s="131">
        <v>2</v>
      </c>
      <c r="M26" s="217">
        <v>2</v>
      </c>
      <c r="N26" s="47"/>
      <c r="O26" s="230">
        <v>0</v>
      </c>
      <c r="P26" s="230">
        <v>0</v>
      </c>
      <c r="Q26" s="230">
        <v>0</v>
      </c>
      <c r="R26" s="195">
        <v>0</v>
      </c>
      <c r="S26" s="195">
        <v>0</v>
      </c>
      <c r="T26" s="195">
        <v>0</v>
      </c>
      <c r="U26" s="195">
        <v>0</v>
      </c>
      <c r="V26" s="66">
        <f>SUM(O26:U26)</f>
        <v>0</v>
      </c>
      <c r="X26" t="s">
        <v>327</v>
      </c>
      <c r="Y26" s="3"/>
      <c r="Z26" s="3"/>
      <c r="AA26" s="111">
        <f t="shared" si="3"/>
        <v>0</v>
      </c>
      <c r="AB26" s="111">
        <f t="shared" si="4"/>
        <v>2</v>
      </c>
      <c r="AC26" s="111">
        <f t="shared" si="5"/>
        <v>2</v>
      </c>
      <c r="AD26" s="111">
        <f t="shared" si="15"/>
        <v>2</v>
      </c>
      <c r="AE26" s="111">
        <f t="shared" si="6"/>
        <v>2</v>
      </c>
      <c r="AF26" s="111">
        <f t="shared" si="7"/>
        <v>2</v>
      </c>
      <c r="AG26" s="111">
        <f t="shared" si="8"/>
        <v>2</v>
      </c>
      <c r="AH26" s="47"/>
      <c r="AI26" s="230">
        <f t="shared" si="9"/>
        <v>0</v>
      </c>
      <c r="AJ26" s="230">
        <f t="shared" si="10"/>
        <v>0</v>
      </c>
      <c r="AK26" s="230">
        <f t="shared" si="11"/>
        <v>0</v>
      </c>
      <c r="AL26" s="230">
        <f t="shared" si="16"/>
        <v>0</v>
      </c>
      <c r="AM26" s="230">
        <f t="shared" si="12"/>
        <v>0</v>
      </c>
      <c r="AN26" s="230">
        <f t="shared" si="13"/>
        <v>0</v>
      </c>
      <c r="AO26" s="230">
        <f t="shared" si="14"/>
        <v>0</v>
      </c>
      <c r="AP26" s="66">
        <f>SUM(AI26:AO26)</f>
        <v>0</v>
      </c>
      <c r="AQ26" s="110"/>
    </row>
    <row r="27" spans="1:45" x14ac:dyDescent="0.25">
      <c r="N27" s="196">
        <f>SUM(N29:N43)</f>
        <v>103349.28</v>
      </c>
      <c r="AH27" s="196">
        <f>SUM(AH29:AH43)</f>
        <v>186006.49999999997</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316</v>
      </c>
      <c r="P28" s="10" t="s">
        <v>317</v>
      </c>
      <c r="Q28" s="10" t="s">
        <v>318</v>
      </c>
      <c r="R28" s="10" t="s">
        <v>319</v>
      </c>
      <c r="S28" s="10" t="s">
        <v>320</v>
      </c>
      <c r="T28" s="10" t="s">
        <v>321</v>
      </c>
      <c r="U28" s="10" t="s">
        <v>322</v>
      </c>
      <c r="V28" s="10" t="s">
        <v>323</v>
      </c>
      <c r="X28" s="10" t="s">
        <v>170</v>
      </c>
      <c r="Y28" s="10" t="str">
        <f>Y10</f>
        <v>Año</v>
      </c>
      <c r="Z28" s="10" t="str">
        <f>Z10</f>
        <v>Dia</v>
      </c>
      <c r="AA28" s="10" t="s">
        <v>15</v>
      </c>
      <c r="AB28" s="10" t="s">
        <v>16</v>
      </c>
      <c r="AC28" s="10" t="s">
        <v>17</v>
      </c>
      <c r="AD28" s="10" t="s">
        <v>18</v>
      </c>
      <c r="AE28" s="10" t="s">
        <v>19</v>
      </c>
      <c r="AF28" s="10" t="s">
        <v>20</v>
      </c>
      <c r="AG28" s="10" t="s">
        <v>6</v>
      </c>
      <c r="AH28" s="10" t="s">
        <v>68</v>
      </c>
      <c r="AI28" s="10" t="s">
        <v>316</v>
      </c>
      <c r="AJ28" s="10" t="s">
        <v>317</v>
      </c>
      <c r="AK28" s="10" t="s">
        <v>318</v>
      </c>
      <c r="AL28" s="10" t="s">
        <v>319</v>
      </c>
      <c r="AM28" s="10" t="s">
        <v>320</v>
      </c>
      <c r="AN28" s="10" t="s">
        <v>321</v>
      </c>
      <c r="AO28" s="10" t="s">
        <v>322</v>
      </c>
      <c r="AP28" s="10" t="s">
        <v>323</v>
      </c>
      <c r="AQ28" s="110"/>
    </row>
    <row r="29" spans="1:45" x14ac:dyDescent="0.25">
      <c r="A29" t="s">
        <v>29</v>
      </c>
      <c r="B29" s="15" t="s">
        <v>28</v>
      </c>
      <c r="C29" s="18"/>
      <c r="D29" s="18" t="s">
        <v>72</v>
      </c>
      <c r="E29" s="18">
        <v>20</v>
      </c>
      <c r="F29" s="18">
        <v>50</v>
      </c>
      <c r="G29" s="111">
        <v>16</v>
      </c>
      <c r="H29" s="111">
        <v>4</v>
      </c>
      <c r="I29" s="111">
        <f t="shared" ref="I29:L29" si="18">AC11</f>
        <v>0</v>
      </c>
      <c r="J29" s="111">
        <f t="shared" si="18"/>
        <v>0</v>
      </c>
      <c r="K29" s="111">
        <f t="shared" si="18"/>
        <v>0</v>
      </c>
      <c r="L29" s="111">
        <f t="shared" si="18"/>
        <v>0</v>
      </c>
      <c r="M29" s="111">
        <v>4</v>
      </c>
      <c r="N29" s="47">
        <f>(31720+125)*1.012</f>
        <v>32227.14</v>
      </c>
      <c r="O29" s="230">
        <v>62</v>
      </c>
      <c r="P29" s="230">
        <v>6</v>
      </c>
      <c r="Q29" s="230">
        <f t="shared" ref="Q29:T29" si="19">AK11</f>
        <v>0</v>
      </c>
      <c r="R29" s="230">
        <f t="shared" si="19"/>
        <v>0</v>
      </c>
      <c r="S29" s="230">
        <f t="shared" si="19"/>
        <v>0</v>
      </c>
      <c r="T29" s="230">
        <f t="shared" si="19"/>
        <v>0</v>
      </c>
      <c r="U29" s="230">
        <v>2</v>
      </c>
      <c r="V29" s="66">
        <f>SUM(O29:U29)</f>
        <v>70</v>
      </c>
      <c r="X29" t="s">
        <v>29</v>
      </c>
      <c r="Y29" s="18">
        <v>23</v>
      </c>
      <c r="Z29" s="18">
        <f>F29+(AR33*7)-112-112-112</f>
        <v>1</v>
      </c>
      <c r="AA29" s="111">
        <f>G29</f>
        <v>16</v>
      </c>
      <c r="AB29" s="111">
        <v>11.1</v>
      </c>
      <c r="AC29" s="111">
        <f t="shared" ref="AC29:AG44" si="20">I29</f>
        <v>0</v>
      </c>
      <c r="AD29" s="111">
        <f t="shared" si="20"/>
        <v>0</v>
      </c>
      <c r="AE29" s="111">
        <f t="shared" si="20"/>
        <v>0</v>
      </c>
      <c r="AF29" s="111">
        <f t="shared" si="20"/>
        <v>0</v>
      </c>
      <c r="AG29" s="111">
        <f t="shared" si="20"/>
        <v>4</v>
      </c>
      <c r="AH29" s="47">
        <f>(31720+2300)*1.012</f>
        <v>34428.239999999998</v>
      </c>
      <c r="AI29" s="230">
        <f>O29</f>
        <v>62</v>
      </c>
      <c r="AJ29" s="230">
        <f t="shared" ref="AJ29:AJ36" si="21">P29+$AR$33</f>
        <v>47</v>
      </c>
      <c r="AK29" s="230">
        <f t="shared" ref="AK29:AO29" si="22">Q29</f>
        <v>0</v>
      </c>
      <c r="AL29" s="230">
        <f t="shared" si="22"/>
        <v>0</v>
      </c>
      <c r="AM29" s="230">
        <f t="shared" si="22"/>
        <v>0</v>
      </c>
      <c r="AN29" s="230">
        <f t="shared" si="22"/>
        <v>0</v>
      </c>
      <c r="AO29" s="230">
        <f t="shared" si="22"/>
        <v>2</v>
      </c>
      <c r="AP29" s="66">
        <f>SUM(AI29:AO29)</f>
        <v>111</v>
      </c>
      <c r="AQ29" s="110"/>
    </row>
    <row r="30" spans="1:45" x14ac:dyDescent="0.25">
      <c r="A30" t="s">
        <v>32</v>
      </c>
      <c r="B30" s="15" t="s">
        <v>30</v>
      </c>
      <c r="C30" s="3" t="s">
        <v>70</v>
      </c>
      <c r="D30" s="3" t="s">
        <v>371</v>
      </c>
      <c r="E30" s="18">
        <f t="shared" ref="E30:G30" si="23">Y12</f>
        <v>20</v>
      </c>
      <c r="F30" s="18">
        <f t="shared" si="23"/>
        <v>97</v>
      </c>
      <c r="G30" s="111">
        <f t="shared" si="23"/>
        <v>0</v>
      </c>
      <c r="H30" s="111">
        <f t="shared" ref="H30:H44" si="24">AB12</f>
        <v>6</v>
      </c>
      <c r="I30" s="111">
        <f t="shared" ref="I30:I44" si="25">AC12</f>
        <v>5</v>
      </c>
      <c r="J30" s="111">
        <f t="shared" ref="J30:J44" si="26">AD12</f>
        <v>11.6</v>
      </c>
      <c r="K30" s="111">
        <f t="shared" ref="K30:K44" si="27">AE12</f>
        <v>6</v>
      </c>
      <c r="L30" s="111">
        <f t="shared" ref="L30:L44" si="28">AF12</f>
        <v>8</v>
      </c>
      <c r="M30" s="111">
        <f t="shared" ref="M30:M44" si="29">AG12</f>
        <v>0</v>
      </c>
      <c r="N30" s="47">
        <f t="shared" ref="N30:N41" si="30">AH12</f>
        <v>4450</v>
      </c>
      <c r="O30" s="230">
        <f t="shared" ref="O30:O44" si="31">AI12</f>
        <v>0</v>
      </c>
      <c r="P30" s="230">
        <f t="shared" ref="P30:P44" si="32">AJ12</f>
        <v>14</v>
      </c>
      <c r="Q30" s="230">
        <f t="shared" ref="Q30:Q44" si="33">AK12</f>
        <v>9</v>
      </c>
      <c r="R30" s="230">
        <f t="shared" ref="R30:R44" si="34">AL12</f>
        <v>31</v>
      </c>
      <c r="S30" s="230">
        <f t="shared" ref="S30:S44" si="35">AM12</f>
        <v>10</v>
      </c>
      <c r="T30" s="230">
        <f t="shared" ref="T30:T44" si="36">AN12</f>
        <v>21</v>
      </c>
      <c r="U30" s="230">
        <f t="shared" ref="U30:U44" si="37">AO12</f>
        <v>0</v>
      </c>
      <c r="V30" s="66">
        <f>SUM(O30:U30)</f>
        <v>85</v>
      </c>
      <c r="X30" t="s">
        <v>32</v>
      </c>
      <c r="Y30" s="18">
        <v>23</v>
      </c>
      <c r="Z30" s="18">
        <f t="shared" ref="Z30:Z36" si="38">F30+($AR$33*7)-112-112-112</f>
        <v>48</v>
      </c>
      <c r="AA30" s="111">
        <f t="shared" ref="AA30:AB44" si="39">G30</f>
        <v>0</v>
      </c>
      <c r="AB30" s="111">
        <v>11.9</v>
      </c>
      <c r="AC30" s="111">
        <f t="shared" si="20"/>
        <v>5</v>
      </c>
      <c r="AD30" s="111">
        <f t="shared" si="20"/>
        <v>11.6</v>
      </c>
      <c r="AE30" s="111">
        <f t="shared" si="20"/>
        <v>6</v>
      </c>
      <c r="AF30" s="111">
        <f t="shared" si="20"/>
        <v>8</v>
      </c>
      <c r="AG30" s="111">
        <f t="shared" si="20"/>
        <v>0</v>
      </c>
      <c r="AH30" s="47">
        <f>(6750+135+1800+135+405)*1</f>
        <v>9225</v>
      </c>
      <c r="AI30" s="230">
        <f t="shared" ref="AI30:AI44" si="40">O30</f>
        <v>0</v>
      </c>
      <c r="AJ30" s="230">
        <f t="shared" si="21"/>
        <v>55</v>
      </c>
      <c r="AK30" s="230">
        <f t="shared" ref="AK30:AK44" si="41">Q30</f>
        <v>9</v>
      </c>
      <c r="AL30" s="230">
        <f t="shared" ref="AL30:AL44" si="42">R30</f>
        <v>31</v>
      </c>
      <c r="AM30" s="230">
        <f t="shared" ref="AM30:AM44" si="43">S30</f>
        <v>10</v>
      </c>
      <c r="AN30" s="230">
        <f t="shared" ref="AN30:AN44" si="44">T30</f>
        <v>21</v>
      </c>
      <c r="AO30" s="230">
        <f t="shared" ref="AO30:AO44" si="45">U30</f>
        <v>0</v>
      </c>
      <c r="AP30" s="66">
        <f>SUM(AI30:AO30)</f>
        <v>126</v>
      </c>
      <c r="AQ30" s="110"/>
    </row>
    <row r="31" spans="1:45" x14ac:dyDescent="0.25">
      <c r="A31" t="s">
        <v>33</v>
      </c>
      <c r="B31" s="15" t="s">
        <v>30</v>
      </c>
      <c r="C31" s="3" t="s">
        <v>483</v>
      </c>
      <c r="D31" s="3" t="s">
        <v>329</v>
      </c>
      <c r="E31" s="18">
        <v>20</v>
      </c>
      <c r="F31" s="18">
        <v>50</v>
      </c>
      <c r="G31" s="111">
        <f t="shared" ref="G31:G44" si="46">AA13</f>
        <v>0</v>
      </c>
      <c r="H31" s="111">
        <v>11</v>
      </c>
      <c r="I31" s="111">
        <v>5</v>
      </c>
      <c r="J31" s="111">
        <f t="shared" si="26"/>
        <v>2</v>
      </c>
      <c r="K31" s="111">
        <v>8</v>
      </c>
      <c r="L31" s="111">
        <v>4</v>
      </c>
      <c r="M31" s="111">
        <f t="shared" si="29"/>
        <v>2</v>
      </c>
      <c r="N31" s="47">
        <f>(4090+135+135+125)*1.008</f>
        <v>4520.88</v>
      </c>
      <c r="O31" s="230">
        <f t="shared" si="31"/>
        <v>0</v>
      </c>
      <c r="P31" s="230">
        <v>46</v>
      </c>
      <c r="Q31" s="230">
        <v>9</v>
      </c>
      <c r="R31" s="230">
        <f t="shared" si="34"/>
        <v>0</v>
      </c>
      <c r="S31" s="230">
        <v>18</v>
      </c>
      <c r="T31" s="230">
        <v>5</v>
      </c>
      <c r="U31" s="230">
        <f t="shared" si="37"/>
        <v>0</v>
      </c>
      <c r="V31" s="66">
        <f>SUM(O31:U31)</f>
        <v>78</v>
      </c>
      <c r="X31" t="s">
        <v>33</v>
      </c>
      <c r="Y31" s="18">
        <v>23</v>
      </c>
      <c r="Z31" s="18">
        <f t="shared" si="38"/>
        <v>1</v>
      </c>
      <c r="AA31" s="111">
        <f t="shared" si="39"/>
        <v>0</v>
      </c>
      <c r="AB31" s="111">
        <f>14+8/16</f>
        <v>14.5</v>
      </c>
      <c r="AC31" s="111">
        <f t="shared" si="20"/>
        <v>5</v>
      </c>
      <c r="AD31" s="111">
        <f t="shared" si="20"/>
        <v>2</v>
      </c>
      <c r="AE31" s="111">
        <f t="shared" si="20"/>
        <v>8</v>
      </c>
      <c r="AF31" s="111">
        <f t="shared" si="20"/>
        <v>4</v>
      </c>
      <c r="AG31" s="111">
        <f t="shared" si="20"/>
        <v>2</v>
      </c>
      <c r="AH31" s="47">
        <f>(22685+135+135+125)*1.008</f>
        <v>23264.639999999999</v>
      </c>
      <c r="AI31" s="230">
        <f t="shared" si="40"/>
        <v>0</v>
      </c>
      <c r="AJ31" s="230">
        <f t="shared" si="21"/>
        <v>87</v>
      </c>
      <c r="AK31" s="230">
        <f t="shared" si="41"/>
        <v>9</v>
      </c>
      <c r="AL31" s="230">
        <f t="shared" si="42"/>
        <v>0</v>
      </c>
      <c r="AM31" s="230">
        <f t="shared" si="43"/>
        <v>18</v>
      </c>
      <c r="AN31" s="230">
        <f t="shared" si="44"/>
        <v>5</v>
      </c>
      <c r="AO31" s="230">
        <f t="shared" si="45"/>
        <v>0</v>
      </c>
      <c r="AP31" s="66">
        <f>SUM(AI31:AO31)</f>
        <v>119</v>
      </c>
      <c r="AQ31" s="110"/>
    </row>
    <row r="32" spans="1:45" x14ac:dyDescent="0.25">
      <c r="A32" t="s">
        <v>39</v>
      </c>
      <c r="B32" s="15" t="s">
        <v>30</v>
      </c>
      <c r="C32" s="3" t="s">
        <v>483</v>
      </c>
      <c r="D32" s="3" t="s">
        <v>329</v>
      </c>
      <c r="E32" s="18">
        <v>20</v>
      </c>
      <c r="F32" s="18">
        <v>50</v>
      </c>
      <c r="G32" s="111">
        <f t="shared" ref="G32:G34" si="47">AA14</f>
        <v>0</v>
      </c>
      <c r="H32" s="111">
        <v>11</v>
      </c>
      <c r="I32" s="111">
        <v>5</v>
      </c>
      <c r="J32" s="111">
        <f t="shared" ref="J32:J34" si="48">AD14</f>
        <v>2</v>
      </c>
      <c r="K32" s="111">
        <v>8</v>
      </c>
      <c r="L32" s="111">
        <v>4</v>
      </c>
      <c r="M32" s="111">
        <f t="shared" ref="M32:M34" si="49">AG14</f>
        <v>2</v>
      </c>
      <c r="N32" s="47">
        <f>(4090+135+135+125)*1.008</f>
        <v>4520.88</v>
      </c>
      <c r="O32" s="230">
        <f t="shared" ref="O32:O34" si="50">AI14</f>
        <v>0</v>
      </c>
      <c r="P32" s="230">
        <v>46</v>
      </c>
      <c r="Q32" s="230">
        <v>9</v>
      </c>
      <c r="R32" s="230">
        <f t="shared" ref="R32:R34" si="51">AL14</f>
        <v>0</v>
      </c>
      <c r="S32" s="230">
        <v>18</v>
      </c>
      <c r="T32" s="230">
        <v>5</v>
      </c>
      <c r="U32" s="230">
        <f t="shared" ref="U32:U34" si="52">AO14</f>
        <v>0</v>
      </c>
      <c r="V32" s="66">
        <f>SUM(O32:U32)</f>
        <v>78</v>
      </c>
      <c r="X32" t="s">
        <v>39</v>
      </c>
      <c r="Y32" s="18">
        <v>23</v>
      </c>
      <c r="Z32" s="18">
        <f t="shared" si="38"/>
        <v>1</v>
      </c>
      <c r="AA32" s="111">
        <f t="shared" si="39"/>
        <v>0</v>
      </c>
      <c r="AB32" s="111">
        <f>14+8/16</f>
        <v>14.5</v>
      </c>
      <c r="AC32" s="111">
        <f t="shared" si="20"/>
        <v>5</v>
      </c>
      <c r="AD32" s="111">
        <f t="shared" si="20"/>
        <v>2</v>
      </c>
      <c r="AE32" s="111">
        <f t="shared" si="20"/>
        <v>8</v>
      </c>
      <c r="AF32" s="111">
        <f t="shared" si="20"/>
        <v>4</v>
      </c>
      <c r="AG32" s="111">
        <f t="shared" si="20"/>
        <v>2</v>
      </c>
      <c r="AH32" s="47">
        <f>(22685+135+135+125)*1.008</f>
        <v>23264.639999999999</v>
      </c>
      <c r="AI32" s="230">
        <f t="shared" si="40"/>
        <v>0</v>
      </c>
      <c r="AJ32" s="230">
        <f t="shared" si="21"/>
        <v>87</v>
      </c>
      <c r="AK32" s="230">
        <f t="shared" si="41"/>
        <v>9</v>
      </c>
      <c r="AL32" s="230">
        <f t="shared" si="42"/>
        <v>0</v>
      </c>
      <c r="AM32" s="230">
        <f t="shared" si="43"/>
        <v>18</v>
      </c>
      <c r="AN32" s="230">
        <f t="shared" si="44"/>
        <v>5</v>
      </c>
      <c r="AO32" s="230">
        <f t="shared" si="45"/>
        <v>0</v>
      </c>
      <c r="AP32" s="66">
        <f>SUM(AI32:AO32)</f>
        <v>119</v>
      </c>
      <c r="AQ32" s="110"/>
      <c r="AR32" t="s">
        <v>364</v>
      </c>
      <c r="AS32" t="s">
        <v>365</v>
      </c>
    </row>
    <row r="33" spans="1:45" x14ac:dyDescent="0.25">
      <c r="A33" t="s">
        <v>41</v>
      </c>
      <c r="B33" s="15" t="s">
        <v>30</v>
      </c>
      <c r="C33" s="3" t="s">
        <v>483</v>
      </c>
      <c r="D33" s="3" t="s">
        <v>329</v>
      </c>
      <c r="E33" s="18">
        <v>20</v>
      </c>
      <c r="F33" s="18">
        <v>50</v>
      </c>
      <c r="G33" s="111">
        <f t="shared" si="47"/>
        <v>0</v>
      </c>
      <c r="H33" s="111">
        <v>11</v>
      </c>
      <c r="I33" s="111">
        <v>5</v>
      </c>
      <c r="J33" s="111">
        <f t="shared" si="48"/>
        <v>2</v>
      </c>
      <c r="K33" s="111">
        <v>8</v>
      </c>
      <c r="L33" s="111">
        <v>4</v>
      </c>
      <c r="M33" s="111">
        <f t="shared" si="49"/>
        <v>2</v>
      </c>
      <c r="N33" s="47">
        <f>(4090+135+135+125)*1.008</f>
        <v>4520.88</v>
      </c>
      <c r="O33" s="230">
        <f t="shared" si="50"/>
        <v>0</v>
      </c>
      <c r="P33" s="230">
        <v>46</v>
      </c>
      <c r="Q33" s="230">
        <v>9</v>
      </c>
      <c r="R33" s="230">
        <f t="shared" si="51"/>
        <v>0</v>
      </c>
      <c r="S33" s="230">
        <v>18</v>
      </c>
      <c r="T33" s="230">
        <v>5</v>
      </c>
      <c r="U33" s="230">
        <f t="shared" si="52"/>
        <v>0</v>
      </c>
      <c r="V33" s="66">
        <f t="shared" ref="V33:V39" si="53">SUM(O33:U33)</f>
        <v>78</v>
      </c>
      <c r="X33" t="s">
        <v>41</v>
      </c>
      <c r="Y33" s="18">
        <v>23</v>
      </c>
      <c r="Z33" s="18">
        <f t="shared" si="38"/>
        <v>1</v>
      </c>
      <c r="AA33" s="111">
        <f t="shared" si="39"/>
        <v>0</v>
      </c>
      <c r="AB33" s="111">
        <f>14+8/16</f>
        <v>14.5</v>
      </c>
      <c r="AC33" s="111">
        <f t="shared" si="20"/>
        <v>5</v>
      </c>
      <c r="AD33" s="111">
        <f t="shared" si="20"/>
        <v>2</v>
      </c>
      <c r="AE33" s="111">
        <f t="shared" si="20"/>
        <v>8</v>
      </c>
      <c r="AF33" s="111">
        <f t="shared" si="20"/>
        <v>4</v>
      </c>
      <c r="AG33" s="111">
        <f t="shared" si="20"/>
        <v>2</v>
      </c>
      <c r="AH33" s="47">
        <f>(22685+135+135+125)*1.008</f>
        <v>23264.639999999999</v>
      </c>
      <c r="AI33" s="230">
        <f t="shared" si="40"/>
        <v>0</v>
      </c>
      <c r="AJ33" s="230">
        <f t="shared" si="21"/>
        <v>87</v>
      </c>
      <c r="AK33" s="230">
        <f t="shared" si="41"/>
        <v>9</v>
      </c>
      <c r="AL33" s="230">
        <f t="shared" si="42"/>
        <v>0</v>
      </c>
      <c r="AM33" s="230">
        <f t="shared" si="43"/>
        <v>18</v>
      </c>
      <c r="AN33" s="230">
        <f t="shared" si="44"/>
        <v>5</v>
      </c>
      <c r="AO33" s="230">
        <f t="shared" si="45"/>
        <v>0</v>
      </c>
      <c r="AP33" s="66">
        <f t="shared" ref="AP33:AP39" si="54">SUM(AI33:AO33)</f>
        <v>119</v>
      </c>
      <c r="AQ33" s="110" t="s">
        <v>30</v>
      </c>
      <c r="AR33">
        <f>33+8</f>
        <v>41</v>
      </c>
      <c r="AS33" s="37">
        <f>AR33/16</f>
        <v>2.5625</v>
      </c>
    </row>
    <row r="34" spans="1:45" x14ac:dyDescent="0.25">
      <c r="A34" t="s">
        <v>38</v>
      </c>
      <c r="B34" s="15" t="s">
        <v>30</v>
      </c>
      <c r="C34" s="3" t="s">
        <v>483</v>
      </c>
      <c r="D34" s="3" t="s">
        <v>329</v>
      </c>
      <c r="E34" s="18">
        <v>20</v>
      </c>
      <c r="F34" s="18">
        <v>50</v>
      </c>
      <c r="G34" s="111">
        <f t="shared" si="47"/>
        <v>0</v>
      </c>
      <c r="H34" s="111">
        <v>11</v>
      </c>
      <c r="I34" s="111">
        <v>5</v>
      </c>
      <c r="J34" s="111">
        <f t="shared" si="48"/>
        <v>2</v>
      </c>
      <c r="K34" s="111">
        <v>8</v>
      </c>
      <c r="L34" s="111">
        <v>4</v>
      </c>
      <c r="M34" s="111">
        <f t="shared" si="49"/>
        <v>2</v>
      </c>
      <c r="N34" s="47">
        <f>(4090+135+135+125)*1.008</f>
        <v>4520.88</v>
      </c>
      <c r="O34" s="230">
        <f t="shared" si="50"/>
        <v>0</v>
      </c>
      <c r="P34" s="230">
        <v>46</v>
      </c>
      <c r="Q34" s="230">
        <v>9</v>
      </c>
      <c r="R34" s="230">
        <f t="shared" si="51"/>
        <v>0</v>
      </c>
      <c r="S34" s="230">
        <v>18</v>
      </c>
      <c r="T34" s="230">
        <v>5</v>
      </c>
      <c r="U34" s="230">
        <f t="shared" si="52"/>
        <v>0</v>
      </c>
      <c r="V34" s="66">
        <f t="shared" si="53"/>
        <v>78</v>
      </c>
      <c r="X34" t="s">
        <v>38</v>
      </c>
      <c r="Y34" s="18">
        <v>23</v>
      </c>
      <c r="Z34" s="18">
        <f t="shared" si="38"/>
        <v>1</v>
      </c>
      <c r="AA34" s="111">
        <f t="shared" si="39"/>
        <v>0</v>
      </c>
      <c r="AB34" s="111">
        <f>14+8/16</f>
        <v>14.5</v>
      </c>
      <c r="AC34" s="111">
        <f t="shared" si="20"/>
        <v>5</v>
      </c>
      <c r="AD34" s="111">
        <f t="shared" si="20"/>
        <v>2</v>
      </c>
      <c r="AE34" s="111">
        <f t="shared" si="20"/>
        <v>8</v>
      </c>
      <c r="AF34" s="111">
        <f t="shared" si="20"/>
        <v>4</v>
      </c>
      <c r="AG34" s="111">
        <f t="shared" si="20"/>
        <v>2</v>
      </c>
      <c r="AH34" s="47">
        <f>(22685+135+135+125)*1.008</f>
        <v>23264.639999999999</v>
      </c>
      <c r="AI34" s="230">
        <f t="shared" si="40"/>
        <v>0</v>
      </c>
      <c r="AJ34" s="230">
        <f t="shared" si="21"/>
        <v>87</v>
      </c>
      <c r="AK34" s="230">
        <f t="shared" si="41"/>
        <v>9</v>
      </c>
      <c r="AL34" s="230">
        <f t="shared" si="42"/>
        <v>0</v>
      </c>
      <c r="AM34" s="230">
        <f t="shared" si="43"/>
        <v>18</v>
      </c>
      <c r="AN34" s="230">
        <f t="shared" si="44"/>
        <v>5</v>
      </c>
      <c r="AO34" s="230">
        <f t="shared" si="45"/>
        <v>0</v>
      </c>
      <c r="AP34" s="66">
        <f t="shared" si="54"/>
        <v>119</v>
      </c>
      <c r="AQ34" s="110"/>
    </row>
    <row r="35" spans="1:45" x14ac:dyDescent="0.25">
      <c r="A35" t="s">
        <v>35</v>
      </c>
      <c r="B35" s="15" t="s">
        <v>30</v>
      </c>
      <c r="C35" s="3" t="s">
        <v>295</v>
      </c>
      <c r="D35" s="3" t="s">
        <v>482</v>
      </c>
      <c r="E35" s="18">
        <f t="shared" ref="E35:F35" si="55">Y17</f>
        <v>20</v>
      </c>
      <c r="F35" s="18">
        <f t="shared" si="55"/>
        <v>87</v>
      </c>
      <c r="G35" s="111">
        <f t="shared" si="46"/>
        <v>0</v>
      </c>
      <c r="H35" s="111">
        <f t="shared" si="24"/>
        <v>8</v>
      </c>
      <c r="I35" s="111">
        <f t="shared" si="25"/>
        <v>4</v>
      </c>
      <c r="J35" s="111">
        <f t="shared" si="26"/>
        <v>13</v>
      </c>
      <c r="K35" s="111">
        <f t="shared" si="27"/>
        <v>4</v>
      </c>
      <c r="L35" s="111">
        <f t="shared" si="28"/>
        <v>7</v>
      </c>
      <c r="M35" s="111">
        <f t="shared" si="29"/>
        <v>3</v>
      </c>
      <c r="N35" s="47">
        <f t="shared" si="30"/>
        <v>8440.08</v>
      </c>
      <c r="O35" s="230">
        <f t="shared" si="31"/>
        <v>0</v>
      </c>
      <c r="P35" s="230">
        <f t="shared" si="32"/>
        <v>24</v>
      </c>
      <c r="Q35" s="230">
        <f t="shared" si="33"/>
        <v>6</v>
      </c>
      <c r="R35" s="230">
        <f t="shared" si="34"/>
        <v>40</v>
      </c>
      <c r="S35" s="230">
        <f t="shared" si="35"/>
        <v>4</v>
      </c>
      <c r="T35" s="230">
        <f t="shared" si="36"/>
        <v>16</v>
      </c>
      <c r="U35" s="230">
        <f t="shared" si="37"/>
        <v>1</v>
      </c>
      <c r="V35" s="66">
        <f t="shared" si="53"/>
        <v>91</v>
      </c>
      <c r="X35" t="s">
        <v>35</v>
      </c>
      <c r="Y35" s="18">
        <v>23</v>
      </c>
      <c r="Z35" s="18">
        <f t="shared" si="38"/>
        <v>38</v>
      </c>
      <c r="AA35" s="111">
        <f t="shared" si="39"/>
        <v>0</v>
      </c>
      <c r="AB35" s="111">
        <f>12+9/11</f>
        <v>12.818181818181818</v>
      </c>
      <c r="AC35" s="111">
        <f t="shared" si="20"/>
        <v>4</v>
      </c>
      <c r="AD35" s="111">
        <f t="shared" si="20"/>
        <v>13</v>
      </c>
      <c r="AE35" s="111">
        <f t="shared" si="20"/>
        <v>4</v>
      </c>
      <c r="AF35" s="111">
        <f t="shared" si="20"/>
        <v>7</v>
      </c>
      <c r="AG35" s="111">
        <f t="shared" si="20"/>
        <v>3</v>
      </c>
      <c r="AH35" s="47">
        <f>(7010+125+5300+125+245)*1.012</f>
        <v>12958.66</v>
      </c>
      <c r="AI35" s="230">
        <f t="shared" si="40"/>
        <v>0</v>
      </c>
      <c r="AJ35" s="230">
        <f t="shared" si="21"/>
        <v>65</v>
      </c>
      <c r="AK35" s="230">
        <f t="shared" si="41"/>
        <v>6</v>
      </c>
      <c r="AL35" s="230">
        <f t="shared" si="42"/>
        <v>40</v>
      </c>
      <c r="AM35" s="230">
        <f t="shared" si="43"/>
        <v>4</v>
      </c>
      <c r="AN35" s="230">
        <f t="shared" si="44"/>
        <v>16</v>
      </c>
      <c r="AO35" s="230">
        <f t="shared" si="45"/>
        <v>1</v>
      </c>
      <c r="AP35" s="66">
        <f t="shared" si="54"/>
        <v>132</v>
      </c>
      <c r="AQ35" s="110"/>
    </row>
    <row r="36" spans="1:45" x14ac:dyDescent="0.25">
      <c r="A36" t="s">
        <v>31</v>
      </c>
      <c r="B36" s="15" t="s">
        <v>30</v>
      </c>
      <c r="C36" s="3" t="s">
        <v>295</v>
      </c>
      <c r="D36" s="3" t="s">
        <v>325</v>
      </c>
      <c r="E36" s="18">
        <f t="shared" ref="E36:F36" si="56">Y18</f>
        <v>20</v>
      </c>
      <c r="F36" s="18">
        <f t="shared" si="56"/>
        <v>87</v>
      </c>
      <c r="G36" s="111">
        <f t="shared" si="46"/>
        <v>0</v>
      </c>
      <c r="H36" s="111">
        <f t="shared" si="24"/>
        <v>6</v>
      </c>
      <c r="I36" s="111">
        <f t="shared" si="25"/>
        <v>3</v>
      </c>
      <c r="J36" s="111">
        <f t="shared" si="26"/>
        <v>12</v>
      </c>
      <c r="K36" s="111">
        <f t="shared" si="27"/>
        <v>6</v>
      </c>
      <c r="L36" s="111">
        <f t="shared" si="28"/>
        <v>7</v>
      </c>
      <c r="M36" s="111">
        <f t="shared" si="29"/>
        <v>3</v>
      </c>
      <c r="N36" s="47">
        <f t="shared" si="30"/>
        <v>5085.3</v>
      </c>
      <c r="O36" s="230">
        <f t="shared" si="31"/>
        <v>0</v>
      </c>
      <c r="P36" s="230">
        <f t="shared" si="32"/>
        <v>14</v>
      </c>
      <c r="Q36" s="230">
        <f t="shared" si="33"/>
        <v>3</v>
      </c>
      <c r="R36" s="230">
        <f t="shared" si="34"/>
        <v>33</v>
      </c>
      <c r="S36" s="230">
        <f t="shared" si="35"/>
        <v>10</v>
      </c>
      <c r="T36" s="230">
        <f t="shared" si="36"/>
        <v>16</v>
      </c>
      <c r="U36" s="230">
        <f t="shared" si="37"/>
        <v>1</v>
      </c>
      <c r="V36" s="66">
        <f t="shared" si="53"/>
        <v>77</v>
      </c>
      <c r="X36" t="s">
        <v>31</v>
      </c>
      <c r="Y36" s="18">
        <v>23</v>
      </c>
      <c r="Z36" s="18">
        <f t="shared" si="38"/>
        <v>38</v>
      </c>
      <c r="AA36" s="111">
        <f t="shared" si="39"/>
        <v>0</v>
      </c>
      <c r="AB36" s="111">
        <f>AB30</f>
        <v>11.9</v>
      </c>
      <c r="AC36" s="111">
        <f t="shared" si="20"/>
        <v>3</v>
      </c>
      <c r="AD36" s="111">
        <f t="shared" si="20"/>
        <v>12</v>
      </c>
      <c r="AE36" s="111">
        <f t="shared" si="20"/>
        <v>6</v>
      </c>
      <c r="AF36" s="111">
        <f t="shared" si="20"/>
        <v>7</v>
      </c>
      <c r="AG36" s="111">
        <f t="shared" si="20"/>
        <v>3</v>
      </c>
      <c r="AH36" s="47">
        <f>(3590+3300+145+245)*1.012</f>
        <v>7367.36</v>
      </c>
      <c r="AI36" s="230">
        <f t="shared" si="40"/>
        <v>0</v>
      </c>
      <c r="AJ36" s="230">
        <f t="shared" si="21"/>
        <v>55</v>
      </c>
      <c r="AK36" s="230">
        <f t="shared" si="41"/>
        <v>3</v>
      </c>
      <c r="AL36" s="230">
        <f t="shared" si="42"/>
        <v>33</v>
      </c>
      <c r="AM36" s="230">
        <f t="shared" si="43"/>
        <v>10</v>
      </c>
      <c r="AN36" s="230">
        <f t="shared" si="44"/>
        <v>16</v>
      </c>
      <c r="AO36" s="230">
        <f t="shared" si="45"/>
        <v>1</v>
      </c>
      <c r="AP36" s="66">
        <f t="shared" si="54"/>
        <v>118</v>
      </c>
      <c r="AQ36" s="110"/>
    </row>
    <row r="37" spans="1:45" x14ac:dyDescent="0.25">
      <c r="A37" t="s">
        <v>43</v>
      </c>
      <c r="B37" s="15" t="s">
        <v>372</v>
      </c>
      <c r="C37" s="3"/>
      <c r="D37" s="3"/>
      <c r="E37" s="18"/>
      <c r="F37" s="18"/>
      <c r="G37" s="111">
        <f t="shared" si="46"/>
        <v>0</v>
      </c>
      <c r="H37" s="111">
        <f t="shared" si="24"/>
        <v>2</v>
      </c>
      <c r="I37" s="111">
        <f t="shared" si="25"/>
        <v>2</v>
      </c>
      <c r="J37" s="111">
        <f t="shared" si="26"/>
        <v>2</v>
      </c>
      <c r="K37" s="111">
        <f t="shared" si="27"/>
        <v>2</v>
      </c>
      <c r="L37" s="111">
        <f t="shared" si="28"/>
        <v>2</v>
      </c>
      <c r="M37" s="111">
        <f t="shared" si="29"/>
        <v>2</v>
      </c>
      <c r="N37" s="47"/>
      <c r="O37" s="230">
        <f t="shared" si="31"/>
        <v>0</v>
      </c>
      <c r="P37" s="230">
        <f t="shared" si="32"/>
        <v>0</v>
      </c>
      <c r="Q37" s="230">
        <f t="shared" si="33"/>
        <v>0</v>
      </c>
      <c r="R37" s="230">
        <f t="shared" si="34"/>
        <v>0</v>
      </c>
      <c r="S37" s="230">
        <f t="shared" si="35"/>
        <v>0</v>
      </c>
      <c r="T37" s="230">
        <f t="shared" si="36"/>
        <v>0</v>
      </c>
      <c r="U37" s="230">
        <f t="shared" si="37"/>
        <v>0</v>
      </c>
      <c r="V37" s="66">
        <f t="shared" si="53"/>
        <v>0</v>
      </c>
      <c r="X37" t="s">
        <v>43</v>
      </c>
      <c r="Y37" s="18"/>
      <c r="Z37" s="18"/>
      <c r="AA37" s="111">
        <f t="shared" si="39"/>
        <v>0</v>
      </c>
      <c r="AB37" s="111">
        <f t="shared" si="39"/>
        <v>2</v>
      </c>
      <c r="AC37" s="111">
        <f t="shared" si="20"/>
        <v>2</v>
      </c>
      <c r="AD37" s="111">
        <f t="shared" si="20"/>
        <v>2</v>
      </c>
      <c r="AE37" s="111">
        <f t="shared" si="20"/>
        <v>2</v>
      </c>
      <c r="AF37" s="111">
        <f t="shared" si="20"/>
        <v>2</v>
      </c>
      <c r="AG37" s="111">
        <f t="shared" si="20"/>
        <v>2</v>
      </c>
      <c r="AH37" s="47"/>
      <c r="AI37" s="230">
        <f t="shared" si="40"/>
        <v>0</v>
      </c>
      <c r="AJ37" s="230">
        <f t="shared" ref="AJ37:AJ44" si="57">P37</f>
        <v>0</v>
      </c>
      <c r="AK37" s="230">
        <f t="shared" si="41"/>
        <v>0</v>
      </c>
      <c r="AL37" s="230">
        <f t="shared" si="42"/>
        <v>0</v>
      </c>
      <c r="AM37" s="230">
        <f t="shared" si="43"/>
        <v>0</v>
      </c>
      <c r="AN37" s="230">
        <f t="shared" si="44"/>
        <v>0</v>
      </c>
      <c r="AO37" s="230">
        <f t="shared" si="45"/>
        <v>0</v>
      </c>
      <c r="AP37" s="66">
        <f t="shared" si="54"/>
        <v>0</v>
      </c>
      <c r="AQ37" s="110"/>
    </row>
    <row r="38" spans="1:45" x14ac:dyDescent="0.25">
      <c r="A38" t="s">
        <v>37</v>
      </c>
      <c r="B38" s="15" t="s">
        <v>372</v>
      </c>
      <c r="C38" s="3"/>
      <c r="D38" s="3"/>
      <c r="E38" s="18"/>
      <c r="F38" s="18"/>
      <c r="G38" s="111">
        <f t="shared" si="46"/>
        <v>0</v>
      </c>
      <c r="H38" s="111">
        <f t="shared" si="24"/>
        <v>2</v>
      </c>
      <c r="I38" s="111">
        <f t="shared" si="25"/>
        <v>2</v>
      </c>
      <c r="J38" s="111">
        <f t="shared" si="26"/>
        <v>2</v>
      </c>
      <c r="K38" s="111">
        <f t="shared" si="27"/>
        <v>2</v>
      </c>
      <c r="L38" s="111">
        <f t="shared" si="28"/>
        <v>2</v>
      </c>
      <c r="M38" s="111">
        <f t="shared" si="29"/>
        <v>2</v>
      </c>
      <c r="N38" s="47"/>
      <c r="O38" s="230">
        <f t="shared" si="31"/>
        <v>0</v>
      </c>
      <c r="P38" s="230">
        <f t="shared" si="32"/>
        <v>0</v>
      </c>
      <c r="Q38" s="230">
        <f t="shared" si="33"/>
        <v>0</v>
      </c>
      <c r="R38" s="230">
        <f t="shared" si="34"/>
        <v>0</v>
      </c>
      <c r="S38" s="230">
        <f t="shared" si="35"/>
        <v>0</v>
      </c>
      <c r="T38" s="230">
        <f t="shared" si="36"/>
        <v>0</v>
      </c>
      <c r="U38" s="230">
        <f t="shared" si="37"/>
        <v>0</v>
      </c>
      <c r="V38" s="66">
        <f t="shared" si="53"/>
        <v>0</v>
      </c>
      <c r="X38" t="s">
        <v>37</v>
      </c>
      <c r="Y38" s="18"/>
      <c r="Z38" s="18"/>
      <c r="AA38" s="111">
        <f t="shared" si="39"/>
        <v>0</v>
      </c>
      <c r="AB38" s="111">
        <f t="shared" si="39"/>
        <v>2</v>
      </c>
      <c r="AC38" s="111">
        <f t="shared" si="20"/>
        <v>2</v>
      </c>
      <c r="AD38" s="111">
        <f t="shared" si="20"/>
        <v>2</v>
      </c>
      <c r="AE38" s="111">
        <f t="shared" si="20"/>
        <v>2</v>
      </c>
      <c r="AF38" s="111">
        <f t="shared" si="20"/>
        <v>2</v>
      </c>
      <c r="AG38" s="111">
        <f t="shared" si="20"/>
        <v>2</v>
      </c>
      <c r="AH38" s="47"/>
      <c r="AI38" s="230">
        <f t="shared" si="40"/>
        <v>0</v>
      </c>
      <c r="AJ38" s="230">
        <f t="shared" si="57"/>
        <v>0</v>
      </c>
      <c r="AK38" s="230">
        <f t="shared" si="41"/>
        <v>0</v>
      </c>
      <c r="AL38" s="230">
        <f t="shared" si="42"/>
        <v>0</v>
      </c>
      <c r="AM38" s="230">
        <f t="shared" si="43"/>
        <v>0</v>
      </c>
      <c r="AN38" s="230">
        <f t="shared" si="44"/>
        <v>0</v>
      </c>
      <c r="AO38" s="230">
        <f t="shared" si="45"/>
        <v>0</v>
      </c>
      <c r="AP38" s="66">
        <f t="shared" si="54"/>
        <v>0</v>
      </c>
      <c r="AQ38" s="110"/>
    </row>
    <row r="39" spans="1:45" x14ac:dyDescent="0.25">
      <c r="A39" t="s">
        <v>36</v>
      </c>
      <c r="B39" s="15" t="s">
        <v>71</v>
      </c>
      <c r="C39" s="3" t="s">
        <v>45</v>
      </c>
      <c r="D39" s="3" t="s">
        <v>324</v>
      </c>
      <c r="E39" s="18">
        <f t="shared" ref="E39:F39" si="58">Y21</f>
        <v>20</v>
      </c>
      <c r="F39" s="18">
        <f t="shared" si="58"/>
        <v>83</v>
      </c>
      <c r="G39" s="111">
        <f t="shared" si="46"/>
        <v>0</v>
      </c>
      <c r="H39" s="111">
        <f t="shared" si="24"/>
        <v>2</v>
      </c>
      <c r="I39" s="111">
        <f t="shared" si="25"/>
        <v>5.7</v>
      </c>
      <c r="J39" s="111">
        <f t="shared" si="26"/>
        <v>14.428571428571429</v>
      </c>
      <c r="K39" s="111">
        <f t="shared" si="27"/>
        <v>6</v>
      </c>
      <c r="L39" s="111">
        <f t="shared" si="28"/>
        <v>7</v>
      </c>
      <c r="M39" s="111">
        <f t="shared" si="29"/>
        <v>5</v>
      </c>
      <c r="N39" s="47">
        <f t="shared" si="30"/>
        <v>14772.64</v>
      </c>
      <c r="O39" s="230">
        <f t="shared" si="31"/>
        <v>0</v>
      </c>
      <c r="P39" s="230">
        <f t="shared" si="32"/>
        <v>0</v>
      </c>
      <c r="Q39" s="230">
        <f t="shared" si="33"/>
        <v>13</v>
      </c>
      <c r="R39" s="230">
        <f t="shared" si="34"/>
        <v>50</v>
      </c>
      <c r="S39" s="230">
        <f t="shared" si="35"/>
        <v>10</v>
      </c>
      <c r="T39" s="230">
        <f t="shared" si="36"/>
        <v>16</v>
      </c>
      <c r="U39" s="230">
        <f t="shared" si="37"/>
        <v>3</v>
      </c>
      <c r="V39" s="66">
        <f t="shared" si="53"/>
        <v>92</v>
      </c>
      <c r="X39" t="s">
        <v>36</v>
      </c>
      <c r="Y39" s="18">
        <v>23</v>
      </c>
      <c r="Z39" s="18">
        <f>F39+($AR$33*7)-112-112-112</f>
        <v>34</v>
      </c>
      <c r="AA39" s="111">
        <f t="shared" si="39"/>
        <v>0</v>
      </c>
      <c r="AB39" s="111">
        <f>10+4/9</f>
        <v>10.444444444444445</v>
      </c>
      <c r="AC39" s="111">
        <f t="shared" si="20"/>
        <v>5.7</v>
      </c>
      <c r="AD39" s="111">
        <f t="shared" si="20"/>
        <v>14.428571428571429</v>
      </c>
      <c r="AE39" s="111">
        <f t="shared" si="20"/>
        <v>6</v>
      </c>
      <c r="AF39" s="111">
        <f t="shared" si="20"/>
        <v>7</v>
      </c>
      <c r="AG39" s="111">
        <f t="shared" si="20"/>
        <v>5</v>
      </c>
      <c r="AH39" s="47">
        <f>(9540+1350+150+145+245)*1.016</f>
        <v>11612.880000000001</v>
      </c>
      <c r="AI39" s="230">
        <f t="shared" si="40"/>
        <v>0</v>
      </c>
      <c r="AJ39" s="230">
        <f>P39+$AR$33</f>
        <v>41</v>
      </c>
      <c r="AK39" s="230">
        <f t="shared" si="41"/>
        <v>13</v>
      </c>
      <c r="AL39" s="230">
        <f t="shared" si="42"/>
        <v>50</v>
      </c>
      <c r="AM39" s="230">
        <f t="shared" si="43"/>
        <v>10</v>
      </c>
      <c r="AN39" s="230">
        <f t="shared" si="44"/>
        <v>16</v>
      </c>
      <c r="AO39" s="230">
        <f t="shared" si="45"/>
        <v>3</v>
      </c>
      <c r="AP39" s="66">
        <f t="shared" si="54"/>
        <v>133</v>
      </c>
      <c r="AQ39" s="110"/>
    </row>
    <row r="40" spans="1:45" x14ac:dyDescent="0.25">
      <c r="A40" t="s">
        <v>40</v>
      </c>
      <c r="B40" s="15" t="s">
        <v>71</v>
      </c>
      <c r="C40" s="3" t="s">
        <v>45</v>
      </c>
      <c r="D40" s="3" t="s">
        <v>481</v>
      </c>
      <c r="E40" s="18">
        <f t="shared" ref="E40:F40" si="59">Y22</f>
        <v>20</v>
      </c>
      <c r="F40" s="18">
        <f t="shared" si="59"/>
        <v>48</v>
      </c>
      <c r="G40" s="111">
        <f t="shared" si="46"/>
        <v>0</v>
      </c>
      <c r="H40" s="111">
        <f t="shared" si="24"/>
        <v>6</v>
      </c>
      <c r="I40" s="111">
        <f t="shared" si="25"/>
        <v>3</v>
      </c>
      <c r="J40" s="111">
        <f t="shared" si="26"/>
        <v>13.333333333333334</v>
      </c>
      <c r="K40" s="111">
        <f t="shared" si="27"/>
        <v>7</v>
      </c>
      <c r="L40" s="111">
        <f t="shared" si="28"/>
        <v>7</v>
      </c>
      <c r="M40" s="111">
        <f t="shared" si="29"/>
        <v>3</v>
      </c>
      <c r="N40" s="47">
        <f t="shared" si="30"/>
        <v>9143.42</v>
      </c>
      <c r="O40" s="230">
        <f t="shared" si="31"/>
        <v>0</v>
      </c>
      <c r="P40" s="230">
        <f t="shared" si="32"/>
        <v>14</v>
      </c>
      <c r="Q40" s="230">
        <f t="shared" si="33"/>
        <v>3</v>
      </c>
      <c r="R40" s="230">
        <f t="shared" si="34"/>
        <v>42</v>
      </c>
      <c r="S40" s="230">
        <f t="shared" si="35"/>
        <v>14</v>
      </c>
      <c r="T40" s="230">
        <f t="shared" si="36"/>
        <v>16</v>
      </c>
      <c r="U40" s="230">
        <f t="shared" si="37"/>
        <v>1</v>
      </c>
      <c r="V40" s="66">
        <f>SUM(O40:U40)</f>
        <v>90</v>
      </c>
      <c r="X40" t="s">
        <v>40</v>
      </c>
      <c r="Y40" s="18">
        <v>22</v>
      </c>
      <c r="Z40" s="18">
        <f>F40+(AR33*7)-112-112</f>
        <v>111</v>
      </c>
      <c r="AA40" s="111">
        <f t="shared" si="39"/>
        <v>0</v>
      </c>
      <c r="AB40" s="111">
        <f>AB36</f>
        <v>11.9</v>
      </c>
      <c r="AC40" s="111">
        <f t="shared" si="20"/>
        <v>3</v>
      </c>
      <c r="AD40" s="111">
        <f t="shared" si="20"/>
        <v>13.333333333333334</v>
      </c>
      <c r="AE40" s="111">
        <f t="shared" si="20"/>
        <v>7</v>
      </c>
      <c r="AF40" s="111">
        <f t="shared" si="20"/>
        <v>7</v>
      </c>
      <c r="AG40" s="111">
        <f t="shared" si="20"/>
        <v>3</v>
      </c>
      <c r="AH40" s="47">
        <f>(4800+3300+165+125+245)*1.012</f>
        <v>8738.6200000000008</v>
      </c>
      <c r="AI40" s="230">
        <f t="shared" si="40"/>
        <v>0</v>
      </c>
      <c r="AJ40" s="230">
        <f>P40+$AR$33</f>
        <v>55</v>
      </c>
      <c r="AK40" s="230">
        <f t="shared" si="41"/>
        <v>3</v>
      </c>
      <c r="AL40" s="230">
        <f t="shared" si="42"/>
        <v>42</v>
      </c>
      <c r="AM40" s="230">
        <f t="shared" si="43"/>
        <v>14</v>
      </c>
      <c r="AN40" s="230">
        <f t="shared" si="44"/>
        <v>16</v>
      </c>
      <c r="AO40" s="230">
        <f t="shared" si="45"/>
        <v>1</v>
      </c>
      <c r="AP40" s="66">
        <f>SUM(AI40:AO40)</f>
        <v>131</v>
      </c>
      <c r="AQ40" s="110"/>
    </row>
    <row r="41" spans="1:45" x14ac:dyDescent="0.25">
      <c r="A41" t="s">
        <v>34</v>
      </c>
      <c r="B41" s="15" t="s">
        <v>71</v>
      </c>
      <c r="C41" s="3" t="s">
        <v>295</v>
      </c>
      <c r="D41" s="3" t="s">
        <v>326</v>
      </c>
      <c r="E41" s="18">
        <f t="shared" ref="E41:F41" si="60">Y23</f>
        <v>20</v>
      </c>
      <c r="F41" s="18">
        <f t="shared" si="60"/>
        <v>83</v>
      </c>
      <c r="G41" s="111">
        <f t="shared" si="46"/>
        <v>0</v>
      </c>
      <c r="H41" s="111">
        <f t="shared" si="24"/>
        <v>3</v>
      </c>
      <c r="I41" s="111">
        <f t="shared" si="25"/>
        <v>5</v>
      </c>
      <c r="J41" s="111">
        <f t="shared" si="26"/>
        <v>13.833333333333334</v>
      </c>
      <c r="K41" s="111">
        <f t="shared" si="27"/>
        <v>5</v>
      </c>
      <c r="L41" s="111">
        <f t="shared" si="28"/>
        <v>7</v>
      </c>
      <c r="M41" s="111">
        <f t="shared" si="29"/>
        <v>3</v>
      </c>
      <c r="N41" s="47">
        <f t="shared" si="30"/>
        <v>11147.18</v>
      </c>
      <c r="O41" s="230">
        <f t="shared" si="31"/>
        <v>0</v>
      </c>
      <c r="P41" s="230">
        <f t="shared" si="32"/>
        <v>3</v>
      </c>
      <c r="Q41" s="230">
        <f t="shared" si="33"/>
        <v>9</v>
      </c>
      <c r="R41" s="230">
        <f t="shared" si="34"/>
        <v>46</v>
      </c>
      <c r="S41" s="230">
        <f t="shared" si="35"/>
        <v>7</v>
      </c>
      <c r="T41" s="230">
        <f t="shared" si="36"/>
        <v>16</v>
      </c>
      <c r="U41" s="230">
        <f t="shared" si="37"/>
        <v>1</v>
      </c>
      <c r="V41" s="66">
        <f>SUM(O41:U41)</f>
        <v>82</v>
      </c>
      <c r="X41" t="s">
        <v>34</v>
      </c>
      <c r="Y41" s="18">
        <v>23</v>
      </c>
      <c r="Z41" s="18">
        <f>F41+($AR$33*7)-112-112-112</f>
        <v>34</v>
      </c>
      <c r="AA41" s="111">
        <f t="shared" si="39"/>
        <v>0</v>
      </c>
      <c r="AB41" s="111">
        <f>10+7/9</f>
        <v>10.777777777777779</v>
      </c>
      <c r="AC41" s="111">
        <f t="shared" si="20"/>
        <v>5</v>
      </c>
      <c r="AD41" s="111">
        <f t="shared" si="20"/>
        <v>13.833333333333334</v>
      </c>
      <c r="AE41" s="111">
        <f t="shared" si="20"/>
        <v>5</v>
      </c>
      <c r="AF41" s="111">
        <f t="shared" si="20"/>
        <v>7</v>
      </c>
      <c r="AG41" s="111">
        <f t="shared" si="20"/>
        <v>3</v>
      </c>
      <c r="AH41" s="47">
        <f>(6500+1500+135+135+245)*1.012</f>
        <v>8617.18</v>
      </c>
      <c r="AI41" s="230">
        <f t="shared" si="40"/>
        <v>0</v>
      </c>
      <c r="AJ41" s="230">
        <f>P41+$AR$33</f>
        <v>44</v>
      </c>
      <c r="AK41" s="230">
        <f t="shared" si="41"/>
        <v>9</v>
      </c>
      <c r="AL41" s="230">
        <f t="shared" si="42"/>
        <v>46</v>
      </c>
      <c r="AM41" s="230">
        <f t="shared" si="43"/>
        <v>7</v>
      </c>
      <c r="AN41" s="230">
        <f t="shared" si="44"/>
        <v>16</v>
      </c>
      <c r="AO41" s="230">
        <f t="shared" si="45"/>
        <v>1</v>
      </c>
      <c r="AP41" s="66">
        <f>SUM(AI41:AO41)</f>
        <v>123</v>
      </c>
      <c r="AQ41" s="110"/>
    </row>
    <row r="42" spans="1:45" x14ac:dyDescent="0.25">
      <c r="A42" t="s">
        <v>42</v>
      </c>
      <c r="B42" s="15" t="s">
        <v>44</v>
      </c>
      <c r="C42" s="3"/>
      <c r="D42" s="3"/>
      <c r="E42" s="18"/>
      <c r="F42" s="18"/>
      <c r="G42" s="111">
        <f t="shared" si="46"/>
        <v>0</v>
      </c>
      <c r="H42" s="111">
        <f t="shared" si="24"/>
        <v>2</v>
      </c>
      <c r="I42" s="111">
        <f t="shared" si="25"/>
        <v>2</v>
      </c>
      <c r="J42" s="111">
        <f t="shared" si="26"/>
        <v>2</v>
      </c>
      <c r="K42" s="111">
        <f t="shared" si="27"/>
        <v>2</v>
      </c>
      <c r="L42" s="111">
        <f t="shared" si="28"/>
        <v>2</v>
      </c>
      <c r="M42" s="111">
        <f t="shared" si="29"/>
        <v>2</v>
      </c>
      <c r="N42" s="47"/>
      <c r="O42" s="230">
        <f t="shared" si="31"/>
        <v>0</v>
      </c>
      <c r="P42" s="230">
        <f t="shared" si="32"/>
        <v>0</v>
      </c>
      <c r="Q42" s="230">
        <f t="shared" si="33"/>
        <v>0</v>
      </c>
      <c r="R42" s="230">
        <f t="shared" si="34"/>
        <v>0</v>
      </c>
      <c r="S42" s="230">
        <f t="shared" si="35"/>
        <v>0</v>
      </c>
      <c r="T42" s="230">
        <f t="shared" si="36"/>
        <v>0</v>
      </c>
      <c r="U42" s="230">
        <f t="shared" si="37"/>
        <v>0</v>
      </c>
      <c r="V42" s="66">
        <f>SUM(O42:U42)</f>
        <v>0</v>
      </c>
      <c r="X42" t="s">
        <v>42</v>
      </c>
      <c r="Y42" s="18"/>
      <c r="Z42" s="18"/>
      <c r="AA42" s="111">
        <f t="shared" si="39"/>
        <v>0</v>
      </c>
      <c r="AB42" s="111">
        <f t="shared" si="39"/>
        <v>2</v>
      </c>
      <c r="AC42" s="111">
        <f t="shared" si="20"/>
        <v>2</v>
      </c>
      <c r="AD42" s="111">
        <f t="shared" si="20"/>
        <v>2</v>
      </c>
      <c r="AE42" s="111">
        <f t="shared" si="20"/>
        <v>2</v>
      </c>
      <c r="AF42" s="111">
        <f t="shared" si="20"/>
        <v>2</v>
      </c>
      <c r="AG42" s="111">
        <f t="shared" si="20"/>
        <v>2</v>
      </c>
      <c r="AH42" s="47"/>
      <c r="AI42" s="230">
        <f t="shared" si="40"/>
        <v>0</v>
      </c>
      <c r="AJ42" s="230">
        <f t="shared" si="57"/>
        <v>0</v>
      </c>
      <c r="AK42" s="230">
        <f t="shared" si="41"/>
        <v>0</v>
      </c>
      <c r="AL42" s="230">
        <f t="shared" si="42"/>
        <v>0</v>
      </c>
      <c r="AM42" s="230">
        <f t="shared" si="43"/>
        <v>0</v>
      </c>
      <c r="AN42" s="230">
        <f t="shared" si="44"/>
        <v>0</v>
      </c>
      <c r="AO42" s="230">
        <f t="shared" si="45"/>
        <v>0</v>
      </c>
      <c r="AP42" s="66">
        <f>SUM(AI42:AO42)</f>
        <v>0</v>
      </c>
      <c r="AQ42" s="110"/>
    </row>
    <row r="43" spans="1:45" x14ac:dyDescent="0.25">
      <c r="A43" t="s">
        <v>46</v>
      </c>
      <c r="B43" s="15" t="s">
        <v>44</v>
      </c>
      <c r="C43" s="3"/>
      <c r="D43" s="3"/>
      <c r="E43" s="18"/>
      <c r="F43" s="18"/>
      <c r="G43" s="111">
        <f t="shared" si="46"/>
        <v>0</v>
      </c>
      <c r="H43" s="111">
        <f t="shared" si="24"/>
        <v>2</v>
      </c>
      <c r="I43" s="111">
        <f t="shared" si="25"/>
        <v>2</v>
      </c>
      <c r="J43" s="111">
        <f t="shared" si="26"/>
        <v>2</v>
      </c>
      <c r="K43" s="111">
        <f t="shared" si="27"/>
        <v>2</v>
      </c>
      <c r="L43" s="111">
        <f t="shared" si="28"/>
        <v>2</v>
      </c>
      <c r="M43" s="111">
        <f t="shared" si="29"/>
        <v>2</v>
      </c>
      <c r="N43" s="47"/>
      <c r="O43" s="230">
        <f t="shared" si="31"/>
        <v>0</v>
      </c>
      <c r="P43" s="230">
        <f t="shared" si="32"/>
        <v>0</v>
      </c>
      <c r="Q43" s="230">
        <f t="shared" si="33"/>
        <v>0</v>
      </c>
      <c r="R43" s="230">
        <f t="shared" si="34"/>
        <v>0</v>
      </c>
      <c r="S43" s="230">
        <f t="shared" si="35"/>
        <v>0</v>
      </c>
      <c r="T43" s="230">
        <f t="shared" si="36"/>
        <v>0</v>
      </c>
      <c r="U43" s="230">
        <f t="shared" si="37"/>
        <v>0</v>
      </c>
      <c r="V43" s="66">
        <f>SUM(O43:U43)</f>
        <v>0</v>
      </c>
      <c r="X43" t="s">
        <v>46</v>
      </c>
      <c r="Y43" s="18"/>
      <c r="Z43" s="18"/>
      <c r="AA43" s="111">
        <f t="shared" si="39"/>
        <v>0</v>
      </c>
      <c r="AB43" s="111">
        <f t="shared" si="39"/>
        <v>2</v>
      </c>
      <c r="AC43" s="111">
        <f t="shared" si="20"/>
        <v>2</v>
      </c>
      <c r="AD43" s="111">
        <f t="shared" si="20"/>
        <v>2</v>
      </c>
      <c r="AE43" s="111">
        <f t="shared" si="20"/>
        <v>2</v>
      </c>
      <c r="AF43" s="111">
        <f t="shared" si="20"/>
        <v>2</v>
      </c>
      <c r="AG43" s="111">
        <f t="shared" si="20"/>
        <v>2</v>
      </c>
      <c r="AH43" s="47"/>
      <c r="AI43" s="230">
        <f t="shared" si="40"/>
        <v>0</v>
      </c>
      <c r="AJ43" s="230">
        <f t="shared" si="57"/>
        <v>0</v>
      </c>
      <c r="AK43" s="230">
        <f t="shared" si="41"/>
        <v>0</v>
      </c>
      <c r="AL43" s="230">
        <f t="shared" si="42"/>
        <v>0</v>
      </c>
      <c r="AM43" s="230">
        <f t="shared" si="43"/>
        <v>0</v>
      </c>
      <c r="AN43" s="230">
        <f t="shared" si="44"/>
        <v>0</v>
      </c>
      <c r="AO43" s="230">
        <f t="shared" si="45"/>
        <v>0</v>
      </c>
      <c r="AP43" s="66">
        <f>SUM(AI43:AO43)</f>
        <v>0</v>
      </c>
      <c r="AQ43" s="110"/>
    </row>
    <row r="44" spans="1:45" x14ac:dyDescent="0.25">
      <c r="A44" t="s">
        <v>327</v>
      </c>
      <c r="B44" s="15" t="s">
        <v>44</v>
      </c>
      <c r="C44" s="3"/>
      <c r="D44" s="3"/>
      <c r="E44" s="18"/>
      <c r="F44" s="18"/>
      <c r="G44" s="111">
        <f t="shared" si="46"/>
        <v>0</v>
      </c>
      <c r="H44" s="111">
        <f t="shared" si="24"/>
        <v>2</v>
      </c>
      <c r="I44" s="111">
        <f t="shared" si="25"/>
        <v>2</v>
      </c>
      <c r="J44" s="111">
        <f t="shared" si="26"/>
        <v>2</v>
      </c>
      <c r="K44" s="111">
        <f t="shared" si="27"/>
        <v>2</v>
      </c>
      <c r="L44" s="111">
        <f t="shared" si="28"/>
        <v>2</v>
      </c>
      <c r="M44" s="111">
        <f t="shared" si="29"/>
        <v>2</v>
      </c>
      <c r="N44" s="47"/>
      <c r="O44" s="230">
        <f t="shared" si="31"/>
        <v>0</v>
      </c>
      <c r="P44" s="230">
        <f t="shared" si="32"/>
        <v>0</v>
      </c>
      <c r="Q44" s="230">
        <f t="shared" si="33"/>
        <v>0</v>
      </c>
      <c r="R44" s="230">
        <f t="shared" si="34"/>
        <v>0</v>
      </c>
      <c r="S44" s="230">
        <f t="shared" si="35"/>
        <v>0</v>
      </c>
      <c r="T44" s="230">
        <f t="shared" si="36"/>
        <v>0</v>
      </c>
      <c r="U44" s="230">
        <f t="shared" si="37"/>
        <v>0</v>
      </c>
      <c r="V44" s="66">
        <f>SUM(O44:U44)</f>
        <v>0</v>
      </c>
      <c r="X44" t="s">
        <v>327</v>
      </c>
      <c r="Y44" s="18"/>
      <c r="Z44" s="18"/>
      <c r="AA44" s="111">
        <f t="shared" si="39"/>
        <v>0</v>
      </c>
      <c r="AB44" s="111">
        <f t="shared" si="39"/>
        <v>2</v>
      </c>
      <c r="AC44" s="111">
        <f t="shared" si="20"/>
        <v>2</v>
      </c>
      <c r="AD44" s="111">
        <f t="shared" si="20"/>
        <v>2</v>
      </c>
      <c r="AE44" s="111">
        <f t="shared" si="20"/>
        <v>2</v>
      </c>
      <c r="AF44" s="111">
        <f t="shared" si="20"/>
        <v>2</v>
      </c>
      <c r="AG44" s="111">
        <f t="shared" si="20"/>
        <v>2</v>
      </c>
      <c r="AH44" s="47"/>
      <c r="AI44" s="230">
        <f t="shared" si="40"/>
        <v>0</v>
      </c>
      <c r="AJ44" s="230">
        <f t="shared" si="57"/>
        <v>0</v>
      </c>
      <c r="AK44" s="230">
        <f t="shared" si="41"/>
        <v>0</v>
      </c>
      <c r="AL44" s="230">
        <f t="shared" si="42"/>
        <v>0</v>
      </c>
      <c r="AM44" s="230">
        <f t="shared" si="43"/>
        <v>0</v>
      </c>
      <c r="AN44" s="230">
        <f t="shared" si="44"/>
        <v>0</v>
      </c>
      <c r="AO44" s="230">
        <f t="shared" si="45"/>
        <v>0</v>
      </c>
      <c r="AP44" s="66">
        <f>SUM(AI44:AO44)</f>
        <v>0</v>
      </c>
      <c r="AQ44" s="110"/>
    </row>
    <row r="45" spans="1:45" x14ac:dyDescent="0.25">
      <c r="N45" s="196">
        <f>SUM(N47:N61)</f>
        <v>186006.49999999997</v>
      </c>
      <c r="AH45" s="196">
        <f>SUM(AH47:AH61)</f>
        <v>191894.49000000002</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316</v>
      </c>
      <c r="P46" s="10" t="s">
        <v>317</v>
      </c>
      <c r="Q46" s="10" t="s">
        <v>318</v>
      </c>
      <c r="R46" s="10" t="s">
        <v>319</v>
      </c>
      <c r="S46" s="10" t="s">
        <v>320</v>
      </c>
      <c r="T46" s="10" t="s">
        <v>321</v>
      </c>
      <c r="U46" s="10" t="s">
        <v>322</v>
      </c>
      <c r="V46" s="10" t="s">
        <v>323</v>
      </c>
      <c r="X46" s="10" t="s">
        <v>170</v>
      </c>
      <c r="Y46" s="10" t="str">
        <f>Y28</f>
        <v>Año</v>
      </c>
      <c r="Z46" s="10" t="str">
        <f>Z28</f>
        <v>Dia</v>
      </c>
      <c r="AA46" s="10" t="s">
        <v>15</v>
      </c>
      <c r="AB46" s="10" t="s">
        <v>16</v>
      </c>
      <c r="AC46" s="10" t="s">
        <v>17</v>
      </c>
      <c r="AD46" s="10" t="s">
        <v>18</v>
      </c>
      <c r="AE46" s="10" t="s">
        <v>19</v>
      </c>
      <c r="AF46" s="10" t="s">
        <v>20</v>
      </c>
      <c r="AG46" s="10" t="s">
        <v>6</v>
      </c>
      <c r="AH46" s="10" t="s">
        <v>68</v>
      </c>
      <c r="AI46" s="10" t="s">
        <v>316</v>
      </c>
      <c r="AJ46" s="10" t="s">
        <v>317</v>
      </c>
      <c r="AK46" s="10" t="s">
        <v>318</v>
      </c>
      <c r="AL46" s="10" t="s">
        <v>319</v>
      </c>
      <c r="AM46" s="10" t="s">
        <v>320</v>
      </c>
      <c r="AN46" s="10" t="s">
        <v>321</v>
      </c>
      <c r="AO46" s="10" t="s">
        <v>322</v>
      </c>
      <c r="AP46" s="10" t="s">
        <v>323</v>
      </c>
      <c r="AQ46" s="110"/>
    </row>
    <row r="47" spans="1:45" x14ac:dyDescent="0.25">
      <c r="A47" t="s">
        <v>29</v>
      </c>
      <c r="B47" s="15" t="str">
        <f>B29</f>
        <v>POR</v>
      </c>
      <c r="C47" s="18"/>
      <c r="D47" s="18" t="str">
        <f>D29</f>
        <v>Portero</v>
      </c>
      <c r="E47" s="18">
        <f>Y29</f>
        <v>23</v>
      </c>
      <c r="F47" s="18">
        <f>Z29</f>
        <v>1</v>
      </c>
      <c r="G47" s="111">
        <f>AA29</f>
        <v>16</v>
      </c>
      <c r="H47" s="111">
        <f t="shared" ref="H47:M47" si="61">AB29</f>
        <v>11.1</v>
      </c>
      <c r="I47" s="111">
        <f t="shared" si="61"/>
        <v>0</v>
      </c>
      <c r="J47" s="111">
        <f t="shared" si="61"/>
        <v>0</v>
      </c>
      <c r="K47" s="111">
        <f t="shared" si="61"/>
        <v>0</v>
      </c>
      <c r="L47" s="111">
        <f t="shared" si="61"/>
        <v>0</v>
      </c>
      <c r="M47" s="111">
        <f t="shared" si="61"/>
        <v>4</v>
      </c>
      <c r="N47" s="47">
        <f>AH29</f>
        <v>34428.239999999998</v>
      </c>
      <c r="O47" s="230">
        <f>AI29</f>
        <v>62</v>
      </c>
      <c r="P47" s="232">
        <f t="shared" ref="P47:U47" si="62">AJ29</f>
        <v>47</v>
      </c>
      <c r="Q47" s="232">
        <f t="shared" si="62"/>
        <v>0</v>
      </c>
      <c r="R47" s="232">
        <f t="shared" si="62"/>
        <v>0</v>
      </c>
      <c r="S47" s="232">
        <f t="shared" si="62"/>
        <v>0</v>
      </c>
      <c r="T47" s="232">
        <f t="shared" si="62"/>
        <v>0</v>
      </c>
      <c r="U47" s="232">
        <f t="shared" si="62"/>
        <v>2</v>
      </c>
      <c r="V47" s="66">
        <f>SUM(O47:U47)</f>
        <v>111</v>
      </c>
      <c r="X47" t="s">
        <v>29</v>
      </c>
      <c r="Y47" s="18">
        <v>23</v>
      </c>
      <c r="Z47" s="18">
        <f>F47+($AR$52*7)+($AR$53*7)-112</f>
        <v>71</v>
      </c>
      <c r="AA47" s="111">
        <f>G47</f>
        <v>16</v>
      </c>
      <c r="AB47" s="111">
        <f t="shared" ref="AB47:AF47" si="63">H47</f>
        <v>11.1</v>
      </c>
      <c r="AC47" s="111">
        <f t="shared" si="63"/>
        <v>0</v>
      </c>
      <c r="AD47" s="111">
        <f t="shared" si="63"/>
        <v>0</v>
      </c>
      <c r="AE47" s="111">
        <f t="shared" si="63"/>
        <v>0</v>
      </c>
      <c r="AF47" s="111">
        <f t="shared" si="63"/>
        <v>0</v>
      </c>
      <c r="AG47" s="111">
        <v>16</v>
      </c>
      <c r="AH47" s="47">
        <f>(31720+2300)*1.047</f>
        <v>35618.939999999995</v>
      </c>
      <c r="AI47" s="230">
        <f>O47</f>
        <v>62</v>
      </c>
      <c r="AJ47" s="232">
        <f t="shared" ref="AJ47:AN47" si="64">P47</f>
        <v>47</v>
      </c>
      <c r="AK47" s="232">
        <f t="shared" si="64"/>
        <v>0</v>
      </c>
      <c r="AL47" s="232">
        <f t="shared" si="64"/>
        <v>0</v>
      </c>
      <c r="AM47" s="232">
        <f t="shared" si="64"/>
        <v>0</v>
      </c>
      <c r="AN47" s="232">
        <f t="shared" si="64"/>
        <v>0</v>
      </c>
      <c r="AO47" s="232">
        <f>U47+($AR$52*1.25)</f>
        <v>20.75</v>
      </c>
      <c r="AP47" s="66">
        <f>SUM(AI47:AO47)</f>
        <v>129.75</v>
      </c>
      <c r="AQ47" s="110"/>
    </row>
    <row r="48" spans="1:45" x14ac:dyDescent="0.25">
      <c r="A48" t="s">
        <v>32</v>
      </c>
      <c r="B48" s="15" t="str">
        <f t="shared" ref="B48:D53" si="65">B30</f>
        <v>DEF</v>
      </c>
      <c r="C48" s="18" t="str">
        <f t="shared" si="65"/>
        <v>TEC</v>
      </c>
      <c r="D48" s="18" t="str">
        <f t="shared" si="65"/>
        <v>J. G. de Minaya</v>
      </c>
      <c r="E48" s="18">
        <f t="shared" ref="E48:G48" si="66">Y30</f>
        <v>23</v>
      </c>
      <c r="F48" s="18">
        <f t="shared" si="66"/>
        <v>48</v>
      </c>
      <c r="G48" s="111">
        <f t="shared" si="66"/>
        <v>0</v>
      </c>
      <c r="H48" s="111">
        <f t="shared" ref="H48:H59" si="67">AB30</f>
        <v>11.9</v>
      </c>
      <c r="I48" s="111">
        <f t="shared" ref="I48:I59" si="68">AC30</f>
        <v>5</v>
      </c>
      <c r="J48" s="111">
        <f t="shared" ref="J48:J59" si="69">AD30</f>
        <v>11.6</v>
      </c>
      <c r="K48" s="111">
        <f t="shared" ref="K48:K59" si="70">AE30</f>
        <v>6</v>
      </c>
      <c r="L48" s="111">
        <f t="shared" ref="L48:L59" si="71">AF30</f>
        <v>8</v>
      </c>
      <c r="M48" s="111">
        <f t="shared" ref="M48:M59" si="72">AG30</f>
        <v>0</v>
      </c>
      <c r="N48" s="47">
        <f t="shared" ref="N48:N59" si="73">AH30</f>
        <v>9225</v>
      </c>
      <c r="O48" s="232">
        <f t="shared" ref="O48:O59" si="74">AI30</f>
        <v>0</v>
      </c>
      <c r="P48" s="232">
        <f t="shared" ref="P48:P59" si="75">AJ30</f>
        <v>55</v>
      </c>
      <c r="Q48" s="232">
        <f t="shared" ref="Q48:Q59" si="76">AK30</f>
        <v>9</v>
      </c>
      <c r="R48" s="232">
        <f t="shared" ref="R48:R59" si="77">AL30</f>
        <v>31</v>
      </c>
      <c r="S48" s="232">
        <f t="shared" ref="S48:S59" si="78">AM30</f>
        <v>10</v>
      </c>
      <c r="T48" s="232">
        <f t="shared" ref="T48:T59" si="79">AN30</f>
        <v>21</v>
      </c>
      <c r="U48" s="232">
        <f t="shared" ref="U48:U59" si="80">AO30</f>
        <v>0</v>
      </c>
      <c r="V48" s="66">
        <f>SUM(O48:U48)</f>
        <v>126</v>
      </c>
      <c r="X48" t="s">
        <v>32</v>
      </c>
      <c r="Y48" s="18">
        <v>24</v>
      </c>
      <c r="Z48" s="18">
        <f t="shared" ref="Z48:Z58" si="81">F48+($AR$52*7)+($AR$53*7)-112-112</f>
        <v>6</v>
      </c>
      <c r="AA48" s="111">
        <f t="shared" ref="AA48:AA59" si="82">G48</f>
        <v>0</v>
      </c>
      <c r="AB48" s="111">
        <f t="shared" ref="AB48:AB59" si="83">H48</f>
        <v>11.9</v>
      </c>
      <c r="AC48" s="111">
        <f t="shared" ref="AC48:AC59" si="84">I48</f>
        <v>5</v>
      </c>
      <c r="AD48" s="111">
        <f t="shared" ref="AD48:AD59" si="85">J48</f>
        <v>11.6</v>
      </c>
      <c r="AE48" s="111">
        <v>8.5</v>
      </c>
      <c r="AF48" s="111">
        <f t="shared" ref="AF48:AF59" si="86">L48</f>
        <v>8</v>
      </c>
      <c r="AG48" s="111">
        <v>14.5</v>
      </c>
      <c r="AH48" s="47">
        <f>(6750+135+1800+135+405)*1.04</f>
        <v>9594</v>
      </c>
      <c r="AI48" s="232">
        <f t="shared" ref="AI48:AI59" si="87">O48</f>
        <v>0</v>
      </c>
      <c r="AJ48" s="232">
        <f t="shared" ref="AJ48:AJ59" si="88">P48</f>
        <v>55</v>
      </c>
      <c r="AK48" s="232">
        <f t="shared" ref="AK48:AK59" si="89">Q48</f>
        <v>9</v>
      </c>
      <c r="AL48" s="232">
        <f t="shared" ref="AL48:AL59" si="90">R48</f>
        <v>31</v>
      </c>
      <c r="AM48" s="232">
        <f>S48+$AR$53</f>
        <v>21</v>
      </c>
      <c r="AN48" s="232">
        <f t="shared" ref="AN48:AN59" si="91">T48</f>
        <v>21</v>
      </c>
      <c r="AO48" s="232">
        <f t="shared" ref="AO48:AO59" si="92">U48+$AR$52</f>
        <v>15</v>
      </c>
      <c r="AP48" s="66">
        <f>SUM(AI48:AO48)</f>
        <v>152</v>
      </c>
      <c r="AQ48" s="110"/>
    </row>
    <row r="49" spans="1:45" x14ac:dyDescent="0.25">
      <c r="A49" t="s">
        <v>33</v>
      </c>
      <c r="B49" s="15" t="str">
        <f t="shared" si="65"/>
        <v>DEF</v>
      </c>
      <c r="C49" s="18" t="str">
        <f t="shared" si="65"/>
        <v>IMP/RAP</v>
      </c>
      <c r="D49" s="18" t="str">
        <f t="shared" si="65"/>
        <v>Defensa</v>
      </c>
      <c r="E49" s="18">
        <f t="shared" ref="E49:G49" si="93">Y31</f>
        <v>23</v>
      </c>
      <c r="F49" s="18">
        <f t="shared" si="93"/>
        <v>1</v>
      </c>
      <c r="G49" s="111">
        <f t="shared" si="93"/>
        <v>0</v>
      </c>
      <c r="H49" s="111">
        <f t="shared" si="67"/>
        <v>14.5</v>
      </c>
      <c r="I49" s="111">
        <f t="shared" si="68"/>
        <v>5</v>
      </c>
      <c r="J49" s="111">
        <f t="shared" si="69"/>
        <v>2</v>
      </c>
      <c r="K49" s="111">
        <f t="shared" si="70"/>
        <v>8</v>
      </c>
      <c r="L49" s="111">
        <f t="shared" si="71"/>
        <v>4</v>
      </c>
      <c r="M49" s="111">
        <f t="shared" si="72"/>
        <v>2</v>
      </c>
      <c r="N49" s="47">
        <f t="shared" si="73"/>
        <v>23264.639999999999</v>
      </c>
      <c r="O49" s="232">
        <f t="shared" si="74"/>
        <v>0</v>
      </c>
      <c r="P49" s="232">
        <f t="shared" si="75"/>
        <v>87</v>
      </c>
      <c r="Q49" s="232">
        <f t="shared" si="76"/>
        <v>9</v>
      </c>
      <c r="R49" s="232">
        <f t="shared" si="77"/>
        <v>0</v>
      </c>
      <c r="S49" s="232">
        <f t="shared" si="78"/>
        <v>18</v>
      </c>
      <c r="T49" s="232">
        <f t="shared" si="79"/>
        <v>5</v>
      </c>
      <c r="U49" s="232">
        <f t="shared" si="80"/>
        <v>0</v>
      </c>
      <c r="V49" s="66">
        <f>SUM(O49:U49)</f>
        <v>119</v>
      </c>
      <c r="X49" t="s">
        <v>33</v>
      </c>
      <c r="Y49" s="18">
        <v>23</v>
      </c>
      <c r="Z49" s="18">
        <f t="shared" ref="Z49:Z54" si="94">F49+($AR$52*7)+($AR$53*7)-112</f>
        <v>71</v>
      </c>
      <c r="AA49" s="111">
        <f t="shared" si="82"/>
        <v>0</v>
      </c>
      <c r="AB49" s="111">
        <f t="shared" si="83"/>
        <v>14.5</v>
      </c>
      <c r="AC49" s="111">
        <f t="shared" si="84"/>
        <v>5</v>
      </c>
      <c r="AD49" s="111">
        <f t="shared" si="85"/>
        <v>2</v>
      </c>
      <c r="AE49" s="111">
        <v>10</v>
      </c>
      <c r="AF49" s="111">
        <f t="shared" si="86"/>
        <v>4</v>
      </c>
      <c r="AG49" s="111">
        <v>14.5</v>
      </c>
      <c r="AH49" s="47">
        <f>(22685+135+135+125)*1.04</f>
        <v>24003.200000000001</v>
      </c>
      <c r="AI49" s="232">
        <f t="shared" si="87"/>
        <v>0</v>
      </c>
      <c r="AJ49" s="232">
        <f t="shared" si="88"/>
        <v>87</v>
      </c>
      <c r="AK49" s="232">
        <f t="shared" si="89"/>
        <v>9</v>
      </c>
      <c r="AL49" s="232">
        <f t="shared" si="90"/>
        <v>0</v>
      </c>
      <c r="AM49" s="232">
        <f t="shared" ref="AM49:AM59" si="95">S49+$AR$53</f>
        <v>29</v>
      </c>
      <c r="AN49" s="232">
        <f t="shared" si="91"/>
        <v>5</v>
      </c>
      <c r="AO49" s="232">
        <f t="shared" si="92"/>
        <v>15</v>
      </c>
      <c r="AP49" s="66">
        <f>SUM(AI49:AO49)</f>
        <v>145</v>
      </c>
      <c r="AQ49" s="110"/>
    </row>
    <row r="50" spans="1:45" x14ac:dyDescent="0.25">
      <c r="A50" t="s">
        <v>39</v>
      </c>
      <c r="B50" s="15" t="str">
        <f t="shared" si="65"/>
        <v>DEF</v>
      </c>
      <c r="C50" s="18" t="str">
        <f t="shared" si="65"/>
        <v>IMP/RAP</v>
      </c>
      <c r="D50" s="18" t="str">
        <f t="shared" si="65"/>
        <v>Defensa</v>
      </c>
      <c r="E50" s="18">
        <f t="shared" ref="E50:G50" si="96">Y32</f>
        <v>23</v>
      </c>
      <c r="F50" s="18">
        <f t="shared" si="96"/>
        <v>1</v>
      </c>
      <c r="G50" s="111">
        <f t="shared" si="96"/>
        <v>0</v>
      </c>
      <c r="H50" s="111">
        <f t="shared" si="67"/>
        <v>14.5</v>
      </c>
      <c r="I50" s="111">
        <f t="shared" si="68"/>
        <v>5</v>
      </c>
      <c r="J50" s="111">
        <f t="shared" si="69"/>
        <v>2</v>
      </c>
      <c r="K50" s="111">
        <f t="shared" si="70"/>
        <v>8</v>
      </c>
      <c r="L50" s="111">
        <f t="shared" si="71"/>
        <v>4</v>
      </c>
      <c r="M50" s="111">
        <f t="shared" si="72"/>
        <v>2</v>
      </c>
      <c r="N50" s="47">
        <f t="shared" si="73"/>
        <v>23264.639999999999</v>
      </c>
      <c r="O50" s="232">
        <f t="shared" si="74"/>
        <v>0</v>
      </c>
      <c r="P50" s="232">
        <f t="shared" si="75"/>
        <v>87</v>
      </c>
      <c r="Q50" s="232">
        <f t="shared" si="76"/>
        <v>9</v>
      </c>
      <c r="R50" s="232">
        <f t="shared" si="77"/>
        <v>0</v>
      </c>
      <c r="S50" s="232">
        <f t="shared" si="78"/>
        <v>18</v>
      </c>
      <c r="T50" s="232">
        <f t="shared" si="79"/>
        <v>5</v>
      </c>
      <c r="U50" s="232">
        <f t="shared" si="80"/>
        <v>0</v>
      </c>
      <c r="V50" s="66">
        <f>SUM(O50:U50)</f>
        <v>119</v>
      </c>
      <c r="X50" t="s">
        <v>39</v>
      </c>
      <c r="Y50" s="18">
        <v>23</v>
      </c>
      <c r="Z50" s="18">
        <f t="shared" si="94"/>
        <v>71</v>
      </c>
      <c r="AA50" s="111">
        <f t="shared" si="82"/>
        <v>0</v>
      </c>
      <c r="AB50" s="111">
        <f t="shared" si="83"/>
        <v>14.5</v>
      </c>
      <c r="AC50" s="111">
        <f t="shared" si="84"/>
        <v>5</v>
      </c>
      <c r="AD50" s="111">
        <f t="shared" si="85"/>
        <v>2</v>
      </c>
      <c r="AE50" s="111">
        <v>10</v>
      </c>
      <c r="AF50" s="111">
        <f t="shared" si="86"/>
        <v>4</v>
      </c>
      <c r="AG50" s="111">
        <v>14.5</v>
      </c>
      <c r="AH50" s="47">
        <f>(22685+135+135+125)*1.04</f>
        <v>24003.200000000001</v>
      </c>
      <c r="AI50" s="232">
        <f t="shared" si="87"/>
        <v>0</v>
      </c>
      <c r="AJ50" s="232">
        <f t="shared" si="88"/>
        <v>87</v>
      </c>
      <c r="AK50" s="232">
        <f t="shared" si="89"/>
        <v>9</v>
      </c>
      <c r="AL50" s="232">
        <f t="shared" si="90"/>
        <v>0</v>
      </c>
      <c r="AM50" s="232">
        <f t="shared" si="95"/>
        <v>29</v>
      </c>
      <c r="AN50" s="232">
        <f t="shared" si="91"/>
        <v>5</v>
      </c>
      <c r="AO50" s="232">
        <f t="shared" si="92"/>
        <v>15</v>
      </c>
      <c r="AP50" s="66">
        <f>SUM(AI50:AO50)</f>
        <v>145</v>
      </c>
      <c r="AQ50" s="110"/>
    </row>
    <row r="51" spans="1:45" x14ac:dyDescent="0.25">
      <c r="A51" t="s">
        <v>41</v>
      </c>
      <c r="B51" s="15" t="str">
        <f t="shared" si="65"/>
        <v>DEF</v>
      </c>
      <c r="C51" s="18" t="str">
        <f t="shared" si="65"/>
        <v>IMP/RAP</v>
      </c>
      <c r="D51" s="18" t="str">
        <f t="shared" si="65"/>
        <v>Defensa</v>
      </c>
      <c r="E51" s="18">
        <f t="shared" ref="E51:G51" si="97">Y33</f>
        <v>23</v>
      </c>
      <c r="F51" s="18">
        <f t="shared" si="97"/>
        <v>1</v>
      </c>
      <c r="G51" s="111">
        <f t="shared" si="97"/>
        <v>0</v>
      </c>
      <c r="H51" s="111">
        <f t="shared" si="67"/>
        <v>14.5</v>
      </c>
      <c r="I51" s="111">
        <f t="shared" si="68"/>
        <v>5</v>
      </c>
      <c r="J51" s="111">
        <f t="shared" si="69"/>
        <v>2</v>
      </c>
      <c r="K51" s="111">
        <f t="shared" si="70"/>
        <v>8</v>
      </c>
      <c r="L51" s="111">
        <f t="shared" si="71"/>
        <v>4</v>
      </c>
      <c r="M51" s="111">
        <f t="shared" si="72"/>
        <v>2</v>
      </c>
      <c r="N51" s="47">
        <f t="shared" si="73"/>
        <v>23264.639999999999</v>
      </c>
      <c r="O51" s="232">
        <f t="shared" si="74"/>
        <v>0</v>
      </c>
      <c r="P51" s="232">
        <f t="shared" si="75"/>
        <v>87</v>
      </c>
      <c r="Q51" s="232">
        <f t="shared" si="76"/>
        <v>9</v>
      </c>
      <c r="R51" s="232">
        <f t="shared" si="77"/>
        <v>0</v>
      </c>
      <c r="S51" s="232">
        <f t="shared" si="78"/>
        <v>18</v>
      </c>
      <c r="T51" s="232">
        <f t="shared" si="79"/>
        <v>5</v>
      </c>
      <c r="U51" s="232">
        <f t="shared" si="80"/>
        <v>0</v>
      </c>
      <c r="V51" s="66">
        <f t="shared" ref="V51:V57" si="98">SUM(O51:U51)</f>
        <v>119</v>
      </c>
      <c r="X51" t="s">
        <v>41</v>
      </c>
      <c r="Y51" s="18">
        <v>23</v>
      </c>
      <c r="Z51" s="18">
        <f t="shared" si="94"/>
        <v>71</v>
      </c>
      <c r="AA51" s="111">
        <f t="shared" si="82"/>
        <v>0</v>
      </c>
      <c r="AB51" s="111">
        <f t="shared" si="83"/>
        <v>14.5</v>
      </c>
      <c r="AC51" s="111">
        <f t="shared" si="84"/>
        <v>5</v>
      </c>
      <c r="AD51" s="111">
        <f t="shared" si="85"/>
        <v>2</v>
      </c>
      <c r="AE51" s="111">
        <v>10</v>
      </c>
      <c r="AF51" s="111">
        <f t="shared" si="86"/>
        <v>4</v>
      </c>
      <c r="AG51" s="111">
        <v>14.5</v>
      </c>
      <c r="AH51" s="47">
        <f>(22685+135+135+125)*1.04</f>
        <v>24003.200000000001</v>
      </c>
      <c r="AI51" s="232">
        <f t="shared" si="87"/>
        <v>0</v>
      </c>
      <c r="AJ51" s="232">
        <f t="shared" si="88"/>
        <v>87</v>
      </c>
      <c r="AK51" s="232">
        <f t="shared" si="89"/>
        <v>9</v>
      </c>
      <c r="AL51" s="232">
        <f t="shared" si="90"/>
        <v>0</v>
      </c>
      <c r="AM51" s="232">
        <f t="shared" si="95"/>
        <v>29</v>
      </c>
      <c r="AN51" s="232">
        <f t="shared" si="91"/>
        <v>5</v>
      </c>
      <c r="AO51" s="232">
        <f t="shared" si="92"/>
        <v>15</v>
      </c>
      <c r="AP51" s="66">
        <f t="shared" ref="AP51:AP57" si="99">SUM(AI51:AO51)</f>
        <v>145</v>
      </c>
      <c r="AQ51" s="110"/>
      <c r="AR51" t="s">
        <v>364</v>
      </c>
      <c r="AS51" t="s">
        <v>365</v>
      </c>
    </row>
    <row r="52" spans="1:45" x14ac:dyDescent="0.25">
      <c r="A52" t="s">
        <v>38</v>
      </c>
      <c r="B52" s="15" t="str">
        <f t="shared" si="65"/>
        <v>DEF</v>
      </c>
      <c r="C52" s="18" t="str">
        <f t="shared" si="65"/>
        <v>IMP/RAP</v>
      </c>
      <c r="D52" s="18" t="str">
        <f t="shared" ref="D52:D59" si="100">D34</f>
        <v>Defensa</v>
      </c>
      <c r="E52" s="18">
        <f t="shared" ref="E52:G52" si="101">Y34</f>
        <v>23</v>
      </c>
      <c r="F52" s="18">
        <f t="shared" si="101"/>
        <v>1</v>
      </c>
      <c r="G52" s="111">
        <f t="shared" si="101"/>
        <v>0</v>
      </c>
      <c r="H52" s="111">
        <f t="shared" si="67"/>
        <v>14.5</v>
      </c>
      <c r="I52" s="111">
        <f t="shared" si="68"/>
        <v>5</v>
      </c>
      <c r="J52" s="111">
        <f t="shared" si="69"/>
        <v>2</v>
      </c>
      <c r="K52" s="111">
        <f t="shared" si="70"/>
        <v>8</v>
      </c>
      <c r="L52" s="111">
        <f t="shared" si="71"/>
        <v>4</v>
      </c>
      <c r="M52" s="111">
        <f t="shared" si="72"/>
        <v>2</v>
      </c>
      <c r="N52" s="47">
        <f t="shared" si="73"/>
        <v>23264.639999999999</v>
      </c>
      <c r="O52" s="232">
        <f t="shared" si="74"/>
        <v>0</v>
      </c>
      <c r="P52" s="232">
        <f t="shared" si="75"/>
        <v>87</v>
      </c>
      <c r="Q52" s="232">
        <f t="shared" si="76"/>
        <v>9</v>
      </c>
      <c r="R52" s="232">
        <f t="shared" si="77"/>
        <v>0</v>
      </c>
      <c r="S52" s="232">
        <f t="shared" si="78"/>
        <v>18</v>
      </c>
      <c r="T52" s="232">
        <f t="shared" si="79"/>
        <v>5</v>
      </c>
      <c r="U52" s="232">
        <f t="shared" si="80"/>
        <v>0</v>
      </c>
      <c r="V52" s="66">
        <f t="shared" si="98"/>
        <v>119</v>
      </c>
      <c r="X52" t="s">
        <v>38</v>
      </c>
      <c r="Y52" s="18">
        <v>23</v>
      </c>
      <c r="Z52" s="18">
        <f t="shared" si="94"/>
        <v>71</v>
      </c>
      <c r="AA52" s="111">
        <f t="shared" si="82"/>
        <v>0</v>
      </c>
      <c r="AB52" s="111">
        <f t="shared" si="83"/>
        <v>14.5</v>
      </c>
      <c r="AC52" s="111">
        <f t="shared" si="84"/>
        <v>5</v>
      </c>
      <c r="AD52" s="111">
        <f t="shared" si="85"/>
        <v>2</v>
      </c>
      <c r="AE52" s="111">
        <v>10</v>
      </c>
      <c r="AF52" s="111">
        <f t="shared" si="86"/>
        <v>4</v>
      </c>
      <c r="AG52" s="111">
        <v>14.5</v>
      </c>
      <c r="AH52" s="47">
        <f>(22685+135+135+125)*1.04</f>
        <v>24003.200000000001</v>
      </c>
      <c r="AI52" s="232">
        <f t="shared" si="87"/>
        <v>0</v>
      </c>
      <c r="AJ52" s="232">
        <f t="shared" si="88"/>
        <v>87</v>
      </c>
      <c r="AK52" s="232">
        <f t="shared" si="89"/>
        <v>9</v>
      </c>
      <c r="AL52" s="232">
        <f t="shared" si="90"/>
        <v>0</v>
      </c>
      <c r="AM52" s="232">
        <f t="shared" si="95"/>
        <v>29</v>
      </c>
      <c r="AN52" s="232">
        <f t="shared" si="91"/>
        <v>5</v>
      </c>
      <c r="AO52" s="232">
        <f t="shared" si="92"/>
        <v>15</v>
      </c>
      <c r="AP52" s="66">
        <f t="shared" si="99"/>
        <v>145</v>
      </c>
      <c r="AQ52" s="110" t="s">
        <v>47</v>
      </c>
      <c r="AR52">
        <v>15</v>
      </c>
      <c r="AS52" s="37">
        <f>AR52/16</f>
        <v>0.9375</v>
      </c>
    </row>
    <row r="53" spans="1:45" x14ac:dyDescent="0.25">
      <c r="A53" t="s">
        <v>35</v>
      </c>
      <c r="B53" s="15" t="str">
        <f t="shared" si="65"/>
        <v>DEF</v>
      </c>
      <c r="C53" s="18" t="str">
        <f t="shared" si="65"/>
        <v>IMP</v>
      </c>
      <c r="D53" s="18" t="str">
        <f t="shared" si="100"/>
        <v>F. Añigas</v>
      </c>
      <c r="E53" s="18">
        <f t="shared" ref="E53:G53" si="102">Y35</f>
        <v>23</v>
      </c>
      <c r="F53" s="18">
        <f t="shared" si="102"/>
        <v>38</v>
      </c>
      <c r="G53" s="111">
        <f t="shared" si="102"/>
        <v>0</v>
      </c>
      <c r="H53" s="111">
        <f t="shared" si="67"/>
        <v>12.818181818181818</v>
      </c>
      <c r="I53" s="111">
        <f t="shared" si="68"/>
        <v>4</v>
      </c>
      <c r="J53" s="111">
        <f t="shared" si="69"/>
        <v>13</v>
      </c>
      <c r="K53" s="111">
        <f t="shared" si="70"/>
        <v>4</v>
      </c>
      <c r="L53" s="111">
        <f t="shared" si="71"/>
        <v>7</v>
      </c>
      <c r="M53" s="111">
        <f t="shared" si="72"/>
        <v>3</v>
      </c>
      <c r="N53" s="47">
        <f t="shared" si="73"/>
        <v>12958.66</v>
      </c>
      <c r="O53" s="232">
        <f t="shared" si="74"/>
        <v>0</v>
      </c>
      <c r="P53" s="232">
        <f t="shared" si="75"/>
        <v>65</v>
      </c>
      <c r="Q53" s="232">
        <f t="shared" si="76"/>
        <v>6</v>
      </c>
      <c r="R53" s="232">
        <f t="shared" si="77"/>
        <v>40</v>
      </c>
      <c r="S53" s="232">
        <f t="shared" si="78"/>
        <v>4</v>
      </c>
      <c r="T53" s="232">
        <f t="shared" si="79"/>
        <v>16</v>
      </c>
      <c r="U53" s="232">
        <f t="shared" si="80"/>
        <v>1</v>
      </c>
      <c r="V53" s="66">
        <f t="shared" si="98"/>
        <v>132</v>
      </c>
      <c r="X53" t="s">
        <v>35</v>
      </c>
      <c r="Y53" s="18">
        <v>23</v>
      </c>
      <c r="Z53" s="18">
        <f t="shared" si="94"/>
        <v>108</v>
      </c>
      <c r="AA53" s="111">
        <f t="shared" si="82"/>
        <v>0</v>
      </c>
      <c r="AB53" s="111">
        <f t="shared" si="83"/>
        <v>12.818181818181818</v>
      </c>
      <c r="AC53" s="111">
        <f t="shared" si="84"/>
        <v>4</v>
      </c>
      <c r="AD53" s="111">
        <f t="shared" si="85"/>
        <v>13</v>
      </c>
      <c r="AE53" s="111">
        <v>7.25</v>
      </c>
      <c r="AF53" s="111">
        <f t="shared" si="86"/>
        <v>7</v>
      </c>
      <c r="AG53" s="111">
        <v>14</v>
      </c>
      <c r="AH53" s="47">
        <f>(7010+125+5300+125+245)*1.04</f>
        <v>13317.2</v>
      </c>
      <c r="AI53" s="232">
        <f t="shared" si="87"/>
        <v>0</v>
      </c>
      <c r="AJ53" s="232">
        <f t="shared" si="88"/>
        <v>65</v>
      </c>
      <c r="AK53" s="232">
        <f t="shared" si="89"/>
        <v>6</v>
      </c>
      <c r="AL53" s="232">
        <f t="shared" si="90"/>
        <v>40</v>
      </c>
      <c r="AM53" s="232">
        <f t="shared" si="95"/>
        <v>15</v>
      </c>
      <c r="AN53" s="232">
        <f t="shared" si="91"/>
        <v>16</v>
      </c>
      <c r="AO53" s="232">
        <f t="shared" si="92"/>
        <v>16</v>
      </c>
      <c r="AP53" s="66">
        <f t="shared" si="99"/>
        <v>158</v>
      </c>
      <c r="AQ53" s="110" t="s">
        <v>312</v>
      </c>
      <c r="AR53">
        <v>11</v>
      </c>
    </row>
    <row r="54" spans="1:45" x14ac:dyDescent="0.25">
      <c r="A54" t="s">
        <v>31</v>
      </c>
      <c r="B54" s="15" t="s">
        <v>30</v>
      </c>
      <c r="C54" s="18" t="str">
        <f t="shared" ref="C54:C59" si="103">C36</f>
        <v>IMP</v>
      </c>
      <c r="D54" s="18" t="str">
        <f t="shared" si="100"/>
        <v>V. Gomis</v>
      </c>
      <c r="E54" s="18">
        <f t="shared" ref="E54:G54" si="104">Y36</f>
        <v>23</v>
      </c>
      <c r="F54" s="18">
        <f t="shared" si="104"/>
        <v>38</v>
      </c>
      <c r="G54" s="111">
        <f t="shared" si="104"/>
        <v>0</v>
      </c>
      <c r="H54" s="111">
        <f t="shared" si="67"/>
        <v>11.9</v>
      </c>
      <c r="I54" s="111">
        <f t="shared" si="68"/>
        <v>3</v>
      </c>
      <c r="J54" s="111">
        <f t="shared" si="69"/>
        <v>12</v>
      </c>
      <c r="K54" s="111">
        <f t="shared" si="70"/>
        <v>6</v>
      </c>
      <c r="L54" s="111">
        <f t="shared" si="71"/>
        <v>7</v>
      </c>
      <c r="M54" s="111">
        <f t="shared" si="72"/>
        <v>3</v>
      </c>
      <c r="N54" s="47">
        <f t="shared" si="73"/>
        <v>7367.36</v>
      </c>
      <c r="O54" s="232">
        <f t="shared" si="74"/>
        <v>0</v>
      </c>
      <c r="P54" s="232">
        <f t="shared" si="75"/>
        <v>55</v>
      </c>
      <c r="Q54" s="232">
        <f t="shared" si="76"/>
        <v>3</v>
      </c>
      <c r="R54" s="232">
        <f t="shared" si="77"/>
        <v>33</v>
      </c>
      <c r="S54" s="232">
        <f t="shared" si="78"/>
        <v>10</v>
      </c>
      <c r="T54" s="232">
        <f t="shared" si="79"/>
        <v>16</v>
      </c>
      <c r="U54" s="232">
        <f t="shared" si="80"/>
        <v>1</v>
      </c>
      <c r="V54" s="66">
        <f t="shared" si="98"/>
        <v>118</v>
      </c>
      <c r="X54" t="s">
        <v>31</v>
      </c>
      <c r="Y54" s="18">
        <v>23</v>
      </c>
      <c r="Z54" s="18">
        <f t="shared" si="94"/>
        <v>108</v>
      </c>
      <c r="AA54" s="111">
        <f t="shared" si="82"/>
        <v>0</v>
      </c>
      <c r="AB54" s="111">
        <f t="shared" si="83"/>
        <v>11.9</v>
      </c>
      <c r="AC54" s="111">
        <f t="shared" si="84"/>
        <v>3</v>
      </c>
      <c r="AD54" s="111">
        <f t="shared" si="85"/>
        <v>12</v>
      </c>
      <c r="AE54" s="111">
        <v>8.5</v>
      </c>
      <c r="AF54" s="111">
        <f t="shared" si="86"/>
        <v>7</v>
      </c>
      <c r="AG54" s="111">
        <v>14</v>
      </c>
      <c r="AH54" s="47">
        <f>(3590+3300+145+245)*1.04</f>
        <v>7571.2</v>
      </c>
      <c r="AI54" s="232">
        <f t="shared" si="87"/>
        <v>0</v>
      </c>
      <c r="AJ54" s="232">
        <f t="shared" si="88"/>
        <v>55</v>
      </c>
      <c r="AK54" s="232">
        <f t="shared" si="89"/>
        <v>3</v>
      </c>
      <c r="AL54" s="232">
        <f t="shared" si="90"/>
        <v>33</v>
      </c>
      <c r="AM54" s="232">
        <f t="shared" si="95"/>
        <v>21</v>
      </c>
      <c r="AN54" s="232">
        <f t="shared" si="91"/>
        <v>16</v>
      </c>
      <c r="AO54" s="232">
        <f t="shared" si="92"/>
        <v>16</v>
      </c>
      <c r="AP54" s="66">
        <f t="shared" si="99"/>
        <v>144</v>
      </c>
      <c r="AQ54" s="110"/>
    </row>
    <row r="55" spans="1:45" x14ac:dyDescent="0.25">
      <c r="A55" t="s">
        <v>43</v>
      </c>
      <c r="B55" s="15" t="str">
        <f t="shared" ref="B55:B62" si="105">B37</f>
        <v>INN</v>
      </c>
      <c r="C55" s="18"/>
      <c r="D55" s="18"/>
      <c r="E55" s="18"/>
      <c r="F55" s="18"/>
      <c r="G55" s="111"/>
      <c r="H55" s="111"/>
      <c r="I55" s="111"/>
      <c r="J55" s="111"/>
      <c r="K55" s="111"/>
      <c r="L55" s="111"/>
      <c r="M55" s="111"/>
      <c r="N55" s="47"/>
      <c r="O55" s="232"/>
      <c r="P55" s="232"/>
      <c r="Q55" s="232"/>
      <c r="R55" s="232"/>
      <c r="S55" s="232"/>
      <c r="T55" s="232"/>
      <c r="U55" s="232"/>
      <c r="V55" s="66">
        <f t="shared" si="98"/>
        <v>0</v>
      </c>
      <c r="X55" t="s">
        <v>43</v>
      </c>
      <c r="Y55" s="18"/>
      <c r="Z55" s="18"/>
      <c r="AA55" s="111"/>
      <c r="AB55" s="111"/>
      <c r="AC55" s="111"/>
      <c r="AD55" s="111"/>
      <c r="AE55" s="111"/>
      <c r="AF55" s="111"/>
      <c r="AG55" s="111"/>
      <c r="AH55" s="47"/>
      <c r="AI55" s="232"/>
      <c r="AJ55" s="232"/>
      <c r="AK55" s="232"/>
      <c r="AL55" s="232"/>
      <c r="AM55" s="232"/>
      <c r="AN55" s="232"/>
      <c r="AO55" s="232"/>
      <c r="AP55" s="66">
        <f t="shared" si="99"/>
        <v>0</v>
      </c>
      <c r="AQ55" s="110"/>
    </row>
    <row r="56" spans="1:45" x14ac:dyDescent="0.25">
      <c r="A56" t="s">
        <v>37</v>
      </c>
      <c r="B56" s="15" t="str">
        <f t="shared" si="105"/>
        <v>INN</v>
      </c>
      <c r="C56" s="18"/>
      <c r="D56" s="18"/>
      <c r="E56" s="18"/>
      <c r="F56" s="18"/>
      <c r="G56" s="111"/>
      <c r="H56" s="111"/>
      <c r="I56" s="111"/>
      <c r="J56" s="111"/>
      <c r="K56" s="111"/>
      <c r="L56" s="111"/>
      <c r="M56" s="111"/>
      <c r="N56" s="47"/>
      <c r="O56" s="232"/>
      <c r="P56" s="232"/>
      <c r="Q56" s="232"/>
      <c r="R56" s="232"/>
      <c r="S56" s="232"/>
      <c r="T56" s="232"/>
      <c r="U56" s="232"/>
      <c r="V56" s="66">
        <f t="shared" si="98"/>
        <v>0</v>
      </c>
      <c r="X56" t="s">
        <v>37</v>
      </c>
      <c r="Y56" s="18"/>
      <c r="Z56" s="18"/>
      <c r="AA56" s="111"/>
      <c r="AB56" s="111"/>
      <c r="AC56" s="111"/>
      <c r="AD56" s="111"/>
      <c r="AE56" s="111"/>
      <c r="AF56" s="111"/>
      <c r="AG56" s="111"/>
      <c r="AH56" s="47"/>
      <c r="AI56" s="232"/>
      <c r="AJ56" s="232"/>
      <c r="AK56" s="232"/>
      <c r="AL56" s="232"/>
      <c r="AM56" s="232"/>
      <c r="AN56" s="232"/>
      <c r="AO56" s="232"/>
      <c r="AP56" s="66">
        <f t="shared" si="99"/>
        <v>0</v>
      </c>
      <c r="AQ56" s="110"/>
    </row>
    <row r="57" spans="1:45" x14ac:dyDescent="0.25">
      <c r="A57" t="s">
        <v>36</v>
      </c>
      <c r="B57" s="15" t="str">
        <f t="shared" si="105"/>
        <v>EXT</v>
      </c>
      <c r="C57" s="18" t="str">
        <f t="shared" si="103"/>
        <v>RAP</v>
      </c>
      <c r="D57" s="18" t="str">
        <f t="shared" si="100"/>
        <v>E. Cubas</v>
      </c>
      <c r="E57" s="18">
        <f t="shared" ref="E57:F57" si="106">Y39</f>
        <v>23</v>
      </c>
      <c r="F57" s="18">
        <f t="shared" si="106"/>
        <v>34</v>
      </c>
      <c r="G57" s="111">
        <f t="shared" ref="G57:G59" si="107">AA39</f>
        <v>0</v>
      </c>
      <c r="H57" s="111">
        <f t="shared" si="67"/>
        <v>10.444444444444445</v>
      </c>
      <c r="I57" s="111">
        <f t="shared" si="68"/>
        <v>5.7</v>
      </c>
      <c r="J57" s="111">
        <f t="shared" si="69"/>
        <v>14.428571428571429</v>
      </c>
      <c r="K57" s="111">
        <f t="shared" si="70"/>
        <v>6</v>
      </c>
      <c r="L57" s="111">
        <f t="shared" si="71"/>
        <v>7</v>
      </c>
      <c r="M57" s="111">
        <f t="shared" si="72"/>
        <v>5</v>
      </c>
      <c r="N57" s="47">
        <f t="shared" si="73"/>
        <v>11612.880000000001</v>
      </c>
      <c r="O57" s="232">
        <f t="shared" si="74"/>
        <v>0</v>
      </c>
      <c r="P57" s="232">
        <f t="shared" si="75"/>
        <v>41</v>
      </c>
      <c r="Q57" s="232">
        <f t="shared" si="76"/>
        <v>13</v>
      </c>
      <c r="R57" s="232">
        <f t="shared" si="77"/>
        <v>50</v>
      </c>
      <c r="S57" s="232">
        <f t="shared" si="78"/>
        <v>10</v>
      </c>
      <c r="T57" s="232">
        <f t="shared" si="79"/>
        <v>16</v>
      </c>
      <c r="U57" s="232">
        <f t="shared" si="80"/>
        <v>3</v>
      </c>
      <c r="V57" s="66">
        <f t="shared" si="98"/>
        <v>133</v>
      </c>
      <c r="X57" t="s">
        <v>36</v>
      </c>
      <c r="Y57" s="18">
        <v>23</v>
      </c>
      <c r="Z57" s="18">
        <f>F57+($AR$52*7)+($AR$53*7)-112</f>
        <v>104</v>
      </c>
      <c r="AA57" s="111">
        <f t="shared" si="82"/>
        <v>0</v>
      </c>
      <c r="AB57" s="111">
        <f t="shared" si="83"/>
        <v>10.444444444444445</v>
      </c>
      <c r="AC57" s="111">
        <f t="shared" si="84"/>
        <v>5.7</v>
      </c>
      <c r="AD57" s="111">
        <f t="shared" si="85"/>
        <v>14.428571428571429</v>
      </c>
      <c r="AE57" s="111">
        <v>8.5</v>
      </c>
      <c r="AF57" s="111">
        <f t="shared" si="86"/>
        <v>7</v>
      </c>
      <c r="AG57" s="111">
        <v>15</v>
      </c>
      <c r="AH57" s="47">
        <f>(9540+1350+150+145+245)*1.045</f>
        <v>11944.349999999999</v>
      </c>
      <c r="AI57" s="232">
        <f t="shared" si="87"/>
        <v>0</v>
      </c>
      <c r="AJ57" s="232">
        <f t="shared" si="88"/>
        <v>41</v>
      </c>
      <c r="AK57" s="232">
        <f t="shared" si="89"/>
        <v>13</v>
      </c>
      <c r="AL57" s="232">
        <f t="shared" si="90"/>
        <v>50</v>
      </c>
      <c r="AM57" s="232">
        <f t="shared" si="95"/>
        <v>21</v>
      </c>
      <c r="AN57" s="232">
        <f t="shared" si="91"/>
        <v>16</v>
      </c>
      <c r="AO57" s="232">
        <f t="shared" si="92"/>
        <v>18</v>
      </c>
      <c r="AP57" s="66">
        <f t="shared" si="99"/>
        <v>159</v>
      </c>
      <c r="AQ57" s="110"/>
    </row>
    <row r="58" spans="1:45" x14ac:dyDescent="0.25">
      <c r="A58" t="s">
        <v>40</v>
      </c>
      <c r="B58" s="15" t="str">
        <f t="shared" si="105"/>
        <v>EXT</v>
      </c>
      <c r="C58" s="18" t="str">
        <f t="shared" si="103"/>
        <v>RAP</v>
      </c>
      <c r="D58" s="18" t="str">
        <f t="shared" si="100"/>
        <v>W. Duffill</v>
      </c>
      <c r="E58" s="18">
        <f t="shared" ref="E58:F58" si="108">Y40</f>
        <v>22</v>
      </c>
      <c r="F58" s="18">
        <f t="shared" si="108"/>
        <v>111</v>
      </c>
      <c r="G58" s="111">
        <f t="shared" si="107"/>
        <v>0</v>
      </c>
      <c r="H58" s="111">
        <f t="shared" si="67"/>
        <v>11.9</v>
      </c>
      <c r="I58" s="111">
        <f t="shared" si="68"/>
        <v>3</v>
      </c>
      <c r="J58" s="111">
        <f t="shared" si="69"/>
        <v>13.333333333333334</v>
      </c>
      <c r="K58" s="111">
        <f t="shared" si="70"/>
        <v>7</v>
      </c>
      <c r="L58" s="111">
        <f t="shared" si="71"/>
        <v>7</v>
      </c>
      <c r="M58" s="111">
        <f t="shared" si="72"/>
        <v>3</v>
      </c>
      <c r="N58" s="47">
        <f t="shared" si="73"/>
        <v>8738.6200000000008</v>
      </c>
      <c r="O58" s="232">
        <f t="shared" si="74"/>
        <v>0</v>
      </c>
      <c r="P58" s="232">
        <f t="shared" si="75"/>
        <v>55</v>
      </c>
      <c r="Q58" s="232">
        <f t="shared" si="76"/>
        <v>3</v>
      </c>
      <c r="R58" s="232">
        <f t="shared" si="77"/>
        <v>42</v>
      </c>
      <c r="S58" s="232">
        <f t="shared" si="78"/>
        <v>14</v>
      </c>
      <c r="T58" s="232">
        <f t="shared" si="79"/>
        <v>16</v>
      </c>
      <c r="U58" s="232">
        <f t="shared" si="80"/>
        <v>1</v>
      </c>
      <c r="V58" s="66">
        <f>SUM(O58:U58)</f>
        <v>131</v>
      </c>
      <c r="X58" t="s">
        <v>40</v>
      </c>
      <c r="Y58" s="18">
        <v>24</v>
      </c>
      <c r="Z58" s="18">
        <f t="shared" si="81"/>
        <v>69</v>
      </c>
      <c r="AA58" s="111">
        <f t="shared" si="82"/>
        <v>0</v>
      </c>
      <c r="AB58" s="111">
        <f t="shared" si="83"/>
        <v>11.9</v>
      </c>
      <c r="AC58" s="111">
        <f t="shared" si="84"/>
        <v>3</v>
      </c>
      <c r="AD58" s="111">
        <f t="shared" si="85"/>
        <v>13.333333333333334</v>
      </c>
      <c r="AE58" s="111">
        <v>9.5</v>
      </c>
      <c r="AF58" s="111">
        <f t="shared" si="86"/>
        <v>7</v>
      </c>
      <c r="AG58" s="111">
        <v>14</v>
      </c>
      <c r="AH58" s="47">
        <f>(4800+3300+165+125+245)*1.04</f>
        <v>8980.4</v>
      </c>
      <c r="AI58" s="232">
        <f t="shared" si="87"/>
        <v>0</v>
      </c>
      <c r="AJ58" s="232">
        <f t="shared" si="88"/>
        <v>55</v>
      </c>
      <c r="AK58" s="232">
        <f t="shared" si="89"/>
        <v>3</v>
      </c>
      <c r="AL58" s="232">
        <f t="shared" si="90"/>
        <v>42</v>
      </c>
      <c r="AM58" s="232">
        <f t="shared" si="95"/>
        <v>25</v>
      </c>
      <c r="AN58" s="232">
        <f t="shared" si="91"/>
        <v>16</v>
      </c>
      <c r="AO58" s="232">
        <f t="shared" si="92"/>
        <v>16</v>
      </c>
      <c r="AP58" s="66">
        <f>SUM(AI58:AO58)</f>
        <v>157</v>
      </c>
      <c r="AQ58" s="110"/>
    </row>
    <row r="59" spans="1:45" x14ac:dyDescent="0.25">
      <c r="A59" t="s">
        <v>34</v>
      </c>
      <c r="B59" s="15" t="str">
        <f t="shared" si="105"/>
        <v>EXT</v>
      </c>
      <c r="C59" s="18" t="str">
        <f t="shared" si="103"/>
        <v>IMP</v>
      </c>
      <c r="D59" s="18" t="str">
        <f t="shared" si="100"/>
        <v>J.G. Peñuela</v>
      </c>
      <c r="E59" s="18">
        <f t="shared" ref="E59:F59" si="109">Y41</f>
        <v>23</v>
      </c>
      <c r="F59" s="18">
        <f t="shared" si="109"/>
        <v>34</v>
      </c>
      <c r="G59" s="111">
        <f t="shared" si="107"/>
        <v>0</v>
      </c>
      <c r="H59" s="111">
        <f t="shared" si="67"/>
        <v>10.777777777777779</v>
      </c>
      <c r="I59" s="111">
        <f t="shared" si="68"/>
        <v>5</v>
      </c>
      <c r="J59" s="111">
        <f t="shared" si="69"/>
        <v>13.833333333333334</v>
      </c>
      <c r="K59" s="111">
        <f t="shared" si="70"/>
        <v>5</v>
      </c>
      <c r="L59" s="111">
        <f t="shared" si="71"/>
        <v>7</v>
      </c>
      <c r="M59" s="111">
        <f t="shared" si="72"/>
        <v>3</v>
      </c>
      <c r="N59" s="47">
        <f t="shared" si="73"/>
        <v>8617.18</v>
      </c>
      <c r="O59" s="232">
        <f t="shared" si="74"/>
        <v>0</v>
      </c>
      <c r="P59" s="232">
        <f t="shared" si="75"/>
        <v>44</v>
      </c>
      <c r="Q59" s="232">
        <f t="shared" si="76"/>
        <v>9</v>
      </c>
      <c r="R59" s="232">
        <f t="shared" si="77"/>
        <v>46</v>
      </c>
      <c r="S59" s="232">
        <f t="shared" si="78"/>
        <v>7</v>
      </c>
      <c r="T59" s="232">
        <f t="shared" si="79"/>
        <v>16</v>
      </c>
      <c r="U59" s="232">
        <f t="shared" si="80"/>
        <v>1</v>
      </c>
      <c r="V59" s="66">
        <f>SUM(O59:U59)</f>
        <v>123</v>
      </c>
      <c r="X59" t="s">
        <v>34</v>
      </c>
      <c r="Y59" s="18">
        <v>23</v>
      </c>
      <c r="Z59" s="18">
        <f>F59+($AR$52*7)+($AR$53*7)-112</f>
        <v>104</v>
      </c>
      <c r="AA59" s="111">
        <f t="shared" si="82"/>
        <v>0</v>
      </c>
      <c r="AB59" s="111">
        <f t="shared" si="83"/>
        <v>10.777777777777779</v>
      </c>
      <c r="AC59" s="111">
        <f t="shared" si="84"/>
        <v>5</v>
      </c>
      <c r="AD59" s="111">
        <f t="shared" si="85"/>
        <v>13.833333333333334</v>
      </c>
      <c r="AE59" s="111">
        <v>8</v>
      </c>
      <c r="AF59" s="111">
        <f t="shared" si="86"/>
        <v>7</v>
      </c>
      <c r="AG59" s="111">
        <v>14</v>
      </c>
      <c r="AH59" s="47">
        <f>(6500+1500+135+135+245)*1.04</f>
        <v>8855.6</v>
      </c>
      <c r="AI59" s="232">
        <f t="shared" si="87"/>
        <v>0</v>
      </c>
      <c r="AJ59" s="232">
        <f t="shared" si="88"/>
        <v>44</v>
      </c>
      <c r="AK59" s="232">
        <f t="shared" si="89"/>
        <v>9</v>
      </c>
      <c r="AL59" s="232">
        <f t="shared" si="90"/>
        <v>46</v>
      </c>
      <c r="AM59" s="232">
        <f t="shared" si="95"/>
        <v>18</v>
      </c>
      <c r="AN59" s="232">
        <f t="shared" si="91"/>
        <v>16</v>
      </c>
      <c r="AO59" s="232">
        <f t="shared" si="92"/>
        <v>16</v>
      </c>
      <c r="AP59" s="66">
        <f>SUM(AI59:AO59)</f>
        <v>149</v>
      </c>
      <c r="AQ59" s="110"/>
    </row>
    <row r="60" spans="1:45" x14ac:dyDescent="0.25">
      <c r="A60" t="s">
        <v>42</v>
      </c>
      <c r="B60" s="15" t="str">
        <f t="shared" si="105"/>
        <v>DAV</v>
      </c>
      <c r="C60" s="18"/>
      <c r="D60" s="18"/>
      <c r="E60" s="18"/>
      <c r="F60" s="18"/>
      <c r="G60" s="111"/>
      <c r="H60" s="111"/>
      <c r="I60" s="111"/>
      <c r="J60" s="111"/>
      <c r="K60" s="111"/>
      <c r="L60" s="111"/>
      <c r="M60" s="111"/>
      <c r="N60" s="47"/>
      <c r="O60" s="232"/>
      <c r="P60" s="232"/>
      <c r="Q60" s="232"/>
      <c r="R60" s="232"/>
      <c r="S60" s="232"/>
      <c r="T60" s="232"/>
      <c r="U60" s="232"/>
      <c r="V60" s="66">
        <f>SUM(O60:U60)</f>
        <v>0</v>
      </c>
      <c r="X60" t="s">
        <v>42</v>
      </c>
      <c r="Y60" s="18"/>
      <c r="Z60" s="18"/>
      <c r="AA60" s="111"/>
      <c r="AB60" s="111"/>
      <c r="AC60" s="111"/>
      <c r="AD60" s="111"/>
      <c r="AE60" s="111"/>
      <c r="AF60" s="111"/>
      <c r="AG60" s="111"/>
      <c r="AH60" s="47"/>
      <c r="AI60" s="232"/>
      <c r="AJ60" s="232"/>
      <c r="AK60" s="232"/>
      <c r="AL60" s="232"/>
      <c r="AM60" s="232"/>
      <c r="AN60" s="232"/>
      <c r="AO60" s="232"/>
      <c r="AP60" s="66">
        <f>SUM(AI60:AO60)</f>
        <v>0</v>
      </c>
      <c r="AQ60" s="110"/>
    </row>
    <row r="61" spans="1:45" x14ac:dyDescent="0.25">
      <c r="A61" t="s">
        <v>46</v>
      </c>
      <c r="B61" s="15" t="str">
        <f t="shared" si="105"/>
        <v>DAV</v>
      </c>
      <c r="C61" s="18"/>
      <c r="D61" s="18"/>
      <c r="E61" s="18"/>
      <c r="F61" s="18"/>
      <c r="G61" s="111"/>
      <c r="H61" s="111"/>
      <c r="I61" s="111"/>
      <c r="J61" s="111"/>
      <c r="K61" s="111"/>
      <c r="L61" s="111"/>
      <c r="M61" s="111"/>
      <c r="N61" s="47"/>
      <c r="O61" s="232"/>
      <c r="P61" s="232"/>
      <c r="Q61" s="232"/>
      <c r="R61" s="232"/>
      <c r="S61" s="232"/>
      <c r="T61" s="232"/>
      <c r="U61" s="232"/>
      <c r="V61" s="66">
        <f>SUM(O61:U61)</f>
        <v>0</v>
      </c>
      <c r="X61" t="s">
        <v>46</v>
      </c>
      <c r="Y61" s="18"/>
      <c r="Z61" s="18"/>
      <c r="AA61" s="111"/>
      <c r="AB61" s="111"/>
      <c r="AC61" s="111"/>
      <c r="AD61" s="111"/>
      <c r="AE61" s="111"/>
      <c r="AF61" s="111"/>
      <c r="AG61" s="111"/>
      <c r="AH61" s="47"/>
      <c r="AI61" s="232"/>
      <c r="AJ61" s="232"/>
      <c r="AK61" s="232"/>
      <c r="AL61" s="232"/>
      <c r="AM61" s="232"/>
      <c r="AN61" s="232"/>
      <c r="AO61" s="232"/>
      <c r="AP61" s="66">
        <f>SUM(AI61:AO61)</f>
        <v>0</v>
      </c>
      <c r="AQ61" s="110"/>
    </row>
    <row r="62" spans="1:45" x14ac:dyDescent="0.25">
      <c r="A62" t="s">
        <v>327</v>
      </c>
      <c r="B62" s="15" t="str">
        <f t="shared" si="105"/>
        <v>DAV</v>
      </c>
      <c r="C62" s="18"/>
      <c r="D62" s="18"/>
      <c r="E62" s="18"/>
      <c r="F62" s="18"/>
      <c r="G62" s="111"/>
      <c r="H62" s="111"/>
      <c r="I62" s="111"/>
      <c r="J62" s="111"/>
      <c r="K62" s="111"/>
      <c r="L62" s="111"/>
      <c r="M62" s="111"/>
      <c r="N62" s="47"/>
      <c r="O62" s="232"/>
      <c r="P62" s="232"/>
      <c r="Q62" s="232"/>
      <c r="R62" s="232"/>
      <c r="S62" s="232"/>
      <c r="T62" s="232"/>
      <c r="U62" s="232"/>
      <c r="V62" s="66">
        <f>SUM(O62:U62)</f>
        <v>0</v>
      </c>
      <c r="X62" t="s">
        <v>327</v>
      </c>
      <c r="Y62" s="18"/>
      <c r="Z62" s="18"/>
      <c r="AA62" s="111"/>
      <c r="AB62" s="111"/>
      <c r="AC62" s="111"/>
      <c r="AD62" s="111"/>
      <c r="AE62" s="111"/>
      <c r="AF62" s="111"/>
      <c r="AG62" s="111"/>
      <c r="AH62" s="47"/>
      <c r="AI62" s="232"/>
      <c r="AJ62" s="232"/>
      <c r="AK62" s="232"/>
      <c r="AL62" s="232"/>
      <c r="AM62" s="232"/>
      <c r="AN62" s="232"/>
      <c r="AO62" s="232"/>
      <c r="AP62" s="66">
        <f>SUM(AI62:AO62)</f>
        <v>0</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{6E875304-AB50-48C1-964F-78DEC091AF1B}</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{85250534-3512-402C-9776-4648EC2E069A}</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{DA1C1184-74E0-4F7A-B644-44B87E1EC0FC}</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{72D1599D-D8E1-4638-A926-365F0D0D10F8}</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{088ACC03-E21A-472A-8413-5A60B4A547EF}</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{6490B220-3C83-4861-8BAF-5556E2198940}</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E875304-AB50-48C1-964F-78DEC091AF1B}">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85250534-3512-402C-9776-4648EC2E069A}">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DA1C1184-74E0-4F7A-B644-44B87E1EC0FC}">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72D1599D-D8E1-4638-A926-365F0D0D10F8}">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088ACC03-E21A-472A-8413-5A60B4A547EF}">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6490B220-3C83-4861-8BAF-5556E2198940}">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U76"/>
  <sheetViews>
    <sheetView zoomScale="90" zoomScaleNormal="90" workbookViewId="0">
      <pane ySplit="1" topLeftCell="A2" activePane="bottomLeft" state="frozen"/>
      <selection pane="bottomLeft" activeCell="F11" sqref="F11"/>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9" t="s">
        <v>202</v>
      </c>
      <c r="B1" s="239"/>
      <c r="C1" s="239"/>
      <c r="D1" s="239"/>
      <c r="F1" s="10" t="s">
        <v>3</v>
      </c>
      <c r="G1" s="10" t="s">
        <v>4</v>
      </c>
      <c r="H1" s="10" t="s">
        <v>5</v>
      </c>
      <c r="I1" s="34" t="s">
        <v>87</v>
      </c>
      <c r="J1" s="34" t="s">
        <v>7</v>
      </c>
      <c r="K1" s="34" t="s">
        <v>68</v>
      </c>
      <c r="L1" s="34" t="s">
        <v>185</v>
      </c>
      <c r="M1" s="34" t="s">
        <v>267</v>
      </c>
      <c r="N1" s="132" t="s">
        <v>186</v>
      </c>
      <c r="O1" s="132" t="s">
        <v>187</v>
      </c>
      <c r="P1" s="132" t="s">
        <v>262</v>
      </c>
      <c r="Q1" s="132" t="s">
        <v>119</v>
      </c>
      <c r="R1" s="133" t="s">
        <v>188</v>
      </c>
      <c r="S1" s="133" t="s">
        <v>189</v>
      </c>
      <c r="T1" s="133" t="s">
        <v>262</v>
      </c>
      <c r="U1" s="133" t="s">
        <v>119</v>
      </c>
    </row>
    <row r="2" spans="1:21" x14ac:dyDescent="0.25">
      <c r="A2" s="240" t="s">
        <v>203</v>
      </c>
      <c r="B2" s="241" t="s">
        <v>204</v>
      </c>
      <c r="C2" s="241" t="s">
        <v>205</v>
      </c>
      <c r="D2" s="241" t="s">
        <v>206</v>
      </c>
      <c r="F2" s="212" t="s">
        <v>347</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40"/>
      <c r="B3" s="241"/>
      <c r="C3" s="241"/>
      <c r="D3" s="241"/>
      <c r="F3" s="212" t="s">
        <v>348</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204</v>
      </c>
      <c r="B4" s="159" t="s">
        <v>207</v>
      </c>
      <c r="C4" s="159" t="s">
        <v>208</v>
      </c>
      <c r="D4" s="159" t="s">
        <v>208</v>
      </c>
      <c r="F4" s="212" t="s">
        <v>349</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205</v>
      </c>
      <c r="B5" s="161" t="s">
        <v>209</v>
      </c>
      <c r="C5" s="161" t="s">
        <v>210</v>
      </c>
      <c r="D5" s="161" t="s">
        <v>208</v>
      </c>
      <c r="F5" s="212" t="s">
        <v>350</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206</v>
      </c>
      <c r="B6" s="159" t="s">
        <v>211</v>
      </c>
      <c r="C6" s="159" t="s">
        <v>212</v>
      </c>
      <c r="D6" s="159" t="s">
        <v>213</v>
      </c>
      <c r="F6" s="212" t="s">
        <v>352</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214</v>
      </c>
      <c r="B7" s="161" t="s">
        <v>215</v>
      </c>
      <c r="C7" s="161" t="s">
        <v>216</v>
      </c>
      <c r="D7" s="161" t="s">
        <v>217</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218</v>
      </c>
      <c r="B8" s="159" t="s">
        <v>219</v>
      </c>
      <c r="C8" s="159" t="s">
        <v>220</v>
      </c>
      <c r="D8" s="159" t="s">
        <v>221</v>
      </c>
      <c r="F8" s="212" t="s">
        <v>351</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222</v>
      </c>
      <c r="B9" s="161" t="s">
        <v>223</v>
      </c>
      <c r="C9" s="161" t="s">
        <v>224</v>
      </c>
      <c r="D9" s="161" t="s">
        <v>225</v>
      </c>
      <c r="F9" s="212" t="s">
        <v>353</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226</v>
      </c>
      <c r="B10" s="159" t="s">
        <v>227</v>
      </c>
      <c r="C10" s="159" t="s">
        <v>228</v>
      </c>
      <c r="D10" s="159" t="s">
        <v>229</v>
      </c>
      <c r="F10" s="212" t="s">
        <v>354</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230</v>
      </c>
      <c r="B11" s="161" t="s">
        <v>231</v>
      </c>
      <c r="C11" s="161" t="s">
        <v>232</v>
      </c>
      <c r="D11" s="161" t="s">
        <v>233</v>
      </c>
      <c r="F11" s="212" t="s">
        <v>355</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234</v>
      </c>
      <c r="B12" s="159" t="s">
        <v>235</v>
      </c>
      <c r="C12" s="159" t="s">
        <v>236</v>
      </c>
      <c r="D12" s="159" t="s">
        <v>237</v>
      </c>
      <c r="F12" s="212" t="s">
        <v>356</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238</v>
      </c>
      <c r="B13" s="161" t="s">
        <v>239</v>
      </c>
      <c r="C13" s="161" t="s">
        <v>240</v>
      </c>
      <c r="D13" s="161" t="s">
        <v>241</v>
      </c>
      <c r="F13" s="212" t="s">
        <v>361</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242</v>
      </c>
      <c r="B14" s="159" t="s">
        <v>243</v>
      </c>
      <c r="C14" s="159" t="s">
        <v>244</v>
      </c>
      <c r="D14" s="159" t="s">
        <v>245</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246</v>
      </c>
      <c r="B15" s="161" t="s">
        <v>247</v>
      </c>
      <c r="C15" s="161" t="s">
        <v>248</v>
      </c>
      <c r="D15" s="161" t="s">
        <v>249</v>
      </c>
      <c r="F15" s="212" t="s">
        <v>484</v>
      </c>
      <c r="G15">
        <v>40</v>
      </c>
      <c r="H15">
        <v>1</v>
      </c>
      <c r="I15" s="111">
        <v>16.100000000000001</v>
      </c>
      <c r="J15" s="113">
        <v>5</v>
      </c>
      <c r="K15" s="70">
        <v>492</v>
      </c>
      <c r="L15" s="70">
        <v>1100000</v>
      </c>
      <c r="M15" s="128">
        <v>2</v>
      </c>
      <c r="N15" s="70">
        <v>296000</v>
      </c>
      <c r="O15" s="70">
        <f t="shared" ref="O15:O46" si="5">L15+N15</f>
        <v>1396000</v>
      </c>
      <c r="P15" s="134">
        <v>8</v>
      </c>
      <c r="Q15" s="162">
        <f t="shared" ref="Q15:Q46" si="6">O15/P15</f>
        <v>174500</v>
      </c>
      <c r="R15" s="70">
        <v>2100000</v>
      </c>
      <c r="S15" s="70">
        <f t="shared" ref="S15:S46" si="7">R15+L15</f>
        <v>3200000</v>
      </c>
      <c r="T15" s="135">
        <f t="shared" ref="T15:T46" si="8">P15</f>
        <v>8</v>
      </c>
      <c r="U15" s="162">
        <f t="shared" ref="U15:U46" si="9">S15/T15</f>
        <v>400000</v>
      </c>
    </row>
    <row r="16" spans="1:21" x14ac:dyDescent="0.25">
      <c r="A16" s="158" t="s">
        <v>250</v>
      </c>
      <c r="B16" s="159" t="s">
        <v>251</v>
      </c>
      <c r="C16" s="159" t="s">
        <v>252</v>
      </c>
      <c r="D16" s="159" t="s">
        <v>253</v>
      </c>
      <c r="F16" s="212" t="s">
        <v>485</v>
      </c>
      <c r="G16">
        <v>36</v>
      </c>
      <c r="H16">
        <v>0</v>
      </c>
      <c r="I16" s="111">
        <v>27</v>
      </c>
      <c r="J16" s="113">
        <v>5</v>
      </c>
      <c r="K16" s="70">
        <v>7812</v>
      </c>
      <c r="L16" s="70">
        <v>3500000</v>
      </c>
      <c r="M16" s="128">
        <v>3</v>
      </c>
      <c r="N16" s="136">
        <v>161800</v>
      </c>
      <c r="O16" s="70">
        <f t="shared" si="5"/>
        <v>3661800</v>
      </c>
      <c r="P16" s="134">
        <v>8</v>
      </c>
      <c r="Q16" s="162">
        <f t="shared" si="6"/>
        <v>457725</v>
      </c>
      <c r="R16" s="70">
        <v>1150800</v>
      </c>
      <c r="S16" s="70">
        <f t="shared" si="7"/>
        <v>4650800</v>
      </c>
      <c r="T16" s="135">
        <f t="shared" si="8"/>
        <v>8</v>
      </c>
      <c r="U16" s="162">
        <f t="shared" si="9"/>
        <v>581350</v>
      </c>
    </row>
    <row r="17" spans="1:21" x14ac:dyDescent="0.25">
      <c r="A17" s="160" t="s">
        <v>254</v>
      </c>
      <c r="B17" s="161" t="s">
        <v>255</v>
      </c>
      <c r="C17" s="161" t="s">
        <v>256</v>
      </c>
      <c r="D17" s="161" t="s">
        <v>257</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258</v>
      </c>
      <c r="B18" s="159" t="s">
        <v>259</v>
      </c>
      <c r="C18" s="159" t="s">
        <v>260</v>
      </c>
      <c r="D18" s="159" t="s">
        <v>261</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200</v>
      </c>
      <c r="B20" s="10" t="s">
        <v>201</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199</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198</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197</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194</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195</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196</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263</v>
      </c>
      <c r="B28" s="10" t="s">
        <v>264</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266</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265</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271</v>
      </c>
      <c r="B1" s="190" t="s">
        <v>277</v>
      </c>
      <c r="C1" s="190" t="s">
        <v>272</v>
      </c>
      <c r="D1" s="190" t="s">
        <v>276</v>
      </c>
      <c r="E1" s="190" t="s">
        <v>273</v>
      </c>
      <c r="F1" s="190" t="s">
        <v>268</v>
      </c>
      <c r="G1" s="190" t="s">
        <v>269</v>
      </c>
      <c r="H1" s="190" t="s">
        <v>270</v>
      </c>
    </row>
    <row r="2" spans="1:11" x14ac:dyDescent="0.25">
      <c r="A2" s="189">
        <v>54</v>
      </c>
      <c r="B2" s="189" t="s">
        <v>278</v>
      </c>
      <c r="C2" s="189" t="s">
        <v>274</v>
      </c>
      <c r="D2" s="191">
        <v>0.17499999999999999</v>
      </c>
      <c r="E2" s="67">
        <v>0.3</v>
      </c>
      <c r="F2" s="189">
        <f>Empleados!L5</f>
        <v>-0.31299999999999994</v>
      </c>
      <c r="G2" s="46">
        <f>Empleados!M5</f>
        <v>-5.0079999999999991</v>
      </c>
      <c r="H2" s="46">
        <f>Empleados!N5</f>
        <v>-35.055999999999997</v>
      </c>
    </row>
    <row r="3" spans="1:11" x14ac:dyDescent="0.25">
      <c r="A3" s="189">
        <v>55</v>
      </c>
      <c r="B3" s="189" t="s">
        <v>279</v>
      </c>
      <c r="C3" s="189" t="s">
        <v>274</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280</v>
      </c>
      <c r="C4" s="189" t="s">
        <v>275</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281</v>
      </c>
      <c r="C5" s="189" t="s">
        <v>275</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282</v>
      </c>
      <c r="C6" s="189" t="s">
        <v>275</v>
      </c>
      <c r="D6" s="67">
        <v>0.35</v>
      </c>
      <c r="E6" s="67">
        <v>0.05</v>
      </c>
      <c r="F6" s="189">
        <f t="shared" si="0"/>
        <v>0.16500000000000004</v>
      </c>
      <c r="G6" s="46">
        <f t="shared" si="0"/>
        <v>2.6400000000000006</v>
      </c>
      <c r="H6" s="46">
        <f t="shared" si="0"/>
        <v>18.480000000000004</v>
      </c>
    </row>
    <row r="7" spans="1:11" x14ac:dyDescent="0.25">
      <c r="A7" s="189">
        <v>59</v>
      </c>
      <c r="B7" s="189" t="s">
        <v>283</v>
      </c>
      <c r="C7" s="189" t="s">
        <v>275</v>
      </c>
      <c r="D7" s="67">
        <v>0.35</v>
      </c>
      <c r="E7" s="67">
        <v>0.05</v>
      </c>
      <c r="F7" s="189">
        <f t="shared" si="0"/>
        <v>0.16500000000000004</v>
      </c>
      <c r="G7" s="46">
        <f t="shared" si="0"/>
        <v>2.6400000000000006</v>
      </c>
      <c r="H7" s="46">
        <f t="shared" si="0"/>
        <v>18.480000000000004</v>
      </c>
    </row>
    <row r="8" spans="1:11" x14ac:dyDescent="0.25">
      <c r="A8" s="189">
        <v>60</v>
      </c>
      <c r="B8" s="189" t="s">
        <v>284</v>
      </c>
      <c r="C8" s="189" t="s">
        <v>275</v>
      </c>
      <c r="D8" s="67">
        <v>0.35</v>
      </c>
      <c r="E8" s="67">
        <v>0.1</v>
      </c>
      <c r="F8" s="189">
        <f>Empleados!L8</f>
        <v>0.11499999999999999</v>
      </c>
      <c r="G8" s="189">
        <f>Empleados!M8</f>
        <v>1.8399999999999999</v>
      </c>
      <c r="H8" s="189">
        <f>Empleados!N8</f>
        <v>12.879999999999999</v>
      </c>
    </row>
    <row r="9" spans="1:11" x14ac:dyDescent="0.25">
      <c r="A9" s="189">
        <v>61</v>
      </c>
      <c r="B9" s="189" t="s">
        <v>285</v>
      </c>
      <c r="C9" s="189" t="s">
        <v>275</v>
      </c>
      <c r="D9" s="67">
        <v>0.35</v>
      </c>
      <c r="E9" s="67">
        <v>0.1</v>
      </c>
      <c r="F9" s="189">
        <f t="shared" ref="F9:H13" si="1">F8</f>
        <v>0.11499999999999999</v>
      </c>
      <c r="G9" s="189">
        <f t="shared" si="1"/>
        <v>1.8399999999999999</v>
      </c>
      <c r="H9" s="189">
        <f t="shared" si="1"/>
        <v>12.879999999999999</v>
      </c>
    </row>
    <row r="10" spans="1:11" x14ac:dyDescent="0.25">
      <c r="A10" s="189">
        <v>62</v>
      </c>
      <c r="B10" s="189" t="s">
        <v>286</v>
      </c>
      <c r="C10" s="189" t="s">
        <v>275</v>
      </c>
      <c r="D10" s="67">
        <v>0.35</v>
      </c>
      <c r="E10" s="67">
        <v>0.1</v>
      </c>
      <c r="F10" s="189">
        <f t="shared" si="1"/>
        <v>0.11499999999999999</v>
      </c>
      <c r="G10" s="189">
        <f t="shared" si="1"/>
        <v>1.8399999999999999</v>
      </c>
      <c r="H10" s="189">
        <f t="shared" si="1"/>
        <v>12.879999999999999</v>
      </c>
    </row>
    <row r="11" spans="1:11" x14ac:dyDescent="0.25">
      <c r="A11" s="189">
        <v>63</v>
      </c>
      <c r="B11" s="189" t="s">
        <v>287</v>
      </c>
      <c r="C11" s="189" t="s">
        <v>275</v>
      </c>
      <c r="D11" s="67">
        <v>0.35</v>
      </c>
      <c r="E11" s="67">
        <v>0.1</v>
      </c>
      <c r="F11" s="189">
        <f t="shared" si="1"/>
        <v>0.11499999999999999</v>
      </c>
      <c r="G11" s="189">
        <f t="shared" si="1"/>
        <v>1.8399999999999999</v>
      </c>
      <c r="H11" s="189">
        <f t="shared" si="1"/>
        <v>12.879999999999999</v>
      </c>
    </row>
    <row r="12" spans="1:11" x14ac:dyDescent="0.25">
      <c r="A12" s="189">
        <v>64</v>
      </c>
      <c r="B12" s="189" t="s">
        <v>288</v>
      </c>
      <c r="C12" s="189" t="s">
        <v>275</v>
      </c>
      <c r="D12" s="67">
        <v>0.35</v>
      </c>
      <c r="E12" s="67">
        <v>0.1</v>
      </c>
      <c r="F12" s="189">
        <f t="shared" si="1"/>
        <v>0.11499999999999999</v>
      </c>
      <c r="G12" s="189">
        <f t="shared" si="1"/>
        <v>1.8399999999999999</v>
      </c>
      <c r="H12" s="189">
        <f t="shared" si="1"/>
        <v>12.879999999999999</v>
      </c>
    </row>
    <row r="13" spans="1:11" x14ac:dyDescent="0.25">
      <c r="A13" s="189">
        <v>65</v>
      </c>
      <c r="B13" s="189" t="s">
        <v>289</v>
      </c>
      <c r="C13" s="189" t="s">
        <v>275</v>
      </c>
      <c r="D13" s="67">
        <v>0.35</v>
      </c>
      <c r="E13" s="67">
        <v>0.1</v>
      </c>
      <c r="F13" s="189">
        <f t="shared" si="1"/>
        <v>0.11499999999999999</v>
      </c>
      <c r="G13" s="189">
        <f t="shared" si="1"/>
        <v>1.8399999999999999</v>
      </c>
      <c r="H13" s="189">
        <f t="shared" si="1"/>
        <v>12.879999999999999</v>
      </c>
    </row>
    <row r="14" spans="1:11" x14ac:dyDescent="0.25">
      <c r="A14" s="189">
        <v>66</v>
      </c>
      <c r="B14" s="189" t="s">
        <v>290</v>
      </c>
      <c r="C14" s="189" t="s">
        <v>275</v>
      </c>
      <c r="D14" s="191">
        <v>0.17499999999999999</v>
      </c>
      <c r="E14" s="67">
        <v>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T31"/>
  <sheetViews>
    <sheetView workbookViewId="0">
      <selection activeCell="O14" sqref="O14"/>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bestFit="1" customWidth="1"/>
    <col min="7" max="7" width="20.85546875" bestFit="1" customWidth="1"/>
    <col min="8" max="8" width="5.85546875" style="222" customWidth="1"/>
    <col min="9" max="9" width="6.85546875" customWidth="1"/>
    <col min="10" max="10" width="5.28515625" bestFit="1" customWidth="1"/>
    <col min="11" max="11" width="17.7109375" bestFit="1" customWidth="1"/>
    <col min="12" max="12" width="5.85546875" customWidth="1"/>
    <col min="13" max="13" width="6.140625" customWidth="1"/>
    <col min="14" max="14" width="5.28515625" bestFit="1" customWidth="1"/>
    <col min="15" max="15" width="22" bestFit="1" customWidth="1"/>
    <col min="16" max="16" width="5.85546875" customWidth="1"/>
    <col min="17" max="17" width="5.140625" customWidth="1"/>
    <col min="18" max="18" width="5.28515625" bestFit="1" customWidth="1"/>
    <col min="19" max="19" width="21.28515625" bestFit="1" customWidth="1"/>
    <col min="20" max="20" width="5.85546875" customWidth="1"/>
  </cols>
  <sheetData>
    <row r="1" spans="1:20" x14ac:dyDescent="0.25">
      <c r="A1" s="223" t="s">
        <v>381</v>
      </c>
      <c r="F1" s="223" t="s">
        <v>429</v>
      </c>
      <c r="G1" s="242" t="s">
        <v>389</v>
      </c>
      <c r="H1" s="242"/>
      <c r="J1" s="223" t="s">
        <v>429</v>
      </c>
      <c r="K1" s="242" t="s">
        <v>430</v>
      </c>
      <c r="L1" s="242"/>
      <c r="N1" s="223" t="s">
        <v>429</v>
      </c>
      <c r="O1" s="242" t="s">
        <v>445</v>
      </c>
      <c r="P1" s="242"/>
      <c r="R1" s="223" t="s">
        <v>429</v>
      </c>
      <c r="S1" s="242" t="s">
        <v>464</v>
      </c>
      <c r="T1" s="242"/>
    </row>
    <row r="2" spans="1:20" x14ac:dyDescent="0.25">
      <c r="A2" s="30">
        <v>43319</v>
      </c>
      <c r="F2" s="52">
        <v>1</v>
      </c>
      <c r="G2" s="224" t="s">
        <v>390</v>
      </c>
      <c r="H2" s="222" t="s">
        <v>391</v>
      </c>
      <c r="J2" s="52">
        <v>1</v>
      </c>
      <c r="K2" s="224" t="s">
        <v>413</v>
      </c>
      <c r="L2" s="222">
        <v>175</v>
      </c>
      <c r="N2" s="52">
        <v>1</v>
      </c>
      <c r="O2" s="224" t="s">
        <v>413</v>
      </c>
      <c r="P2" s="222">
        <v>71</v>
      </c>
      <c r="R2" s="52">
        <v>1</v>
      </c>
      <c r="S2" s="224" t="s">
        <v>398</v>
      </c>
      <c r="T2" s="222">
        <v>58</v>
      </c>
    </row>
    <row r="3" spans="1:20" x14ac:dyDescent="0.25">
      <c r="F3" s="52">
        <v>2</v>
      </c>
      <c r="G3" s="224" t="s">
        <v>392</v>
      </c>
      <c r="H3" s="222" t="s">
        <v>393</v>
      </c>
      <c r="J3" s="52">
        <v>2</v>
      </c>
      <c r="K3" s="224" t="s">
        <v>431</v>
      </c>
      <c r="L3" s="222">
        <v>155</v>
      </c>
      <c r="N3" s="52">
        <v>2</v>
      </c>
      <c r="O3" s="224" t="s">
        <v>434</v>
      </c>
      <c r="P3" s="222">
        <v>29</v>
      </c>
      <c r="R3" s="52">
        <v>2</v>
      </c>
      <c r="S3" s="224" t="s">
        <v>432</v>
      </c>
      <c r="T3" s="222">
        <v>57</v>
      </c>
    </row>
    <row r="4" spans="1:20" x14ac:dyDescent="0.25">
      <c r="A4" s="223" t="s">
        <v>382</v>
      </c>
      <c r="F4" s="52">
        <v>3</v>
      </c>
      <c r="G4" s="224" t="s">
        <v>394</v>
      </c>
      <c r="H4" s="222" t="s">
        <v>395</v>
      </c>
      <c r="J4" s="52">
        <v>3</v>
      </c>
      <c r="K4" s="224" t="s">
        <v>399</v>
      </c>
      <c r="L4" s="222">
        <v>145</v>
      </c>
      <c r="N4" s="52">
        <v>3</v>
      </c>
      <c r="O4" s="224" t="s">
        <v>446</v>
      </c>
      <c r="P4" s="222">
        <v>16</v>
      </c>
      <c r="R4" s="52">
        <v>3</v>
      </c>
      <c r="S4" s="224" t="s">
        <v>392</v>
      </c>
      <c r="T4" s="222">
        <v>44</v>
      </c>
    </row>
    <row r="5" spans="1:20" x14ac:dyDescent="0.25">
      <c r="A5" t="s">
        <v>383</v>
      </c>
      <c r="B5" t="s">
        <v>384</v>
      </c>
      <c r="C5" s="30">
        <v>42847</v>
      </c>
      <c r="D5" t="s">
        <v>385</v>
      </c>
      <c r="F5" s="52">
        <v>4</v>
      </c>
      <c r="G5" s="224" t="s">
        <v>396</v>
      </c>
      <c r="H5" s="222" t="s">
        <v>397</v>
      </c>
      <c r="J5" s="52">
        <v>4</v>
      </c>
      <c r="K5" s="224" t="s">
        <v>396</v>
      </c>
      <c r="L5" s="222">
        <v>144</v>
      </c>
      <c r="N5" s="52">
        <v>4</v>
      </c>
      <c r="O5" s="224" t="s">
        <v>447</v>
      </c>
      <c r="P5" s="222">
        <v>12</v>
      </c>
      <c r="R5" s="52">
        <v>4</v>
      </c>
      <c r="S5" s="224" t="s">
        <v>390</v>
      </c>
      <c r="T5" s="222">
        <v>42</v>
      </c>
    </row>
    <row r="6" spans="1:20" x14ac:dyDescent="0.25">
      <c r="A6" t="s">
        <v>386</v>
      </c>
      <c r="B6" t="s">
        <v>387</v>
      </c>
      <c r="C6" s="30">
        <v>42991</v>
      </c>
      <c r="D6" t="s">
        <v>388</v>
      </c>
      <c r="F6" s="52">
        <v>5</v>
      </c>
      <c r="G6" s="224" t="s">
        <v>398</v>
      </c>
      <c r="H6" s="222" t="s">
        <v>397</v>
      </c>
      <c r="J6" s="52">
        <v>5</v>
      </c>
      <c r="K6" s="224" t="s">
        <v>390</v>
      </c>
      <c r="L6" s="222">
        <v>141</v>
      </c>
      <c r="N6" s="52">
        <v>5</v>
      </c>
      <c r="O6" s="224" t="s">
        <v>448</v>
      </c>
      <c r="P6" s="222">
        <v>11</v>
      </c>
      <c r="R6" s="52">
        <v>5</v>
      </c>
      <c r="S6" s="224" t="s">
        <v>394</v>
      </c>
      <c r="T6" s="222">
        <v>27</v>
      </c>
    </row>
    <row r="7" spans="1:20" x14ac:dyDescent="0.25">
      <c r="F7" s="52">
        <v>6</v>
      </c>
      <c r="G7" s="224" t="s">
        <v>399</v>
      </c>
      <c r="H7" s="222" t="s">
        <v>400</v>
      </c>
      <c r="J7" s="52">
        <v>6</v>
      </c>
      <c r="K7" s="224" t="s">
        <v>432</v>
      </c>
      <c r="L7" s="222">
        <v>140</v>
      </c>
      <c r="N7" s="52">
        <v>5</v>
      </c>
      <c r="O7" s="224" t="s">
        <v>449</v>
      </c>
      <c r="P7" s="222">
        <v>11</v>
      </c>
      <c r="R7" s="52">
        <v>6</v>
      </c>
      <c r="S7" s="224" t="s">
        <v>437</v>
      </c>
      <c r="T7" s="222">
        <v>22</v>
      </c>
    </row>
    <row r="8" spans="1:20" x14ac:dyDescent="0.25">
      <c r="F8" s="52">
        <v>7</v>
      </c>
      <c r="G8" s="224" t="s">
        <v>401</v>
      </c>
      <c r="H8" s="222" t="s">
        <v>402</v>
      </c>
      <c r="J8" s="52">
        <v>7</v>
      </c>
      <c r="K8" s="224" t="s">
        <v>435</v>
      </c>
      <c r="L8" s="222">
        <v>135</v>
      </c>
      <c r="N8" s="52">
        <v>7</v>
      </c>
      <c r="O8" s="224" t="s">
        <v>450</v>
      </c>
      <c r="P8" s="222">
        <v>6</v>
      </c>
      <c r="R8" s="52">
        <v>7</v>
      </c>
      <c r="S8" s="224" t="s">
        <v>465</v>
      </c>
      <c r="T8" s="222">
        <v>20</v>
      </c>
    </row>
    <row r="9" spans="1:20" x14ac:dyDescent="0.25">
      <c r="F9" s="52">
        <v>8</v>
      </c>
      <c r="G9" s="224" t="s">
        <v>404</v>
      </c>
      <c r="H9" s="222" t="s">
        <v>403</v>
      </c>
      <c r="J9" s="52">
        <v>8</v>
      </c>
      <c r="K9" s="224" t="s">
        <v>404</v>
      </c>
      <c r="L9" s="222">
        <v>111</v>
      </c>
      <c r="N9" s="52">
        <v>8</v>
      </c>
      <c r="O9" s="224" t="s">
        <v>451</v>
      </c>
      <c r="P9" s="222">
        <v>4</v>
      </c>
      <c r="R9" s="52">
        <v>8</v>
      </c>
      <c r="S9" s="228" t="s">
        <v>301</v>
      </c>
      <c r="T9" s="226">
        <v>19</v>
      </c>
    </row>
    <row r="10" spans="1:20" x14ac:dyDescent="0.25">
      <c r="F10" s="52">
        <v>9</v>
      </c>
      <c r="G10" s="224" t="s">
        <v>405</v>
      </c>
      <c r="H10" s="222" t="s">
        <v>403</v>
      </c>
      <c r="J10" s="52">
        <v>9</v>
      </c>
      <c r="K10" s="224" t="s">
        <v>433</v>
      </c>
      <c r="L10" s="222">
        <v>105</v>
      </c>
      <c r="N10" s="52">
        <v>9</v>
      </c>
      <c r="O10" s="224" t="s">
        <v>452</v>
      </c>
      <c r="P10" s="222">
        <v>3</v>
      </c>
      <c r="R10" s="52">
        <v>9</v>
      </c>
      <c r="S10" s="224" t="s">
        <v>441</v>
      </c>
      <c r="T10" s="222">
        <v>13</v>
      </c>
    </row>
    <row r="11" spans="1:20" x14ac:dyDescent="0.25">
      <c r="F11" s="52">
        <v>10</v>
      </c>
      <c r="G11" s="224" t="s">
        <v>406</v>
      </c>
      <c r="H11" s="222" t="s">
        <v>403</v>
      </c>
      <c r="J11" s="52">
        <v>10</v>
      </c>
      <c r="K11" s="224" t="s">
        <v>434</v>
      </c>
      <c r="L11" s="222">
        <v>93</v>
      </c>
      <c r="N11" s="52">
        <v>10</v>
      </c>
      <c r="O11" s="224" t="s">
        <v>453</v>
      </c>
      <c r="P11" s="222">
        <v>2</v>
      </c>
      <c r="R11" s="52">
        <v>10</v>
      </c>
      <c r="S11" s="224" t="s">
        <v>466</v>
      </c>
      <c r="T11" s="222">
        <v>12</v>
      </c>
    </row>
    <row r="12" spans="1:20" x14ac:dyDescent="0.25">
      <c r="F12" s="52">
        <v>11</v>
      </c>
      <c r="G12" s="224" t="s">
        <v>407</v>
      </c>
      <c r="H12" s="222" t="s">
        <v>403</v>
      </c>
      <c r="J12" s="52">
        <v>11</v>
      </c>
      <c r="K12" s="224" t="s">
        <v>420</v>
      </c>
      <c r="L12" s="222">
        <v>83</v>
      </c>
      <c r="N12" s="52">
        <v>10</v>
      </c>
      <c r="O12" s="227" t="s">
        <v>474</v>
      </c>
      <c r="P12" s="222">
        <v>2</v>
      </c>
      <c r="R12" s="52">
        <v>10</v>
      </c>
      <c r="S12" s="227" t="s">
        <v>374</v>
      </c>
      <c r="T12" s="222">
        <v>12</v>
      </c>
    </row>
    <row r="13" spans="1:20" x14ac:dyDescent="0.25">
      <c r="F13" s="52">
        <v>12</v>
      </c>
      <c r="G13" s="224" t="s">
        <v>409</v>
      </c>
      <c r="H13" s="222" t="s">
        <v>408</v>
      </c>
      <c r="J13" s="52">
        <v>12</v>
      </c>
      <c r="K13" s="224" t="s">
        <v>421</v>
      </c>
      <c r="L13" s="222">
        <v>78</v>
      </c>
      <c r="N13" s="52">
        <v>11</v>
      </c>
      <c r="O13" s="224" t="s">
        <v>454</v>
      </c>
      <c r="P13" s="222">
        <v>1</v>
      </c>
      <c r="R13" s="52">
        <v>12</v>
      </c>
      <c r="S13" s="224" t="s">
        <v>467</v>
      </c>
      <c r="T13" s="222">
        <v>11</v>
      </c>
    </row>
    <row r="14" spans="1:20" x14ac:dyDescent="0.25">
      <c r="F14" s="52">
        <v>13</v>
      </c>
      <c r="G14" s="224" t="s">
        <v>410</v>
      </c>
      <c r="H14" s="222" t="s">
        <v>408</v>
      </c>
      <c r="J14" s="52">
        <v>13</v>
      </c>
      <c r="K14" s="224" t="s">
        <v>411</v>
      </c>
      <c r="L14" s="222">
        <v>67</v>
      </c>
      <c r="N14" s="52">
        <v>11</v>
      </c>
      <c r="O14" s="224" t="s">
        <v>455</v>
      </c>
      <c r="P14" s="222">
        <v>1</v>
      </c>
      <c r="R14" s="52">
        <v>12</v>
      </c>
      <c r="S14" s="224" t="s">
        <v>448</v>
      </c>
      <c r="T14" s="222">
        <v>11</v>
      </c>
    </row>
    <row r="15" spans="1:20" x14ac:dyDescent="0.25">
      <c r="F15" s="52">
        <v>14</v>
      </c>
      <c r="G15" s="224" t="s">
        <v>411</v>
      </c>
      <c r="H15" s="222" t="s">
        <v>408</v>
      </c>
      <c r="J15" s="52">
        <v>14</v>
      </c>
      <c r="K15" s="224" t="s">
        <v>398</v>
      </c>
      <c r="L15" s="222">
        <v>64</v>
      </c>
      <c r="N15" s="52">
        <v>11</v>
      </c>
      <c r="O15" s="224" t="s">
        <v>456</v>
      </c>
      <c r="P15" s="222">
        <v>1</v>
      </c>
      <c r="R15" s="52">
        <v>14</v>
      </c>
      <c r="S15" s="224" t="s">
        <v>468</v>
      </c>
      <c r="T15" s="222">
        <v>8</v>
      </c>
    </row>
    <row r="16" spans="1:20" x14ac:dyDescent="0.25">
      <c r="F16" s="52">
        <v>15</v>
      </c>
      <c r="G16" s="224" t="s">
        <v>412</v>
      </c>
      <c r="H16" s="222" t="s">
        <v>408</v>
      </c>
      <c r="J16" s="52">
        <v>15</v>
      </c>
      <c r="K16" s="224" t="s">
        <v>422</v>
      </c>
      <c r="L16" s="222">
        <v>60</v>
      </c>
      <c r="N16" s="52">
        <v>11</v>
      </c>
      <c r="O16" s="224" t="s">
        <v>457</v>
      </c>
      <c r="P16" s="222">
        <v>1</v>
      </c>
      <c r="R16" s="52">
        <v>15</v>
      </c>
      <c r="S16" s="224" t="s">
        <v>469</v>
      </c>
      <c r="T16" s="222">
        <v>8</v>
      </c>
    </row>
    <row r="17" spans="6:20" x14ac:dyDescent="0.25">
      <c r="F17" s="52">
        <v>16</v>
      </c>
      <c r="G17" s="224" t="s">
        <v>413</v>
      </c>
      <c r="H17" s="222" t="s">
        <v>408</v>
      </c>
      <c r="J17" s="52">
        <v>15</v>
      </c>
      <c r="K17" s="224" t="s">
        <v>412</v>
      </c>
      <c r="L17" s="222">
        <v>60</v>
      </c>
      <c r="N17" s="52">
        <v>11</v>
      </c>
      <c r="O17" s="224" t="s">
        <v>458</v>
      </c>
      <c r="P17" s="222">
        <v>1</v>
      </c>
      <c r="R17" s="52">
        <v>16</v>
      </c>
      <c r="S17" s="224" t="s">
        <v>439</v>
      </c>
      <c r="T17" s="222">
        <v>8</v>
      </c>
    </row>
    <row r="18" spans="6:20" x14ac:dyDescent="0.25">
      <c r="F18" s="52">
        <v>17</v>
      </c>
      <c r="G18" s="224" t="s">
        <v>415</v>
      </c>
      <c r="H18" s="222" t="s">
        <v>414</v>
      </c>
      <c r="J18" s="52">
        <v>17</v>
      </c>
      <c r="K18" s="224" t="s">
        <v>436</v>
      </c>
      <c r="L18" s="222">
        <v>58</v>
      </c>
      <c r="N18" s="52">
        <v>11</v>
      </c>
      <c r="O18" s="224" t="s">
        <v>459</v>
      </c>
      <c r="P18" s="222">
        <v>1</v>
      </c>
      <c r="R18" s="52">
        <v>17</v>
      </c>
      <c r="S18" s="224" t="s">
        <v>470</v>
      </c>
      <c r="T18" s="222">
        <v>7</v>
      </c>
    </row>
    <row r="19" spans="6:20" x14ac:dyDescent="0.25">
      <c r="F19" s="52">
        <v>18</v>
      </c>
      <c r="G19" s="224" t="s">
        <v>416</v>
      </c>
      <c r="H19" s="222" t="s">
        <v>414</v>
      </c>
      <c r="J19" s="52">
        <v>18</v>
      </c>
      <c r="K19" s="224" t="s">
        <v>437</v>
      </c>
      <c r="L19" s="222">
        <v>57</v>
      </c>
      <c r="N19" s="52">
        <v>11</v>
      </c>
      <c r="O19" s="224" t="s">
        <v>460</v>
      </c>
      <c r="P19" s="222">
        <v>1</v>
      </c>
      <c r="R19" s="52">
        <v>18</v>
      </c>
      <c r="S19" s="224" t="s">
        <v>471</v>
      </c>
      <c r="T19" s="222">
        <v>7</v>
      </c>
    </row>
    <row r="20" spans="6:20" x14ac:dyDescent="0.25">
      <c r="F20" s="52">
        <v>19</v>
      </c>
      <c r="G20" s="224" t="s">
        <v>417</v>
      </c>
      <c r="H20" s="222" t="s">
        <v>414</v>
      </c>
      <c r="J20" s="52">
        <v>18</v>
      </c>
      <c r="K20" s="224" t="s">
        <v>392</v>
      </c>
      <c r="L20" s="222">
        <v>57</v>
      </c>
      <c r="N20" s="52">
        <v>11</v>
      </c>
      <c r="O20" s="224" t="s">
        <v>461</v>
      </c>
      <c r="P20" s="222">
        <v>1</v>
      </c>
      <c r="R20" s="52">
        <v>19</v>
      </c>
      <c r="S20" s="224" t="s">
        <v>472</v>
      </c>
      <c r="T20" s="222">
        <v>6</v>
      </c>
    </row>
    <row r="21" spans="6:20" x14ac:dyDescent="0.25">
      <c r="F21" s="52">
        <v>20</v>
      </c>
      <c r="G21" s="224" t="s">
        <v>418</v>
      </c>
      <c r="H21" s="222" t="s">
        <v>414</v>
      </c>
      <c r="J21" s="52">
        <v>20</v>
      </c>
      <c r="K21" s="224" t="s">
        <v>438</v>
      </c>
      <c r="L21" s="222">
        <v>56</v>
      </c>
      <c r="N21" s="52">
        <v>11</v>
      </c>
      <c r="O21" s="224" t="s">
        <v>462</v>
      </c>
      <c r="P21" s="222">
        <v>1</v>
      </c>
      <c r="R21" s="52">
        <v>20</v>
      </c>
      <c r="S21" s="224" t="s">
        <v>473</v>
      </c>
      <c r="T21" s="222">
        <v>6</v>
      </c>
    </row>
    <row r="22" spans="6:20" x14ac:dyDescent="0.25">
      <c r="F22" s="52">
        <v>21</v>
      </c>
      <c r="G22" s="224" t="s">
        <v>419</v>
      </c>
      <c r="H22" s="222" t="s">
        <v>414</v>
      </c>
      <c r="J22" s="52">
        <v>20</v>
      </c>
      <c r="K22" s="224" t="s">
        <v>416</v>
      </c>
      <c r="L22" s="222">
        <v>56</v>
      </c>
      <c r="N22" s="52">
        <v>11</v>
      </c>
      <c r="O22" s="224" t="s">
        <v>463</v>
      </c>
      <c r="P22" s="222">
        <v>1</v>
      </c>
      <c r="R22" s="52">
        <v>21</v>
      </c>
      <c r="S22" s="224" t="s">
        <v>435</v>
      </c>
      <c r="T22" s="222">
        <v>6</v>
      </c>
    </row>
    <row r="23" spans="6:20" x14ac:dyDescent="0.25">
      <c r="F23" s="52">
        <v>22</v>
      </c>
      <c r="G23" s="224" t="s">
        <v>420</v>
      </c>
      <c r="H23" s="222" t="s">
        <v>414</v>
      </c>
      <c r="J23" s="52">
        <v>22</v>
      </c>
      <c r="K23" s="224" t="s">
        <v>401</v>
      </c>
      <c r="L23" s="222">
        <v>54</v>
      </c>
      <c r="N23" s="52">
        <v>11</v>
      </c>
      <c r="O23" s="227" t="s">
        <v>297</v>
      </c>
      <c r="P23" s="222">
        <v>1</v>
      </c>
    </row>
    <row r="24" spans="6:20" x14ac:dyDescent="0.25">
      <c r="F24" s="52">
        <v>23</v>
      </c>
      <c r="G24" s="224" t="s">
        <v>421</v>
      </c>
      <c r="H24" s="222" t="s">
        <v>414</v>
      </c>
      <c r="J24" s="52">
        <v>23</v>
      </c>
      <c r="K24" s="224" t="s">
        <v>425</v>
      </c>
      <c r="L24" s="222">
        <v>51</v>
      </c>
      <c r="O24" s="110"/>
      <c r="P24" s="222"/>
    </row>
    <row r="25" spans="6:20" x14ac:dyDescent="0.25">
      <c r="F25" s="52">
        <v>24</v>
      </c>
      <c r="G25" s="224" t="s">
        <v>422</v>
      </c>
      <c r="H25" s="222" t="s">
        <v>414</v>
      </c>
      <c r="J25" s="52">
        <v>23</v>
      </c>
      <c r="K25" s="224" t="s">
        <v>439</v>
      </c>
      <c r="L25" s="222">
        <v>51</v>
      </c>
      <c r="O25" s="110"/>
      <c r="P25" s="222"/>
    </row>
    <row r="26" spans="6:20" x14ac:dyDescent="0.25">
      <c r="F26" s="52">
        <v>25</v>
      </c>
      <c r="G26" s="224" t="s">
        <v>423</v>
      </c>
      <c r="H26" s="222" t="s">
        <v>414</v>
      </c>
      <c r="J26" s="52">
        <v>25</v>
      </c>
      <c r="K26" s="224" t="s">
        <v>440</v>
      </c>
      <c r="L26" s="222">
        <v>50</v>
      </c>
      <c r="O26" s="110"/>
      <c r="P26" s="222"/>
    </row>
    <row r="27" spans="6:20" x14ac:dyDescent="0.25">
      <c r="F27" s="52">
        <v>26</v>
      </c>
      <c r="G27" s="224" t="s">
        <v>424</v>
      </c>
      <c r="H27" s="222" t="s">
        <v>414</v>
      </c>
      <c r="J27" s="52">
        <v>26</v>
      </c>
      <c r="K27" s="224" t="s">
        <v>441</v>
      </c>
      <c r="L27" s="222">
        <v>49</v>
      </c>
      <c r="O27" s="110"/>
      <c r="P27" s="222"/>
    </row>
    <row r="28" spans="6:20" x14ac:dyDescent="0.25">
      <c r="F28" s="52">
        <v>27</v>
      </c>
      <c r="G28" s="224" t="s">
        <v>425</v>
      </c>
      <c r="H28" s="222" t="s">
        <v>414</v>
      </c>
      <c r="J28" s="52">
        <v>27</v>
      </c>
      <c r="K28" s="224" t="s">
        <v>442</v>
      </c>
      <c r="L28" s="222">
        <v>46</v>
      </c>
      <c r="O28" s="110"/>
      <c r="P28" s="222"/>
    </row>
    <row r="29" spans="6:20" x14ac:dyDescent="0.25">
      <c r="F29" s="52">
        <v>28</v>
      </c>
      <c r="G29" s="224" t="s">
        <v>426</v>
      </c>
      <c r="H29" s="222" t="s">
        <v>414</v>
      </c>
      <c r="J29" s="52">
        <v>27</v>
      </c>
      <c r="K29" s="224" t="s">
        <v>443</v>
      </c>
      <c r="L29" s="222">
        <v>46</v>
      </c>
      <c r="O29" s="110"/>
      <c r="P29" s="222"/>
    </row>
    <row r="30" spans="6:20" x14ac:dyDescent="0.25">
      <c r="F30" s="52">
        <v>29</v>
      </c>
      <c r="G30" s="224" t="s">
        <v>427</v>
      </c>
      <c r="H30" s="222" t="s">
        <v>414</v>
      </c>
      <c r="J30" s="52">
        <v>29</v>
      </c>
      <c r="K30" s="224" t="s">
        <v>444</v>
      </c>
      <c r="L30" s="222">
        <v>45</v>
      </c>
      <c r="O30" s="110"/>
      <c r="P30" s="222"/>
    </row>
    <row r="31" spans="6:20" x14ac:dyDescent="0.25">
      <c r="F31" s="52">
        <v>30</v>
      </c>
      <c r="G31" s="224" t="s">
        <v>428</v>
      </c>
      <c r="H31" s="222" t="s">
        <v>414</v>
      </c>
      <c r="J31" s="52">
        <v>29</v>
      </c>
      <c r="K31" s="224" t="s">
        <v>428</v>
      </c>
      <c r="L31" s="222">
        <v>45</v>
      </c>
      <c r="O31" s="110"/>
      <c r="P31" s="222"/>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
    <tabColor rgb="FF00B050"/>
  </sheetPr>
  <dimension ref="A1:AT27"/>
  <sheetViews>
    <sheetView tabSelected="1" zoomScaleNormal="100" workbookViewId="0">
      <pane xSplit="4" ySplit="3" topLeftCell="E4" activePane="bottomRight" state="frozen"/>
      <selection pane="topRight" activeCell="E1" sqref="E1"/>
      <selection pane="bottomLeft" activeCell="A4" sqref="A4"/>
      <selection pane="bottomRight" activeCell="AF9" sqref="AF9"/>
    </sheetView>
  </sheetViews>
  <sheetFormatPr baseColWidth="10" defaultColWidth="9.140625" defaultRowHeight="15" x14ac:dyDescent="0.25"/>
  <cols>
    <col min="1" max="1" width="4.7109375" bestFit="1" customWidth="1"/>
    <col min="2" max="2" width="5" bestFit="1" customWidth="1"/>
    <col min="3" max="3" width="6.140625" bestFit="1" customWidth="1"/>
    <col min="4" max="4" width="16.4257812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0" width="10.42578125" bestFit="1" customWidth="1"/>
    <col min="21" max="22" width="9.42578125" bestFit="1" customWidth="1"/>
    <col min="23" max="23" width="7.5703125" bestFit="1" customWidth="1"/>
    <col min="24" max="26" width="4.5703125" bestFit="1" customWidth="1"/>
    <col min="27" max="27" width="5.5703125" bestFit="1" customWidth="1"/>
    <col min="28" max="30" width="4.5703125" bestFit="1" customWidth="1"/>
    <col min="31" max="31" width="7" bestFit="1" customWidth="1"/>
    <col min="32" max="32" width="8.5703125" bestFit="1" customWidth="1"/>
    <col min="33" max="33" width="6.42578125" bestFit="1" customWidth="1"/>
    <col min="34" max="34" width="7" bestFit="1" customWidth="1"/>
    <col min="35" max="35" width="6" bestFit="1" customWidth="1"/>
    <col min="36" max="36" width="7.5703125" bestFit="1" customWidth="1"/>
    <col min="37" max="37" width="8.140625" bestFit="1" customWidth="1"/>
    <col min="38"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row>
    <row r="2" spans="1:46" x14ac:dyDescent="0.25">
      <c r="D2" s="30">
        <f ca="1">TODAY()</f>
        <v>43322</v>
      </c>
      <c r="I2" s="32">
        <f>AVERAGE(I4:I22)</f>
        <v>1.9684210526315784</v>
      </c>
      <c r="J2" s="32"/>
      <c r="N2" s="37">
        <f ca="1">AVERAGE(N4:N22)</f>
        <v>1.0239466545014935</v>
      </c>
      <c r="O2" s="32">
        <f>AVERAGE(O4:O22)</f>
        <v>3.2789473684210528</v>
      </c>
      <c r="Q2" s="32">
        <f>AVERAGE(Q4:Q22)</f>
        <v>6.0526315789473681</v>
      </c>
      <c r="R2" s="116">
        <f>AVERAGE(R4:R22)</f>
        <v>0.92870020849769286</v>
      </c>
      <c r="S2" s="116">
        <f>AVERAGE(S4:S22)</f>
        <v>0.98771422588859592</v>
      </c>
      <c r="T2" s="38">
        <f>SUM(T4:T22)</f>
        <v>123740</v>
      </c>
      <c r="U2" s="38">
        <f>SUM(U4:U22)</f>
        <v>4810</v>
      </c>
      <c r="V2" s="38">
        <f>SUM(V4:V22)</f>
        <v>13190</v>
      </c>
      <c r="W2" s="39">
        <f>T2/V2</f>
        <v>9.381349507202426</v>
      </c>
      <c r="AD2" s="37">
        <f>AVERAGE(AD4:AD22)</f>
        <v>3.0736842105263156</v>
      </c>
      <c r="AE2" s="33">
        <f>AVERAGE(AE4:AE22)</f>
        <v>548.10526315789468</v>
      </c>
      <c r="AF2" s="33"/>
      <c r="AL2" s="32"/>
      <c r="AM2" s="32"/>
      <c r="AN2" s="32"/>
      <c r="AO2" s="32"/>
      <c r="AQ2" s="32"/>
      <c r="AR2" s="32"/>
      <c r="AS2" s="32"/>
    </row>
    <row r="3" spans="1:46" x14ac:dyDescent="0.25">
      <c r="A3" s="10" t="s">
        <v>1</v>
      </c>
      <c r="B3" s="10" t="s">
        <v>2</v>
      </c>
      <c r="C3" s="11" t="s">
        <v>184</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192</v>
      </c>
      <c r="V3" s="10" t="s">
        <v>13</v>
      </c>
      <c r="W3" s="10" t="s">
        <v>14</v>
      </c>
      <c r="X3" s="10" t="s">
        <v>15</v>
      </c>
      <c r="Y3" s="10" t="s">
        <v>16</v>
      </c>
      <c r="Z3" s="10" t="s">
        <v>17</v>
      </c>
      <c r="AA3" s="10" t="s">
        <v>18</v>
      </c>
      <c r="AB3" s="10" t="s">
        <v>19</v>
      </c>
      <c r="AC3" s="10" t="s">
        <v>20</v>
      </c>
      <c r="AD3" s="10" t="s">
        <v>6</v>
      </c>
      <c r="AE3" s="10" t="s">
        <v>21</v>
      </c>
      <c r="AF3" s="10" t="s">
        <v>296</v>
      </c>
      <c r="AG3" s="14" t="s">
        <v>26</v>
      </c>
      <c r="AH3" s="14" t="s">
        <v>27</v>
      </c>
      <c r="AI3" s="14" t="s">
        <v>88</v>
      </c>
      <c r="AJ3" s="14" t="s">
        <v>175</v>
      </c>
      <c r="AK3" s="14" t="s">
        <v>176</v>
      </c>
      <c r="AL3" s="14" t="s">
        <v>22</v>
      </c>
      <c r="AM3" s="14" t="s">
        <v>23</v>
      </c>
      <c r="AN3" s="14" t="s">
        <v>24</v>
      </c>
      <c r="AO3" s="14" t="s">
        <v>25</v>
      </c>
      <c r="AP3" s="10" t="s">
        <v>180</v>
      </c>
      <c r="AQ3" s="10" t="s">
        <v>182</v>
      </c>
      <c r="AR3" s="10" t="s">
        <v>178</v>
      </c>
      <c r="AS3" s="10" t="s">
        <v>179</v>
      </c>
      <c r="AT3" s="34" t="s">
        <v>291</v>
      </c>
    </row>
    <row r="4" spans="1:46" x14ac:dyDescent="0.25">
      <c r="A4" s="15" t="s">
        <v>29</v>
      </c>
      <c r="B4" s="15" t="s">
        <v>28</v>
      </c>
      <c r="C4" s="121">
        <f ca="1">((33*112)-(E4*112)-(F4))/112</f>
        <v>13.160714285714286</v>
      </c>
      <c r="D4" s="214" t="s">
        <v>474</v>
      </c>
      <c r="E4" s="16">
        <v>19</v>
      </c>
      <c r="F4" s="2">
        <f ca="1">$D$2-$D$1-880+32-112</f>
        <v>94</v>
      </c>
      <c r="G4" s="18"/>
      <c r="H4" s="220">
        <v>5</v>
      </c>
      <c r="I4" s="27">
        <v>0.7</v>
      </c>
      <c r="J4" s="22">
        <f>LOG(I4)*4/3</f>
        <v>-0.20653594664765759</v>
      </c>
      <c r="K4" s="6">
        <f>(H4)*(H4)*(I4)</f>
        <v>17.5</v>
      </c>
      <c r="L4" s="6">
        <f>(H4+1)*(H4+1)*I4</f>
        <v>25.2</v>
      </c>
      <c r="M4" s="130">
        <v>43190</v>
      </c>
      <c r="N4" s="131">
        <f ca="1">IF((TODAY()-M4)&gt;335,1,((TODAY()-M4)^0.64)/(336^0.64))</f>
        <v>0.54993350287914911</v>
      </c>
      <c r="O4" s="19">
        <v>3.5</v>
      </c>
      <c r="P4" s="20">
        <f>O4*10+19</f>
        <v>54</v>
      </c>
      <c r="Q4" s="26">
        <v>7</v>
      </c>
      <c r="R4" s="115">
        <f>(Q4/7)^0.5</f>
        <v>1</v>
      </c>
      <c r="S4" s="115">
        <f>IF(Q4=7,1,((Q4+0.99)/7)^0.5)</f>
        <v>1</v>
      </c>
      <c r="T4" s="29">
        <v>3210</v>
      </c>
      <c r="U4" s="29">
        <f>T4-AT4</f>
        <v>-150</v>
      </c>
      <c r="V4" s="29">
        <v>1170</v>
      </c>
      <c r="W4" s="8">
        <f>T4/V4</f>
        <v>2.7435897435897436</v>
      </c>
      <c r="X4" s="21">
        <v>6</v>
      </c>
      <c r="Y4" s="22">
        <v>3</v>
      </c>
      <c r="Z4" s="21">
        <v>0</v>
      </c>
      <c r="AA4" s="22">
        <v>1</v>
      </c>
      <c r="AB4" s="21">
        <v>0</v>
      </c>
      <c r="AC4" s="22">
        <v>1</v>
      </c>
      <c r="AD4" s="21">
        <v>1</v>
      </c>
      <c r="AE4" s="9">
        <v>202</v>
      </c>
      <c r="AF4" s="9">
        <v>1397</v>
      </c>
      <c r="AG4" s="23">
        <f ca="1">(AD4+1+(LOG(I4)*4/3)+N4)*(Q4/7)^0.5</f>
        <v>2.3433975562314915</v>
      </c>
      <c r="AH4" s="23">
        <f ca="1">(AD4+1+N4+(LOG(I4)*4/3))*(IF(Q4=7, (Q4/7)^0.5, ((Q4+1)/7)^0.5))</f>
        <v>2.3433975562314915</v>
      </c>
      <c r="AI4" s="23">
        <f ca="1">(Z4+N4+(LOG(I4)*4/3))</f>
        <v>0.34339755623149149</v>
      </c>
      <c r="AJ4" s="120">
        <f ca="1">(Z4+N4+(LOG(I4)*4/3))*(Q4/7)^0.5</f>
        <v>0.34339755623149149</v>
      </c>
      <c r="AK4" s="120">
        <f ca="1">(Z4+N4+(LOG(I4)*4/3))*(IF(Q4=7, (Q4/7)^0.5, ((Q4+1)/7)^0.5))</f>
        <v>0.34339755623149149</v>
      </c>
      <c r="AL4" s="8">
        <f ca="1">(((Y4+LOG(I4)*4/3+N4)+(AB4+LOG(I4)*4/3+N4)*2)/8)*(Q4/7)^0.5</f>
        <v>0.50377408358680931</v>
      </c>
      <c r="AM4" s="8">
        <f ca="1">(AD4+LOG(I4)*4/3+N4)*0.7+(AC4+LOG(I4)*4/3+N4)*0.3</f>
        <v>1.3433975562314915</v>
      </c>
      <c r="AN4" s="8">
        <f t="shared" ref="AN4" ca="1" si="0">(0.5*(AC4+LOG(I4)*4/3+N4)+ 0.3*(AD4+LOG(I4)*4/3+N4))/10</f>
        <v>0.10747180449851931</v>
      </c>
      <c r="AO4" s="8">
        <f t="shared" ref="AO4" ca="1" si="1">(0.4*(Y4+LOG(I4)*4/3+N4)+0.3*(AD4+LOG(I4)*4/3+N4))/10</f>
        <v>0.1740378289362044</v>
      </c>
      <c r="AP4" s="129">
        <f>IF(AR4=4,IF(AS4=0,0.137+0.0697,0.137+0.02),IF(AR4=3,IF(AS4=0,0.0958+0.0697,0.0958+0.02),IF(AR4=2,IF(AS4=0,0.0415+0.0697,0.0415+0.02),IF(AR4=1,IF(AS4=0,0.0294+0.0697,0.0294+0.02),IF(AR4=0,IF(AS4=0,0.0063+0.0697,0.0063+0.02))))))</f>
        <v>2.63E-2</v>
      </c>
      <c r="AQ4" s="20">
        <v>3</v>
      </c>
      <c r="AR4" s="20">
        <v>0</v>
      </c>
      <c r="AS4" s="20">
        <v>2</v>
      </c>
      <c r="AT4" s="213">
        <v>3360</v>
      </c>
    </row>
    <row r="5" spans="1:46" x14ac:dyDescent="0.25">
      <c r="A5" s="15" t="s">
        <v>475</v>
      </c>
      <c r="B5" s="24" t="s">
        <v>28</v>
      </c>
      <c r="C5" s="121">
        <f ca="1">((33*112)-(E5*112)-(F5))/112</f>
        <v>13.223214285714286</v>
      </c>
      <c r="D5" s="215" t="s">
        <v>476</v>
      </c>
      <c r="E5" s="1">
        <v>19</v>
      </c>
      <c r="F5" s="2">
        <f ca="1">$D$2-$D$1-880+25-112</f>
        <v>87</v>
      </c>
      <c r="G5" s="3"/>
      <c r="H5" s="220">
        <v>5</v>
      </c>
      <c r="I5" s="5">
        <v>1</v>
      </c>
      <c r="J5" s="22">
        <f>LOG(I5)*4/3</f>
        <v>0</v>
      </c>
      <c r="K5" s="6">
        <f>(H5)*(H5)*(I5)</f>
        <v>25</v>
      </c>
      <c r="L5" s="6">
        <f>(H5+1)*(H5+1)*I5</f>
        <v>36</v>
      </c>
      <c r="M5" s="130">
        <v>43242</v>
      </c>
      <c r="N5" s="131">
        <v>1.5</v>
      </c>
      <c r="O5" s="25">
        <v>3.5</v>
      </c>
      <c r="P5" s="20">
        <f>O5*10+19</f>
        <v>54</v>
      </c>
      <c r="Q5" s="26">
        <v>7</v>
      </c>
      <c r="R5" s="115">
        <f>(Q5/7)^0.5</f>
        <v>1</v>
      </c>
      <c r="S5" s="115">
        <f>IF(Q5=7,1,((Q5+0.99)/7)^0.5)</f>
        <v>1</v>
      </c>
      <c r="T5" s="29">
        <v>1710</v>
      </c>
      <c r="U5" s="29">
        <f>T5-AT5</f>
        <v>0</v>
      </c>
      <c r="V5" s="7">
        <v>830</v>
      </c>
      <c r="W5" s="8">
        <f>T5/V5</f>
        <v>2.0602409638554215</v>
      </c>
      <c r="X5" s="21">
        <v>4</v>
      </c>
      <c r="Y5" s="22">
        <v>3</v>
      </c>
      <c r="Z5" s="21">
        <v>0</v>
      </c>
      <c r="AA5" s="22">
        <v>1</v>
      </c>
      <c r="AB5" s="21">
        <v>1</v>
      </c>
      <c r="AC5" s="22">
        <v>1</v>
      </c>
      <c r="AD5" s="21">
        <v>4</v>
      </c>
      <c r="AE5" s="9">
        <v>183</v>
      </c>
      <c r="AF5" s="9">
        <v>1389</v>
      </c>
      <c r="AG5" s="23">
        <f t="shared" ref="AG5" si="2">(AD5+1+(LOG(I5)*4/3)+N5)*(Q5/7)^0.5</f>
        <v>6.5</v>
      </c>
      <c r="AH5" s="23">
        <f t="shared" ref="AH5" si="3">(AD5+1+N5+(LOG(I5)*4/3))*(IF(Q5=7, (Q5/7)^0.5, ((Q5+1)/7)^0.5))</f>
        <v>6.5</v>
      </c>
      <c r="AI5" s="23">
        <f t="shared" ref="AI5" si="4">(Z5+N5+(LOG(I5)*4/3))</f>
        <v>1.5</v>
      </c>
      <c r="AJ5" s="120">
        <f t="shared" ref="AJ5" si="5">(Z5+N5+(LOG(I5)*4/3))*(Q5/7)^0.5</f>
        <v>1.5</v>
      </c>
      <c r="AK5" s="120">
        <f t="shared" ref="AK5" si="6">(Z5+N5+(LOG(I5)*4/3))*(IF(Q5=7, (Q5/7)^0.5, ((Q5+1)/7)^0.5))</f>
        <v>1.5</v>
      </c>
      <c r="AL5" s="8">
        <f t="shared" ref="AL5" si="7">(((Y5+LOG(I5)*4/3+N5)+(AB5+LOG(I5)*4/3+N5)*2)/8)*(Q5/7)^0.5</f>
        <v>1.1875</v>
      </c>
      <c r="AM5" s="8">
        <f t="shared" ref="AM5" si="8">(AD5+LOG(I5)*4/3+N5)*0.7+(AC5+LOG(I5)*4/3+N5)*0.3</f>
        <v>4.5999999999999996</v>
      </c>
      <c r="AN5" s="8">
        <f t="shared" ref="AN5" si="9">(0.5*(AC5+LOG(I5)*4/3+N5)+ 0.3*(AD5+LOG(I5)*4/3+N5))/10</f>
        <v>0.28999999999999998</v>
      </c>
      <c r="AO5" s="8">
        <f t="shared" ref="AO5" si="10">(0.4*(Y5+LOG(I5)*4/3+N5)+0.3*(AD5+LOG(I5)*4/3+N5))/10</f>
        <v>0.34500000000000003</v>
      </c>
      <c r="AP5" s="129">
        <f>IF(AR5=4,IF(AS5=0,0.137+0.0697,0.137+0.02),IF(AR5=3,IF(AS5=0,0.0958+0.0697,0.0958+0.02),IF(AR5=2,IF(AS5=0,0.0415+0.0697,0.0415+0.02),IF(AR5=1,IF(AS5=0,0.0294+0.0697,0.0294+0.02),IF(AR5=0,IF(AS5=0,0.0063+0.0697,0.0063+0.02))))))</f>
        <v>6.1499999999999999E-2</v>
      </c>
      <c r="AQ5" s="20">
        <v>1</v>
      </c>
      <c r="AR5" s="20">
        <v>2</v>
      </c>
      <c r="AS5" s="20">
        <v>4</v>
      </c>
      <c r="AT5" s="213">
        <v>1710</v>
      </c>
    </row>
    <row r="6" spans="1:46" x14ac:dyDescent="0.25">
      <c r="A6" s="15" t="s">
        <v>32</v>
      </c>
      <c r="B6" s="15" t="s">
        <v>360</v>
      </c>
      <c r="C6" s="121">
        <f ca="1">((33*112)-(E6*112)-(F6))/112</f>
        <v>8.9553571428571423</v>
      </c>
      <c r="D6" s="215" t="s">
        <v>374</v>
      </c>
      <c r="E6" s="1">
        <v>24</v>
      </c>
      <c r="F6" s="2">
        <f ca="1">$D$2-$D$1-880+55-112-112</f>
        <v>5</v>
      </c>
      <c r="G6" s="3" t="s">
        <v>295</v>
      </c>
      <c r="H6" s="4">
        <v>4</v>
      </c>
      <c r="I6" s="5">
        <v>3.2</v>
      </c>
      <c r="J6" s="22">
        <f>LOG(I6)*4/3</f>
        <v>0.67353330442654136</v>
      </c>
      <c r="K6" s="6">
        <f>(H6)*(H6)*(I6)</f>
        <v>51.2</v>
      </c>
      <c r="L6" s="6">
        <f>(H6+1)*(H6+1)*I6</f>
        <v>80</v>
      </c>
      <c r="M6" s="130">
        <v>43097</v>
      </c>
      <c r="N6" s="131">
        <f ca="1">IF((TODAY()-M6)&gt;335,1,((TODAY()-M6)^0.64)/(336^0.64))</f>
        <v>0.77364134993024503</v>
      </c>
      <c r="O6" s="25">
        <v>4.5999999999999996</v>
      </c>
      <c r="P6" s="20">
        <f>O6*10+19</f>
        <v>65</v>
      </c>
      <c r="Q6" s="26">
        <v>7</v>
      </c>
      <c r="R6" s="115">
        <f>(Q6/7)^0.5</f>
        <v>1</v>
      </c>
      <c r="S6" s="115">
        <f>IF(Q6=7,1,((Q6+0.99)/7)^0.5)</f>
        <v>1</v>
      </c>
      <c r="T6" s="29">
        <v>9080</v>
      </c>
      <c r="U6" s="29">
        <f>T6-AT6</f>
        <v>20</v>
      </c>
      <c r="V6" s="7">
        <v>750</v>
      </c>
      <c r="W6" s="8">
        <f>T6/V6</f>
        <v>12.106666666666667</v>
      </c>
      <c r="X6" s="21">
        <v>0</v>
      </c>
      <c r="Y6" s="22">
        <v>7</v>
      </c>
      <c r="Z6" s="21">
        <v>2</v>
      </c>
      <c r="AA6" s="22">
        <v>6</v>
      </c>
      <c r="AB6" s="21">
        <f>7+0.25*11/90</f>
        <v>7.0305555555555559</v>
      </c>
      <c r="AC6" s="22">
        <f>5+1/21+1/21+1/21+1/21+1/21+1/21+1/21+1/21+1/21+1/21+1/21+1/21</f>
        <v>5.5714285714285694</v>
      </c>
      <c r="AD6" s="21">
        <v>4</v>
      </c>
      <c r="AE6" s="9">
        <v>669</v>
      </c>
      <c r="AF6" s="9">
        <v>1227</v>
      </c>
      <c r="AG6" s="23">
        <f ca="1">(AD6+1+(LOG(I6)*4/3)+N6)*(Q6/7)^0.5</f>
        <v>6.4471746543567869</v>
      </c>
      <c r="AH6" s="23">
        <f ca="1">(AD6+1+N6+(LOG(I6)*4/3))*(IF(Q6=7, (Q6/7)^0.5, ((Q6+1)/7)^0.5))</f>
        <v>6.4471746543567869</v>
      </c>
      <c r="AI6" s="23">
        <f ca="1">(Z6+N6+(LOG(I6)*4/3))</f>
        <v>3.4471746543567865</v>
      </c>
      <c r="AJ6" s="120">
        <f ca="1">(Z6+N6+(LOG(I6)*4/3))*(Q6/7)^0.5</f>
        <v>3.4471746543567865</v>
      </c>
      <c r="AK6" s="120">
        <f ca="1">(Z6+N6+(LOG(I6)*4/3))*(IF(Q6=7, (Q6/7)^0.5, ((Q6+1)/7)^0.5))</f>
        <v>3.4471746543567865</v>
      </c>
      <c r="AL6" s="8">
        <f ca="1">(((Y6+LOG(I6)*4/3+N6)+(AB6+LOG(I6)*4/3+N6)*2)/8)*(Q6/7)^0.5</f>
        <v>3.175329384272684</v>
      </c>
      <c r="AM6" s="8">
        <f ca="1">(AD6+LOG(I6)*4/3+N6)*0.7+(AC6+LOG(I6)*4/3+N6)*0.3</f>
        <v>5.9186032257853576</v>
      </c>
      <c r="AN6" s="8">
        <f ca="1">(0.5*(AC6+LOG(I6)*4/3+N6)+ 0.3*(AD6+LOG(I6)*4/3+N6))/10</f>
        <v>0.51434540091997139</v>
      </c>
      <c r="AO6" s="8">
        <f ca="1">(0.4*(Y6+LOG(I6)*4/3+N6)+0.3*(AD6+LOG(I6)*4/3+N6))/10</f>
        <v>0.50130222580497508</v>
      </c>
      <c r="AP6" s="129">
        <f>IF(AR6=4,IF(AS6=0,0.137+0.0697,0.137+0.02),IF(AR6=3,IF(AS6=0,0.0958+0.0697,0.0958+0.02),IF(AR6=2,IF(AS6=0,0.0415+0.0697,0.0415+0.02),IF(AR6=1,IF(AS6=0,0.0294+0.0697,0.0294+0.02),IF(AR6=0,IF(AS6=0,0.0063+0.0697,0.0063+0.02))))))</f>
        <v>4.9399999999999999E-2</v>
      </c>
      <c r="AQ6" s="20">
        <v>4</v>
      </c>
      <c r="AR6" s="20">
        <v>1</v>
      </c>
      <c r="AS6" s="20">
        <v>2</v>
      </c>
      <c r="AT6">
        <v>9060</v>
      </c>
    </row>
    <row r="7" spans="1:46" x14ac:dyDescent="0.25">
      <c r="A7" s="15" t="s">
        <v>39</v>
      </c>
      <c r="B7" s="15" t="s">
        <v>360</v>
      </c>
      <c r="C7" s="121">
        <f ca="1">((33*112)-(E7*112)-(F7))/112</f>
        <v>13.946428571428571</v>
      </c>
      <c r="D7" s="214" t="s">
        <v>375</v>
      </c>
      <c r="E7" s="16">
        <v>19</v>
      </c>
      <c r="F7" s="2">
        <f ca="1">$D$2-$D$1-880+56-112-112</f>
        <v>6</v>
      </c>
      <c r="G7" s="18"/>
      <c r="H7" s="4">
        <v>1</v>
      </c>
      <c r="I7" s="27">
        <v>2.7</v>
      </c>
      <c r="J7" s="22">
        <f>LOG(I7)*4/3</f>
        <v>0.57515168554531648</v>
      </c>
      <c r="K7" s="6">
        <f>(H7)*(H7)*(I7)</f>
        <v>2.7</v>
      </c>
      <c r="L7" s="6">
        <f>(H7+1)*(H7+1)*I7</f>
        <v>10.8</v>
      </c>
      <c r="M7" s="130">
        <v>43097</v>
      </c>
      <c r="N7" s="131">
        <v>1.5</v>
      </c>
      <c r="O7" s="19">
        <v>2.8</v>
      </c>
      <c r="P7" s="20">
        <f>O7*10+19</f>
        <v>47</v>
      </c>
      <c r="Q7" s="20">
        <v>6</v>
      </c>
      <c r="R7" s="115">
        <f>(Q7/7)^0.5</f>
        <v>0.92582009977255142</v>
      </c>
      <c r="S7" s="115">
        <f>IF(Q7=7,1,((Q7+0.99)/7)^0.5)</f>
        <v>0.99928545900129484</v>
      </c>
      <c r="T7" s="29">
        <v>3620</v>
      </c>
      <c r="U7" s="29">
        <f>T7-AT7</f>
        <v>420</v>
      </c>
      <c r="V7" s="29">
        <v>610</v>
      </c>
      <c r="W7" s="8">
        <f>T7/V7</f>
        <v>5.9344262295081966</v>
      </c>
      <c r="X7" s="21">
        <v>0</v>
      </c>
      <c r="Y7" s="22">
        <v>5</v>
      </c>
      <c r="Z7" s="21">
        <v>6.7</v>
      </c>
      <c r="AA7" s="22">
        <v>7.9</v>
      </c>
      <c r="AB7" s="21">
        <v>3</v>
      </c>
      <c r="AC7" s="22">
        <f>3+1/15+1/15+1/15+1/15+1/15*80/90+1/15+1/15+1/15+1/15+1/15+1/15+1/15</f>
        <v>3.792592592592595</v>
      </c>
      <c r="AD7" s="21">
        <v>2</v>
      </c>
      <c r="AE7" s="9">
        <v>533</v>
      </c>
      <c r="AF7" s="9">
        <v>1852</v>
      </c>
      <c r="AG7" s="23">
        <f>(AD7+1+(LOG(I7)*4/3)+N7)*(Q7/7)^0.5</f>
        <v>4.6986774398723972</v>
      </c>
      <c r="AH7" s="23">
        <f>(AD7+1+N7+(LOG(I7)*4/3))*(IF(Q7=7, (Q7/7)^0.5, ((Q7+1)/7)^0.5))</f>
        <v>5.0751516855453165</v>
      </c>
      <c r="AI7" s="23">
        <f>(Z7+N7+(LOG(I7)*4/3))</f>
        <v>8.7751516855453158</v>
      </c>
      <c r="AJ7" s="120">
        <f>(Z7+N7+(LOG(I7)*4/3))*(Q7/7)^0.5</f>
        <v>8.1242118090308377</v>
      </c>
      <c r="AK7" s="120">
        <f>(Z7+N7+(LOG(I7)*4/3))*(IF(Q7=7, (Q7/7)^0.5, ((Q7+1)/7)^0.5))</f>
        <v>8.7751516855453158</v>
      </c>
      <c r="AL7" s="8">
        <f>(((Y7+LOG(I7)*4/3+N7)+(AB7+LOG(I7)*4/3+N7)*2)/8)*(Q7/7)^0.5</f>
        <v>1.993459064895287</v>
      </c>
      <c r="AM7" s="8">
        <f>(AD7+LOG(I7)*4/3+N7)*0.7+(AC7+LOG(I7)*4/3+N7)*0.3</f>
        <v>4.6129294633230948</v>
      </c>
      <c r="AN7" s="8">
        <f>(0.5*(AC7+LOG(I7)*4/3+N7)+ 0.3*(AD7+LOG(I7)*4/3+N7))/10</f>
        <v>0.41564176447325502</v>
      </c>
      <c r="AO7" s="8">
        <f>(0.4*(Y7+LOG(I7)*4/3+N7)+0.3*(AD7+LOG(I7)*4/3+N7))/10</f>
        <v>0.4052606179881722</v>
      </c>
      <c r="AP7" s="129">
        <f>IF(AR7=4,IF(AS7=0,0.137+0.0697,0.137+0.02),IF(AR7=3,IF(AS7=0,0.0958+0.0697,0.0958+0.02),IF(AR7=2,IF(AS7=0,0.0415+0.0697,0.0415+0.02),IF(AR7=1,IF(AS7=0,0.0294+0.0697,0.0294+0.02),IF(AR7=0,IF(AS7=0,0.0063+0.0697,0.0063+0.02))))))</f>
        <v>6.1499999999999999E-2</v>
      </c>
      <c r="AQ7" s="20">
        <v>2</v>
      </c>
      <c r="AR7" s="20">
        <v>2</v>
      </c>
      <c r="AS7" s="20">
        <v>1</v>
      </c>
      <c r="AT7">
        <v>3200</v>
      </c>
    </row>
    <row r="8" spans="1:46" x14ac:dyDescent="0.25">
      <c r="A8" s="15" t="s">
        <v>477</v>
      </c>
      <c r="B8" s="15" t="s">
        <v>360</v>
      </c>
      <c r="C8" s="121">
        <f ca="1">((33*112)-(E8*112)-(F8))/112</f>
        <v>13.267857142857142</v>
      </c>
      <c r="D8" s="214" t="s">
        <v>478</v>
      </c>
      <c r="E8" s="16">
        <v>19</v>
      </c>
      <c r="F8" s="2">
        <f ca="1">$D$2-$D$1-880+25-112-5</f>
        <v>82</v>
      </c>
      <c r="G8" s="18"/>
      <c r="H8" s="4">
        <v>4</v>
      </c>
      <c r="I8" s="27">
        <v>2.1</v>
      </c>
      <c r="J8" s="22">
        <f>LOG(I8)*4/3</f>
        <v>0.42962572631189239</v>
      </c>
      <c r="K8" s="6">
        <f>(H8)*(H8)*(I8)</f>
        <v>33.6</v>
      </c>
      <c r="L8" s="6">
        <f>(H8+1)*(H8+1)*I8</f>
        <v>52.5</v>
      </c>
      <c r="M8" s="130">
        <v>43238</v>
      </c>
      <c r="N8" s="131">
        <v>1.5</v>
      </c>
      <c r="O8" s="19">
        <v>3.5</v>
      </c>
      <c r="P8" s="20">
        <f>O8*10+19</f>
        <v>54</v>
      </c>
      <c r="Q8" s="26">
        <v>6</v>
      </c>
      <c r="R8" s="115">
        <f>(Q8/7)^0.5</f>
        <v>0.92582009977255142</v>
      </c>
      <c r="S8" s="115">
        <f>IF(Q8=7,1,((Q8+0.99)/7)^0.5)</f>
        <v>0.99928545900129484</v>
      </c>
      <c r="T8" s="29">
        <v>720</v>
      </c>
      <c r="U8" s="29">
        <f>T8-AT8</f>
        <v>10</v>
      </c>
      <c r="V8" s="29">
        <v>350</v>
      </c>
      <c r="W8" s="8">
        <f>T8/V8</f>
        <v>2.0571428571428569</v>
      </c>
      <c r="X8" s="21">
        <v>0</v>
      </c>
      <c r="Y8" s="22">
        <v>6</v>
      </c>
      <c r="Z8" s="21">
        <v>2</v>
      </c>
      <c r="AA8" s="22">
        <v>2</v>
      </c>
      <c r="AB8" s="21">
        <v>2</v>
      </c>
      <c r="AC8" s="22">
        <v>4</v>
      </c>
      <c r="AD8" s="21">
        <v>5</v>
      </c>
      <c r="AE8" s="9">
        <v>376</v>
      </c>
      <c r="AF8" s="9">
        <v>1683</v>
      </c>
      <c r="AG8" s="23">
        <f>(AD8+1+(LOG(I8)*4/3)+N8)*(Q8/7)^0.5</f>
        <v>7.3414068810930662</v>
      </c>
      <c r="AH8" s="23">
        <f>(AD8+1+N8+(LOG(I8)*4/3))*(IF(Q8=7, (Q8/7)^0.5, ((Q8+1)/7)^0.5))</f>
        <v>7.9296257263118921</v>
      </c>
      <c r="AI8" s="23">
        <f>(Z8+N8+(LOG(I8)*4/3))</f>
        <v>3.9296257263118926</v>
      </c>
      <c r="AJ8" s="120">
        <f>(Z8+N8+(LOG(I8)*4/3))*(Q8/7)^0.5</f>
        <v>3.6381264820028614</v>
      </c>
      <c r="AK8" s="120">
        <f>(Z8+N8+(LOG(I8)*4/3))*(IF(Q8=7, (Q8/7)^0.5, ((Q8+1)/7)^0.5))</f>
        <v>3.9296257263118926</v>
      </c>
      <c r="AL8" s="8">
        <f>(((Y8+LOG(I8)*4/3+N8)+(AB8+LOG(I8)*4/3+N8)*2)/8)*(Q8/7)^0.5</f>
        <v>1.8272074806373486</v>
      </c>
      <c r="AM8" s="8">
        <f>(AD8+LOG(I8)*4/3+N8)*0.7+(AC8+LOG(I8)*4/3+N8)*0.3</f>
        <v>6.6296257263118923</v>
      </c>
      <c r="AN8" s="8">
        <f>(0.5*(AC8+LOG(I8)*4/3+N8)+ 0.3*(AD8+LOG(I8)*4/3+N8))/10</f>
        <v>0.50437005810495139</v>
      </c>
      <c r="AO8" s="8">
        <f>(0.4*(Y8+LOG(I8)*4/3+N8)+0.3*(AD8+LOG(I8)*4/3+N8))/10</f>
        <v>0.52507380084183253</v>
      </c>
      <c r="AP8" s="129">
        <f>IF(AR8=4,IF(AS8=0,0.137+0.0697,0.137+0.02),IF(AR8=3,IF(AS8=0,0.0958+0.0697,0.0958+0.02),IF(AR8=2,IF(AS8=0,0.0415+0.0697,0.0415+0.02),IF(AR8=1,IF(AS8=0,0.0294+0.0697,0.0294+0.02),IF(AR8=0,IF(AS8=0,0.0063+0.0697,0.0063+0.02))))))</f>
        <v>4.9399999999999999E-2</v>
      </c>
      <c r="AQ8" s="20">
        <v>2</v>
      </c>
      <c r="AR8" s="20">
        <v>1</v>
      </c>
      <c r="AS8" s="20">
        <v>1</v>
      </c>
      <c r="AT8" s="213">
        <v>710</v>
      </c>
    </row>
    <row r="9" spans="1:46" x14ac:dyDescent="0.25">
      <c r="A9" s="15" t="s">
        <v>38</v>
      </c>
      <c r="B9" s="15" t="s">
        <v>193</v>
      </c>
      <c r="C9" s="121">
        <f t="shared" ref="C9:C16" ca="1" si="11">((33*112)-(E9*112)-(F9))/112</f>
        <v>13.357142857142858</v>
      </c>
      <c r="D9" s="225" t="s">
        <v>371</v>
      </c>
      <c r="E9" s="16">
        <v>19</v>
      </c>
      <c r="F9" s="2">
        <f ca="1">$D$2-$D$1-870-112</f>
        <v>72</v>
      </c>
      <c r="G9" s="18" t="s">
        <v>70</v>
      </c>
      <c r="H9" s="4">
        <v>0</v>
      </c>
      <c r="I9" s="27">
        <v>2.7</v>
      </c>
      <c r="J9" s="22">
        <f t="shared" ref="J9:J16" si="12">LOG(I9)*4/3</f>
        <v>0.57515168554531648</v>
      </c>
      <c r="K9" s="6">
        <f t="shared" ref="K9:K16" si="13">(H9)*(H9)*(I9)</f>
        <v>0</v>
      </c>
      <c r="L9" s="6">
        <f t="shared" ref="L9:L16" si="14">(H9+1)*(H9+1)*I9</f>
        <v>2.7</v>
      </c>
      <c r="M9" s="130">
        <v>43081</v>
      </c>
      <c r="N9" s="131">
        <f ca="1">IF((TODAY()-M9)&gt;335,1,((TODAY()-M9)^0.64)/(336^0.64))</f>
        <v>0.8084138953110972</v>
      </c>
      <c r="O9" s="19">
        <v>2.6</v>
      </c>
      <c r="P9" s="20">
        <f t="shared" ref="P9:P16" si="15">O9*10+19</f>
        <v>45</v>
      </c>
      <c r="Q9" s="26">
        <v>7</v>
      </c>
      <c r="R9" s="115">
        <f t="shared" ref="R9:R16" si="16">(Q9/7)^0.5</f>
        <v>1</v>
      </c>
      <c r="S9" s="115">
        <f t="shared" ref="S9:S16" si="17">IF(Q9=7,1,((Q9+0.99)/7)^0.5)</f>
        <v>1</v>
      </c>
      <c r="T9" s="29">
        <v>17120</v>
      </c>
      <c r="U9" s="29">
        <f t="shared" ref="U9:U16" si="18">T9-AT9</f>
        <v>970</v>
      </c>
      <c r="V9" s="29">
        <v>1210</v>
      </c>
      <c r="W9" s="8">
        <f t="shared" ref="W9:W16" si="19">T9/V9</f>
        <v>14.148760330578513</v>
      </c>
      <c r="X9" s="21">
        <v>0</v>
      </c>
      <c r="Y9" s="22">
        <v>6</v>
      </c>
      <c r="Z9" s="21">
        <v>5</v>
      </c>
      <c r="AA9" s="22">
        <v>9.3000000000000007</v>
      </c>
      <c r="AB9" s="21">
        <f>5.8+0.2+0.2</f>
        <v>6.2</v>
      </c>
      <c r="AC9" s="22">
        <f>5+0.34+0.33+0.33+0.25+0.25+0.25+0.25+0.25+0.25+0.25+0.25+0.25</f>
        <v>8.25</v>
      </c>
      <c r="AD9" s="21">
        <v>0</v>
      </c>
      <c r="AE9" s="9">
        <v>864</v>
      </c>
      <c r="AF9" s="9">
        <v>2090</v>
      </c>
      <c r="AG9" s="23">
        <f t="shared" ref="AG9:AG16" ca="1" si="20">(AD9+1+(LOG(I9)*4/3)+N9)*(Q9/7)^0.5</f>
        <v>2.3835655808564136</v>
      </c>
      <c r="AH9" s="23">
        <f t="shared" ref="AH9:AH16" ca="1" si="21">(AD9+1+N9+(LOG(I9)*4/3))*(IF(Q9=7, (Q9/7)^0.5, ((Q9+1)/7)^0.5))</f>
        <v>2.3835655808564136</v>
      </c>
      <c r="AI9" s="23">
        <f t="shared" ref="AI9:AI16" ca="1" si="22">(Z9+N9+(LOG(I9)*4/3))</f>
        <v>6.3835655808564136</v>
      </c>
      <c r="AJ9" s="120">
        <f t="shared" ref="AJ9:AJ16" ca="1" si="23">(Z9+N9+(LOG(I9)*4/3))*(Q9/7)^0.5</f>
        <v>6.3835655808564136</v>
      </c>
      <c r="AK9" s="120">
        <f t="shared" ref="AK9:AK16" ca="1" si="24">(Z9+N9+(LOG(I9)*4/3))*(IF(Q9=7, (Q9/7)^0.5, ((Q9+1)/7)^0.5))</f>
        <v>6.3835655808564136</v>
      </c>
      <c r="AL9" s="8">
        <f t="shared" ref="AL9:AL16" ca="1" si="25">(((Y9+LOG(I9)*4/3+N9)+(AB9+LOG(I9)*4/3+N9)*2)/8)*(Q9/7)^0.5</f>
        <v>2.818837092821155</v>
      </c>
      <c r="AM9" s="8">
        <f t="shared" ref="AM9:AM16" ca="1" si="26">(AD9+LOG(I9)*4/3+N9)*0.7+(AC9+LOG(I9)*4/3+N9)*0.3</f>
        <v>3.8585655808564137</v>
      </c>
      <c r="AN9" s="8">
        <f t="shared" ref="AN9:AN16" ca="1" si="27">(0.5*(AC9+LOG(I9)*4/3+N9)+ 0.3*(AD9+LOG(I9)*4/3+N9))/10</f>
        <v>0.52318524646851317</v>
      </c>
      <c r="AO9" s="8">
        <f t="shared" ref="AO9:AO16" ca="1" si="28">(0.4*(Y9+LOG(I9)*4/3+N9)+0.3*(AD9+LOG(I9)*4/3+N9))/10</f>
        <v>0.33684959065994896</v>
      </c>
      <c r="AP9" s="129">
        <f t="shared" ref="AP9:AP23" si="29">IF(AR9=4,IF(AS9=0,0.137+0.0697,0.137+0.02),IF(AR9=3,IF(AS9=0,0.0958+0.0697,0.0958+0.02),IF(AR9=2,IF(AS9=0,0.0415+0.0697,0.0415+0.02),IF(AR9=1,IF(AS9=0,0.0294+0.0697,0.0294+0.02),IF(AR9=0,IF(AS9=0,0.0063+0.0697,0.0063+0.02))))))</f>
        <v>6.1499999999999999E-2</v>
      </c>
      <c r="AQ9" s="20">
        <v>1</v>
      </c>
      <c r="AR9" s="20">
        <v>2</v>
      </c>
      <c r="AS9" s="20">
        <v>2</v>
      </c>
      <c r="AT9" s="213">
        <v>16150</v>
      </c>
    </row>
    <row r="10" spans="1:46" x14ac:dyDescent="0.25">
      <c r="A10" s="15" t="s">
        <v>43</v>
      </c>
      <c r="B10" s="15" t="s">
        <v>193</v>
      </c>
      <c r="C10" s="121">
        <f t="shared" ca="1" si="11"/>
        <v>13.446428571428571</v>
      </c>
      <c r="D10" s="225" t="s">
        <v>380</v>
      </c>
      <c r="E10" s="1">
        <v>19</v>
      </c>
      <c r="F10" s="2">
        <f ca="1">$D$2-$D$1-880-112</f>
        <v>62</v>
      </c>
      <c r="G10" s="3" t="s">
        <v>295</v>
      </c>
      <c r="H10" s="220">
        <v>5</v>
      </c>
      <c r="I10" s="5">
        <v>2.1</v>
      </c>
      <c r="J10" s="22">
        <f t="shared" si="12"/>
        <v>0.42962572631189239</v>
      </c>
      <c r="K10" s="6">
        <f t="shared" si="13"/>
        <v>52.5</v>
      </c>
      <c r="L10" s="6">
        <f t="shared" si="14"/>
        <v>75.600000000000009</v>
      </c>
      <c r="M10" s="130">
        <v>43137</v>
      </c>
      <c r="N10" s="131">
        <f ca="1">IF((TODAY()-M10)&gt;335,1,((TODAY()-M10)^0.64)/(336^0.64))</f>
        <v>0.68254732455041356</v>
      </c>
      <c r="O10" s="25">
        <v>2.5</v>
      </c>
      <c r="P10" s="20">
        <f t="shared" si="15"/>
        <v>44</v>
      </c>
      <c r="Q10" s="26">
        <v>6</v>
      </c>
      <c r="R10" s="115">
        <f t="shared" si="16"/>
        <v>0.92582009977255142</v>
      </c>
      <c r="S10" s="115">
        <f t="shared" si="17"/>
        <v>0.99928545900129484</v>
      </c>
      <c r="T10" s="29">
        <v>11280</v>
      </c>
      <c r="U10" s="29">
        <f t="shared" si="18"/>
        <v>530</v>
      </c>
      <c r="V10" s="7">
        <v>950</v>
      </c>
      <c r="W10" s="8">
        <f t="shared" si="19"/>
        <v>11.873684210526315</v>
      </c>
      <c r="X10" s="21">
        <v>0</v>
      </c>
      <c r="Y10" s="22">
        <v>8</v>
      </c>
      <c r="Z10" s="21">
        <v>4</v>
      </c>
      <c r="AA10" s="22">
        <v>9</v>
      </c>
      <c r="AB10" s="21">
        <f>4+0.25</f>
        <v>4.25</v>
      </c>
      <c r="AC10" s="22">
        <f>5.25+0.25+0.25+0.25+0.25+0.25+0.25+0.25</f>
        <v>7</v>
      </c>
      <c r="AD10" s="21">
        <v>3</v>
      </c>
      <c r="AE10" s="9">
        <v>833</v>
      </c>
      <c r="AF10" s="9">
        <v>2069</v>
      </c>
      <c r="AG10" s="23">
        <f t="shared" ca="1" si="20"/>
        <v>4.7329525640038881</v>
      </c>
      <c r="AH10" s="23">
        <f t="shared" ca="1" si="21"/>
        <v>5.1121730508623058</v>
      </c>
      <c r="AI10" s="23">
        <f t="shared" ca="1" si="22"/>
        <v>5.1121730508623058</v>
      </c>
      <c r="AJ10" s="120">
        <f t="shared" ca="1" si="23"/>
        <v>4.7329525640038881</v>
      </c>
      <c r="AK10" s="120">
        <f t="shared" ca="1" si="24"/>
        <v>5.1121730508623058</v>
      </c>
      <c r="AL10" s="8">
        <f t="shared" ca="1" si="25"/>
        <v>2.2956310176235184</v>
      </c>
      <c r="AM10" s="8">
        <f t="shared" ca="1" si="26"/>
        <v>5.3121730508623051</v>
      </c>
      <c r="AN10" s="8">
        <f t="shared" ca="1" si="27"/>
        <v>0.5289738440689844</v>
      </c>
      <c r="AO10" s="8">
        <f t="shared" ca="1" si="28"/>
        <v>0.4878521135603614</v>
      </c>
      <c r="AP10" s="129">
        <f t="shared" si="29"/>
        <v>6.1499999999999999E-2</v>
      </c>
      <c r="AQ10" s="20">
        <v>1</v>
      </c>
      <c r="AR10" s="20">
        <v>2</v>
      </c>
      <c r="AS10" s="20">
        <v>3</v>
      </c>
      <c r="AT10">
        <v>10750</v>
      </c>
    </row>
    <row r="11" spans="1:46" x14ac:dyDescent="0.25">
      <c r="A11" s="15" t="s">
        <v>33</v>
      </c>
      <c r="B11" s="15" t="s">
        <v>193</v>
      </c>
      <c r="C11" s="121">
        <f t="shared" ca="1" si="11"/>
        <v>13.794642857142858</v>
      </c>
      <c r="D11" s="225" t="s">
        <v>379</v>
      </c>
      <c r="E11" s="1">
        <v>19</v>
      </c>
      <c r="F11" s="2">
        <f ca="1">$D$2-$D$1-919-112</f>
        <v>23</v>
      </c>
      <c r="G11" s="3" t="s">
        <v>45</v>
      </c>
      <c r="H11" s="4">
        <v>3</v>
      </c>
      <c r="I11" s="5">
        <v>2.6</v>
      </c>
      <c r="J11" s="22">
        <f t="shared" si="12"/>
        <v>0.55329779729442397</v>
      </c>
      <c r="K11" s="6">
        <f t="shared" si="13"/>
        <v>23.400000000000002</v>
      </c>
      <c r="L11" s="6">
        <f t="shared" si="14"/>
        <v>41.6</v>
      </c>
      <c r="M11" s="130">
        <v>43122</v>
      </c>
      <c r="N11" s="131">
        <f ca="1">IF((TODAY()-M11)&gt;335,1,((TODAY()-M11)^0.64)/(336^0.64))</f>
        <v>0.7174672135553215</v>
      </c>
      <c r="O11" s="25">
        <v>2.8</v>
      </c>
      <c r="P11" s="20">
        <f t="shared" si="15"/>
        <v>47</v>
      </c>
      <c r="Q11" s="26">
        <v>5</v>
      </c>
      <c r="R11" s="115">
        <f t="shared" si="16"/>
        <v>0.84515425472851657</v>
      </c>
      <c r="S11" s="115">
        <f t="shared" si="17"/>
        <v>0.92504826128926143</v>
      </c>
      <c r="T11" s="29">
        <v>12700</v>
      </c>
      <c r="U11" s="29">
        <f t="shared" si="18"/>
        <v>660</v>
      </c>
      <c r="V11" s="7">
        <v>1110</v>
      </c>
      <c r="W11" s="8">
        <f t="shared" si="19"/>
        <v>11.441441441441441</v>
      </c>
      <c r="X11" s="21">
        <v>0</v>
      </c>
      <c r="Y11" s="22">
        <v>6</v>
      </c>
      <c r="Z11" s="21">
        <v>3</v>
      </c>
      <c r="AA11" s="22">
        <v>9.4</v>
      </c>
      <c r="AB11" s="21">
        <v>7</v>
      </c>
      <c r="AC11" s="22">
        <f>4.25+0.25+0.25+0.25+0.25+0.25+0.25+0.25+0.25+0.25+0.25+0.25</f>
        <v>7</v>
      </c>
      <c r="AD11" s="21">
        <v>3</v>
      </c>
      <c r="AE11" s="9">
        <v>808</v>
      </c>
      <c r="AF11" s="9">
        <v>2103</v>
      </c>
      <c r="AG11" s="23">
        <f t="shared" ca="1" si="20"/>
        <v>4.454609474593858</v>
      </c>
      <c r="AH11" s="23">
        <f t="shared" ca="1" si="21"/>
        <v>4.8797801882225844</v>
      </c>
      <c r="AI11" s="23">
        <f t="shared" ca="1" si="22"/>
        <v>4.270765010849745</v>
      </c>
      <c r="AJ11" s="120">
        <f t="shared" ca="1" si="23"/>
        <v>3.6094552198653411</v>
      </c>
      <c r="AK11" s="120">
        <f t="shared" ca="1" si="24"/>
        <v>3.9539600884500326</v>
      </c>
      <c r="AL11" s="8">
        <f t="shared" ca="1" si="25"/>
        <v>2.5156328077012136</v>
      </c>
      <c r="AM11" s="8">
        <f t="shared" ca="1" si="26"/>
        <v>5.4707650108497443</v>
      </c>
      <c r="AN11" s="8">
        <f t="shared" ca="1" si="27"/>
        <v>0.54166120086797964</v>
      </c>
      <c r="AO11" s="8">
        <f t="shared" ca="1" si="28"/>
        <v>0.41895355075948215</v>
      </c>
      <c r="AP11" s="129">
        <f t="shared" si="29"/>
        <v>2.63E-2</v>
      </c>
      <c r="AQ11" s="20">
        <v>2</v>
      </c>
      <c r="AR11" s="20">
        <v>0</v>
      </c>
      <c r="AS11" s="20">
        <v>2</v>
      </c>
      <c r="AT11" s="213">
        <v>12040</v>
      </c>
    </row>
    <row r="12" spans="1:46" x14ac:dyDescent="0.25">
      <c r="A12" s="15" t="s">
        <v>41</v>
      </c>
      <c r="B12" s="15" t="s">
        <v>193</v>
      </c>
      <c r="C12" s="121">
        <f t="shared" ca="1" si="11"/>
        <v>13.446428571428571</v>
      </c>
      <c r="D12" s="225" t="s">
        <v>301</v>
      </c>
      <c r="E12" s="16">
        <v>19</v>
      </c>
      <c r="F12" s="2">
        <f ca="1">$D$2-$D$1-880-112</f>
        <v>62</v>
      </c>
      <c r="G12" s="18" t="s">
        <v>295</v>
      </c>
      <c r="H12" s="40">
        <v>6</v>
      </c>
      <c r="I12" s="27">
        <v>2.7</v>
      </c>
      <c r="J12" s="22">
        <f t="shared" si="12"/>
        <v>0.57515168554531648</v>
      </c>
      <c r="K12" s="6">
        <f t="shared" si="13"/>
        <v>97.2</v>
      </c>
      <c r="L12" s="6">
        <f t="shared" si="14"/>
        <v>132.30000000000001</v>
      </c>
      <c r="M12" s="130">
        <v>43051</v>
      </c>
      <c r="N12" s="131">
        <f ca="1">IF((TODAY()-M12)&gt;335,1,((TODAY()-M12)^0.64)/(336^0.64))</f>
        <v>0.87145147362407149</v>
      </c>
      <c r="O12" s="19">
        <v>3.6</v>
      </c>
      <c r="P12" s="20">
        <f t="shared" si="15"/>
        <v>55</v>
      </c>
      <c r="Q12" s="26">
        <v>6</v>
      </c>
      <c r="R12" s="115">
        <f t="shared" si="16"/>
        <v>0.92582009977255142</v>
      </c>
      <c r="S12" s="115">
        <f t="shared" si="17"/>
        <v>0.99928545900129484</v>
      </c>
      <c r="T12" s="29">
        <v>14390</v>
      </c>
      <c r="U12" s="29">
        <f t="shared" si="18"/>
        <v>1390</v>
      </c>
      <c r="V12" s="29">
        <v>750</v>
      </c>
      <c r="W12" s="8">
        <f t="shared" si="19"/>
        <v>19.186666666666667</v>
      </c>
      <c r="X12" s="21">
        <v>0</v>
      </c>
      <c r="Y12" s="22">
        <v>6</v>
      </c>
      <c r="Z12" s="21">
        <v>3</v>
      </c>
      <c r="AA12" s="22">
        <v>9.9</v>
      </c>
      <c r="AB12" s="21">
        <f>5.4+0.2+0.2+0.2</f>
        <v>6.0000000000000009</v>
      </c>
      <c r="AC12" s="22">
        <f>3.34+0.34+0.33+0.33+0.33+0.33+0.33+0.33+0.33+0.26+0.25+0.25+0.25+0.25</f>
        <v>7.25</v>
      </c>
      <c r="AD12" s="21">
        <v>3</v>
      </c>
      <c r="AE12" s="9">
        <v>772</v>
      </c>
      <c r="AF12" s="9">
        <v>2012</v>
      </c>
      <c r="AG12" s="23">
        <f t="shared" ca="1" si="20"/>
        <v>5.042574680243697</v>
      </c>
      <c r="AH12" s="23">
        <f t="shared" ca="1" si="21"/>
        <v>5.4466031591693884</v>
      </c>
      <c r="AI12" s="23">
        <f t="shared" ca="1" si="22"/>
        <v>4.4466031591693884</v>
      </c>
      <c r="AJ12" s="120">
        <f t="shared" ca="1" si="23"/>
        <v>4.1167545804711452</v>
      </c>
      <c r="AK12" s="120">
        <f t="shared" ca="1" si="24"/>
        <v>4.4466031591693884</v>
      </c>
      <c r="AL12" s="8">
        <f t="shared" ca="1" si="25"/>
        <v>2.5853305799207997</v>
      </c>
      <c r="AM12" s="8">
        <f t="shared" ca="1" si="26"/>
        <v>5.7216031591693879</v>
      </c>
      <c r="AN12" s="8">
        <f t="shared" ca="1" si="27"/>
        <v>0.56822825273355115</v>
      </c>
      <c r="AO12" s="8">
        <f t="shared" ca="1" si="28"/>
        <v>0.43126222114185725</v>
      </c>
      <c r="AP12" s="129">
        <f t="shared" si="29"/>
        <v>6.1499999999999999E-2</v>
      </c>
      <c r="AQ12" s="20">
        <v>2</v>
      </c>
      <c r="AR12" s="20">
        <v>2</v>
      </c>
      <c r="AS12" s="20">
        <v>1</v>
      </c>
      <c r="AT12">
        <v>13000</v>
      </c>
    </row>
    <row r="13" spans="1:46" x14ac:dyDescent="0.25">
      <c r="A13" s="15" t="s">
        <v>35</v>
      </c>
      <c r="B13" s="15" t="s">
        <v>193</v>
      </c>
      <c r="C13" s="121">
        <f t="shared" ca="1" si="11"/>
        <v>13.669642857142858</v>
      </c>
      <c r="D13" s="214" t="s">
        <v>376</v>
      </c>
      <c r="E13" s="16">
        <v>19</v>
      </c>
      <c r="F13" s="2">
        <f ca="1">$D$2-$D$1-880-25-112</f>
        <v>37</v>
      </c>
      <c r="G13" s="18" t="s">
        <v>45</v>
      </c>
      <c r="H13" s="40">
        <v>6</v>
      </c>
      <c r="I13" s="27">
        <v>2.2999999999999998</v>
      </c>
      <c r="J13" s="22">
        <f t="shared" si="12"/>
        <v>0.48230378135679047</v>
      </c>
      <c r="K13" s="6">
        <f t="shared" si="13"/>
        <v>82.8</v>
      </c>
      <c r="L13" s="6">
        <f t="shared" si="14"/>
        <v>112.69999999999999</v>
      </c>
      <c r="M13" s="130">
        <v>43097</v>
      </c>
      <c r="N13" s="131">
        <f ca="1">IF((TODAY()-M13)&gt;335,1,((TODAY()-M13)^0.64)/(336^0.64))</f>
        <v>0.77364134993024503</v>
      </c>
      <c r="O13" s="25">
        <v>2.8</v>
      </c>
      <c r="P13" s="20">
        <f t="shared" si="15"/>
        <v>47</v>
      </c>
      <c r="Q13" s="20">
        <v>6</v>
      </c>
      <c r="R13" s="115">
        <f t="shared" si="16"/>
        <v>0.92582009977255142</v>
      </c>
      <c r="S13" s="115">
        <f t="shared" si="17"/>
        <v>0.99928545900129484</v>
      </c>
      <c r="T13" s="29">
        <v>4650</v>
      </c>
      <c r="U13" s="29">
        <f t="shared" si="18"/>
        <v>250</v>
      </c>
      <c r="V13" s="29">
        <v>490</v>
      </c>
      <c r="W13" s="8">
        <f t="shared" si="19"/>
        <v>9.4897959183673475</v>
      </c>
      <c r="X13" s="21">
        <v>0</v>
      </c>
      <c r="Y13" s="22">
        <v>6</v>
      </c>
      <c r="Z13" s="21">
        <v>3</v>
      </c>
      <c r="AA13" s="22">
        <v>8</v>
      </c>
      <c r="AB13" s="21">
        <f>3+0.33</f>
        <v>3.33</v>
      </c>
      <c r="AC13" s="22">
        <f>5.19+0.25+0.25+1/17+0.25+1/21+1/21+1/21+1/21+1/21+1/21+6/90*0.25+1/21</f>
        <v>6.3488235294117636</v>
      </c>
      <c r="AD13" s="21">
        <v>4</v>
      </c>
      <c r="AE13" s="9">
        <v>617</v>
      </c>
      <c r="AF13" s="9">
        <v>1888</v>
      </c>
      <c r="AG13" s="23">
        <f t="shared" ca="1" si="20"/>
        <v>5.791879745619771</v>
      </c>
      <c r="AH13" s="23">
        <f t="shared" ca="1" si="21"/>
        <v>6.255945131287036</v>
      </c>
      <c r="AI13" s="23">
        <f t="shared" ca="1" si="22"/>
        <v>4.255945131287036</v>
      </c>
      <c r="AJ13" s="120">
        <f t="shared" ca="1" si="23"/>
        <v>3.9402395460746682</v>
      </c>
      <c r="AK13" s="120">
        <f t="shared" ca="1" si="24"/>
        <v>4.255945131287036</v>
      </c>
      <c r="AL13" s="8">
        <f t="shared" ca="1" si="25"/>
        <v>1.9011525254239425</v>
      </c>
      <c r="AM13" s="8">
        <f t="shared" ca="1" si="26"/>
        <v>5.9605921901105647</v>
      </c>
      <c r="AN13" s="8">
        <f t="shared" ca="1" si="27"/>
        <v>0.53791678697355105</v>
      </c>
      <c r="AO13" s="8">
        <f t="shared" ca="1" si="28"/>
        <v>0.44791615919009253</v>
      </c>
      <c r="AP13" s="129">
        <f t="shared" si="29"/>
        <v>0.1158</v>
      </c>
      <c r="AQ13" s="20">
        <v>2</v>
      </c>
      <c r="AR13" s="20">
        <v>3</v>
      </c>
      <c r="AS13" s="20">
        <v>1</v>
      </c>
      <c r="AT13">
        <v>4400</v>
      </c>
    </row>
    <row r="14" spans="1:46" x14ac:dyDescent="0.25">
      <c r="A14" s="15" t="s">
        <v>357</v>
      </c>
      <c r="B14" s="24" t="s">
        <v>193</v>
      </c>
      <c r="C14" s="121">
        <f t="shared" ca="1" si="11"/>
        <v>13.053571428571429</v>
      </c>
      <c r="D14" s="215" t="s">
        <v>299</v>
      </c>
      <c r="E14" s="1">
        <v>19</v>
      </c>
      <c r="F14" s="2">
        <f ca="1">$D$2-$D$1-880+44-112</f>
        <v>106</v>
      </c>
      <c r="G14" s="3" t="s">
        <v>70</v>
      </c>
      <c r="H14" s="4">
        <v>2</v>
      </c>
      <c r="I14" s="5">
        <v>1.2</v>
      </c>
      <c r="J14" s="22">
        <f t="shared" si="12"/>
        <v>0.10557499473016642</v>
      </c>
      <c r="K14" s="6">
        <f t="shared" si="13"/>
        <v>4.8</v>
      </c>
      <c r="L14" s="6">
        <f t="shared" si="14"/>
        <v>10.799999999999999</v>
      </c>
      <c r="M14" s="130">
        <v>43046</v>
      </c>
      <c r="N14" s="131">
        <f t="shared" ref="N14:N16" ca="1" si="30">IF((TODAY()-M14)&gt;335,1,((TODAY()-M14)^0.64)/(336^0.64))</f>
        <v>0.88170778418601259</v>
      </c>
      <c r="O14" s="25">
        <v>3.5</v>
      </c>
      <c r="P14" s="20">
        <f t="shared" si="15"/>
        <v>54</v>
      </c>
      <c r="Q14" s="26">
        <v>5</v>
      </c>
      <c r="R14" s="115">
        <f t="shared" si="16"/>
        <v>0.84515425472851657</v>
      </c>
      <c r="S14" s="115">
        <f t="shared" si="17"/>
        <v>0.92504826128926143</v>
      </c>
      <c r="T14" s="29">
        <v>2410</v>
      </c>
      <c r="U14" s="29">
        <f t="shared" si="18"/>
        <v>-40</v>
      </c>
      <c r="V14" s="7">
        <v>450</v>
      </c>
      <c r="W14" s="8">
        <f t="shared" si="19"/>
        <v>5.3555555555555552</v>
      </c>
      <c r="X14" s="21">
        <v>0</v>
      </c>
      <c r="Y14" s="22">
        <v>6</v>
      </c>
      <c r="Z14" s="21">
        <v>4</v>
      </c>
      <c r="AA14" s="22">
        <v>5</v>
      </c>
      <c r="AB14" s="21">
        <f>2.67+0.33+0.33*0.16+0.25+0.25</f>
        <v>3.5528</v>
      </c>
      <c r="AC14" s="22">
        <f>3.27+0.33+1/15+1/15+1/15+1/15+1/15+1/15+1/15+1/15+1/15+1/15+1/15+1/15+1/15</f>
        <v>4.4666666666666659</v>
      </c>
      <c r="AD14" s="21">
        <v>6</v>
      </c>
      <c r="AE14" s="9">
        <v>488</v>
      </c>
      <c r="AF14" s="9">
        <v>1762</v>
      </c>
      <c r="AG14" s="23">
        <f t="shared" ca="1" si="20"/>
        <v>6.7504860243208178</v>
      </c>
      <c r="AH14" s="23">
        <f t="shared" ca="1" si="21"/>
        <v>7.3947869392877585</v>
      </c>
      <c r="AI14" s="23">
        <f t="shared" ca="1" si="22"/>
        <v>4.9872827789161791</v>
      </c>
      <c r="AJ14" s="120">
        <f t="shared" ca="1" si="23"/>
        <v>4.2150232601352684</v>
      </c>
      <c r="AK14" s="120">
        <f t="shared" ca="1" si="24"/>
        <v>4.6173266399701047</v>
      </c>
      <c r="AL14" s="8">
        <f t="shared" ca="1" si="25"/>
        <v>1.6974340405542065</v>
      </c>
      <c r="AM14" s="8">
        <f t="shared" ca="1" si="26"/>
        <v>6.5272827789161791</v>
      </c>
      <c r="AN14" s="8">
        <f t="shared" ca="1" si="27"/>
        <v>0.4823159556466276</v>
      </c>
      <c r="AO14" s="8">
        <f t="shared" ca="1" si="28"/>
        <v>0.48910979452413256</v>
      </c>
      <c r="AP14" s="129">
        <f t="shared" si="29"/>
        <v>2.63E-2</v>
      </c>
      <c r="AQ14" s="20">
        <v>2</v>
      </c>
      <c r="AR14" s="20">
        <v>0</v>
      </c>
      <c r="AS14" s="20">
        <v>3</v>
      </c>
      <c r="AT14" s="221">
        <v>2450</v>
      </c>
    </row>
    <row r="15" spans="1:46" x14ac:dyDescent="0.25">
      <c r="A15" s="15" t="s">
        <v>302</v>
      </c>
      <c r="B15" s="15" t="s">
        <v>193</v>
      </c>
      <c r="C15" s="121">
        <f ca="1">((33*112)-(E15*112)-(F15))/112</f>
        <v>13.482142857142858</v>
      </c>
      <c r="D15" s="215" t="s">
        <v>297</v>
      </c>
      <c r="E15" s="1">
        <v>19</v>
      </c>
      <c r="F15" s="2">
        <f ca="1">$D$2-$D$1-880-4-112</f>
        <v>58</v>
      </c>
      <c r="G15" s="3" t="s">
        <v>295</v>
      </c>
      <c r="H15" s="4">
        <v>3</v>
      </c>
      <c r="I15" s="5">
        <v>1.5</v>
      </c>
      <c r="J15" s="22">
        <f>LOG(I15)*4/3</f>
        <v>0.23478834540757498</v>
      </c>
      <c r="K15" s="6">
        <f>(H15)*(H15)*(I15)</f>
        <v>13.5</v>
      </c>
      <c r="L15" s="6">
        <f>(H15+1)*(H15+1)*I15</f>
        <v>24</v>
      </c>
      <c r="M15" s="130">
        <v>43045</v>
      </c>
      <c r="N15" s="131">
        <f ca="1">IF((TODAY()-M15)&gt;335,1,((TODAY()-M15)^0.64)/(336^0.64))</f>
        <v>0.8837509927653624</v>
      </c>
      <c r="O15" s="25">
        <v>3.7</v>
      </c>
      <c r="P15" s="20">
        <f>O15*10+19</f>
        <v>56</v>
      </c>
      <c r="Q15" s="26">
        <v>6</v>
      </c>
      <c r="R15" s="115">
        <f>(Q15/7)^0.5</f>
        <v>0.92582009977255142</v>
      </c>
      <c r="S15" s="115">
        <f>IF(Q15=7,1,((Q15+0.99)/7)^0.5)</f>
        <v>0.99928545900129484</v>
      </c>
      <c r="T15" s="29">
        <v>1440</v>
      </c>
      <c r="U15" s="29">
        <f>T15-AT15</f>
        <v>-60</v>
      </c>
      <c r="V15" s="7">
        <v>330</v>
      </c>
      <c r="W15" s="8">
        <f>T15/V15</f>
        <v>4.3636363636363633</v>
      </c>
      <c r="X15" s="21">
        <v>0</v>
      </c>
      <c r="Y15" s="22">
        <v>5</v>
      </c>
      <c r="Z15" s="21">
        <v>3</v>
      </c>
      <c r="AA15" s="22">
        <v>5.3</v>
      </c>
      <c r="AB15" s="21">
        <v>3</v>
      </c>
      <c r="AC15" s="22">
        <f>3.73+1/15+1/15+1/15+1/15+1/15+1/15+1/15+1/15+1/15+1/15+1/15+1/15+1/15+1/15</f>
        <v>4.6633333333333322</v>
      </c>
      <c r="AD15" s="21">
        <v>3</v>
      </c>
      <c r="AE15" s="9">
        <v>422</v>
      </c>
      <c r="AF15" s="9">
        <v>1668</v>
      </c>
      <c r="AG15" s="23">
        <f ca="1">(AD15+1+(LOG(I15)*4/3)+N15)*(Q15/7)^0.5</f>
        <v>4.7388466007569976</v>
      </c>
      <c r="AH15" s="23">
        <f ca="1">(AD15+1+N15+(LOG(I15)*4/3))*(IF(Q15=7, (Q15/7)^0.5, ((Q15+1)/7)^0.5))</f>
        <v>5.1185393381729369</v>
      </c>
      <c r="AI15" s="23">
        <f ca="1">(Z15+N15+(LOG(I15)*4/3))</f>
        <v>4.1185393381729369</v>
      </c>
      <c r="AJ15" s="120">
        <f ca="1">(Z15+N15+(LOG(I15)*4/3))*(Q15/7)^0.5</f>
        <v>3.8130265009844462</v>
      </c>
      <c r="AK15" s="120">
        <f ca="1">(Z15+N15+(LOG(I15)*4/3))*(IF(Q15=7, (Q15/7)^0.5, ((Q15+1)/7)^0.5))</f>
        <v>4.1185393381729369</v>
      </c>
      <c r="AL15" s="8">
        <f ca="1">(((Y15+LOG(I15)*4/3+N15)+(AB15+LOG(I15)*4/3+N15)*2)/8)*(Q15/7)^0.5</f>
        <v>1.6613399628123053</v>
      </c>
      <c r="AM15" s="8">
        <f ca="1">(AD15+LOG(I15)*4/3+N15)*0.7+(AC15+LOG(I15)*4/3+N15)*0.3</f>
        <v>4.6175393381729357</v>
      </c>
      <c r="AN15" s="8">
        <f ca="1">(0.5*(AC15+LOG(I15)*4/3+N15)+ 0.3*(AD15+LOG(I15)*4/3+N15))/10</f>
        <v>0.41264981372050152</v>
      </c>
      <c r="AO15" s="8">
        <f ca="1">(0.4*(Y15+LOG(I15)*4/3+N15)+0.3*(AD15+LOG(I15)*4/3+N15))/10</f>
        <v>0.3682977536721056</v>
      </c>
      <c r="AP15" s="129">
        <f>IF(AR15=4,IF(AS15=0,0.137+0.0697,0.137+0.02),IF(AR15=3,IF(AS15=0,0.0958+0.0697,0.0958+0.02),IF(AR15=2,IF(AS15=0,0.0415+0.0697,0.0415+0.02),IF(AR15=1,IF(AS15=0,0.0294+0.0697,0.0294+0.02),IF(AR15=0,IF(AS15=0,0.0063+0.0697,0.0063+0.02))))))</f>
        <v>4.9399999999999999E-2</v>
      </c>
      <c r="AQ15" s="20">
        <v>3</v>
      </c>
      <c r="AR15" s="20">
        <v>1</v>
      </c>
      <c r="AS15" s="20">
        <v>2</v>
      </c>
      <c r="AT15">
        <v>1500</v>
      </c>
    </row>
    <row r="16" spans="1:46" x14ac:dyDescent="0.25">
      <c r="A16" s="15" t="s">
        <v>292</v>
      </c>
      <c r="B16" s="15" t="s">
        <v>95</v>
      </c>
      <c r="C16" s="121">
        <f t="shared" ca="1" si="11"/>
        <v>13.116071428571429</v>
      </c>
      <c r="D16" s="214" t="s">
        <v>294</v>
      </c>
      <c r="E16" s="16">
        <v>19</v>
      </c>
      <c r="F16" s="2">
        <f ca="1">$D$2-$D$1-880+37-112</f>
        <v>99</v>
      </c>
      <c r="G16" s="18" t="s">
        <v>295</v>
      </c>
      <c r="H16" s="4">
        <v>3</v>
      </c>
      <c r="I16" s="27">
        <v>1.9</v>
      </c>
      <c r="J16" s="22">
        <f t="shared" si="12"/>
        <v>0.3716714679371052</v>
      </c>
      <c r="K16" s="6">
        <f t="shared" si="13"/>
        <v>17.099999999999998</v>
      </c>
      <c r="L16" s="6">
        <f t="shared" si="14"/>
        <v>30.4</v>
      </c>
      <c r="M16" s="130">
        <v>43045</v>
      </c>
      <c r="N16" s="131">
        <f t="shared" ca="1" si="30"/>
        <v>0.8837509927653624</v>
      </c>
      <c r="O16" s="19">
        <v>3.5</v>
      </c>
      <c r="P16" s="20">
        <f t="shared" si="15"/>
        <v>54</v>
      </c>
      <c r="Q16" s="20">
        <v>6</v>
      </c>
      <c r="R16" s="115">
        <f t="shared" si="16"/>
        <v>0.92582009977255142</v>
      </c>
      <c r="S16" s="115">
        <f t="shared" si="17"/>
        <v>0.99928545900129484</v>
      </c>
      <c r="T16" s="29">
        <v>2060</v>
      </c>
      <c r="U16" s="29">
        <f t="shared" si="18"/>
        <v>-150</v>
      </c>
      <c r="V16" s="29">
        <v>390</v>
      </c>
      <c r="W16" s="8">
        <f t="shared" si="19"/>
        <v>5.2820512820512819</v>
      </c>
      <c r="X16" s="21">
        <v>0</v>
      </c>
      <c r="Y16" s="22">
        <v>3</v>
      </c>
      <c r="Z16" s="21">
        <v>6</v>
      </c>
      <c r="AA16" s="22">
        <v>5</v>
      </c>
      <c r="AB16" s="21">
        <f>3.25+0.25+0.25+0.25+0.25</f>
        <v>4.25</v>
      </c>
      <c r="AC16" s="22">
        <f>4.22+0.33+0.33+1/17+1/17+1/17*79/90+0.33*11/90+1/17+1/17+1/17+1/17+1/17+1/17+1/17+1/17+1/17</f>
        <v>5.6190261437908475</v>
      </c>
      <c r="AD16" s="21">
        <v>3</v>
      </c>
      <c r="AE16" s="9">
        <v>501</v>
      </c>
      <c r="AF16" s="9">
        <v>1763</v>
      </c>
      <c r="AG16" s="23">
        <f t="shared" ca="1" si="20"/>
        <v>4.865575746914466</v>
      </c>
      <c r="AH16" s="23">
        <f t="shared" ca="1" si="21"/>
        <v>5.2554224607024675</v>
      </c>
      <c r="AI16" s="23">
        <f t="shared" ca="1" si="22"/>
        <v>7.2554224607024675</v>
      </c>
      <c r="AJ16" s="120">
        <f t="shared" ca="1" si="23"/>
        <v>6.7172159464595689</v>
      </c>
      <c r="AK16" s="120">
        <f t="shared" ca="1" si="24"/>
        <v>7.2554224607024675</v>
      </c>
      <c r="AL16" s="8">
        <f t="shared" ca="1" si="25"/>
        <v>1.7667271488571403</v>
      </c>
      <c r="AM16" s="8">
        <f t="shared" ca="1" si="26"/>
        <v>5.0411303038397222</v>
      </c>
      <c r="AN16" s="8">
        <f t="shared" ca="1" si="27"/>
        <v>0.47138510404573974</v>
      </c>
      <c r="AO16" s="8">
        <f t="shared" ca="1" si="28"/>
        <v>0.29787957224917272</v>
      </c>
      <c r="AP16" s="129">
        <f t="shared" si="29"/>
        <v>0.1158</v>
      </c>
      <c r="AQ16" s="20">
        <v>2</v>
      </c>
      <c r="AR16" s="20">
        <v>3</v>
      </c>
      <c r="AS16" s="20">
        <v>2</v>
      </c>
      <c r="AT16">
        <v>2210</v>
      </c>
    </row>
    <row r="17" spans="1:46" x14ac:dyDescent="0.25">
      <c r="A17" s="15" t="s">
        <v>359</v>
      </c>
      <c r="B17" s="15" t="s">
        <v>95</v>
      </c>
      <c r="C17" s="121">
        <f t="shared" ref="C17:C22" ca="1" si="31">((33*112)-(E17*112)-(F17))/112</f>
        <v>13.473214285714286</v>
      </c>
      <c r="D17" s="214" t="s">
        <v>300</v>
      </c>
      <c r="E17" s="16">
        <v>19</v>
      </c>
      <c r="F17" s="2">
        <f ca="1">$D$2-$D$1-880-3-112</f>
        <v>59</v>
      </c>
      <c r="G17" s="18" t="s">
        <v>177</v>
      </c>
      <c r="H17" s="4">
        <v>3</v>
      </c>
      <c r="I17" s="27">
        <v>1.2</v>
      </c>
      <c r="J17" s="22">
        <f t="shared" ref="J17:J22" si="32">LOG(I17)*4/3</f>
        <v>0.10557499473016642</v>
      </c>
      <c r="K17" s="6">
        <f t="shared" ref="K17:K22" si="33">(H17)*(H17)*(I17)</f>
        <v>10.799999999999999</v>
      </c>
      <c r="L17" s="6">
        <f t="shared" ref="L17:L22" si="34">(H17+1)*(H17+1)*I17</f>
        <v>19.2</v>
      </c>
      <c r="M17" s="130">
        <v>43046</v>
      </c>
      <c r="N17" s="131">
        <f ca="1">IF((TODAY()-M17)&gt;335,1,((TODAY()-M17)^0.64)/(336^0.64))</f>
        <v>0.88170778418601259</v>
      </c>
      <c r="O17" s="19">
        <v>2.9</v>
      </c>
      <c r="P17" s="20">
        <f t="shared" ref="P17:P22" si="35">O17*10+19</f>
        <v>48</v>
      </c>
      <c r="Q17" s="26">
        <v>6</v>
      </c>
      <c r="R17" s="115">
        <f t="shared" ref="R17:R22" si="36">(Q17/7)^0.5</f>
        <v>0.92582009977255142</v>
      </c>
      <c r="S17" s="115">
        <f t="shared" ref="S17:S22" si="37">IF(Q17=7,1,((Q17+0.99)/7)^0.5)</f>
        <v>0.99928545900129484</v>
      </c>
      <c r="T17" s="29">
        <v>610</v>
      </c>
      <c r="U17" s="29">
        <f t="shared" ref="U17:U22" si="38">T17-AT17</f>
        <v>10</v>
      </c>
      <c r="V17" s="29">
        <v>270</v>
      </c>
      <c r="W17" s="8">
        <f t="shared" ref="W17:W22" si="39">T17/V17</f>
        <v>2.2592592592592591</v>
      </c>
      <c r="X17" s="21">
        <v>0</v>
      </c>
      <c r="Y17" s="22">
        <v>4</v>
      </c>
      <c r="Z17" s="21">
        <v>4</v>
      </c>
      <c r="AA17" s="22">
        <v>4</v>
      </c>
      <c r="AB17" s="21">
        <f>4+0.25+(0.25*0.16*3/90)+0.25*3/90*0.16+0.25*0.16</f>
        <v>4.2926666666666664</v>
      </c>
      <c r="AC17" s="22">
        <f>3+1/15+1/15+1/15+1/15+1/15+1/15+1/15+1/15+1/15+1/15</f>
        <v>3.6666666666666687</v>
      </c>
      <c r="AD17" s="21">
        <v>0.4</v>
      </c>
      <c r="AE17" s="9">
        <v>379</v>
      </c>
      <c r="AF17" s="9">
        <v>1623</v>
      </c>
      <c r="AG17" s="23">
        <f t="shared" ref="AG17:AG22" ca="1" si="40">(AD17+1+(LOG(I17)*4/3)+N17)*(Q17/7)^0.5</f>
        <v>2.2101943805614708</v>
      </c>
      <c r="AH17" s="23">
        <f t="shared" ref="AH17:AH22" ca="1" si="41">(AD17+1+N17+(LOG(I17)*4/3))*(IF(Q17=7, (Q17/7)^0.5, ((Q17+1)/7)^0.5))</f>
        <v>2.387282778916179</v>
      </c>
      <c r="AI17" s="23">
        <f t="shared" ref="AI17:AI22" ca="1" si="42">(Z17+N17+(LOG(I17)*4/3))</f>
        <v>4.9872827789161791</v>
      </c>
      <c r="AJ17" s="120">
        <f t="shared" ref="AJ17:AJ22" ca="1" si="43">(Z17+N17+(LOG(I17)*4/3))*(Q17/7)^0.5</f>
        <v>4.6173266399701047</v>
      </c>
      <c r="AK17" s="120">
        <f t="shared" ref="AK17:AK22" ca="1" si="44">(Z17+N17+(LOG(I17)*4/3))*(IF(Q17=7, (Q17/7)^0.5, ((Q17+1)/7)^0.5))</f>
        <v>4.9872827789161791</v>
      </c>
      <c r="AL17" s="8">
        <f t="shared" ref="AL17:AL22" ca="1" si="45">(((Y17+LOG(I17)*4/3+N17)+(AB17+LOG(I17)*4/3+N17)*2)/8)*(Q17/7)^0.5</f>
        <v>1.7992366606221473</v>
      </c>
      <c r="AM17" s="8">
        <f t="shared" ref="AM17:AM22" ca="1" si="46">(AD17+LOG(I17)*4/3+N17)*0.7+(AC17+LOG(I17)*4/3+N17)*0.3</f>
        <v>2.3672827789161794</v>
      </c>
      <c r="AN17" s="8">
        <f t="shared" ref="AN17:AN22" ca="1" si="47">(0.5*(AC17+LOG(I17)*4/3+N17)+ 0.3*(AD17+LOG(I17)*4/3+N17))/10</f>
        <v>0.27431595564662781</v>
      </c>
      <c r="AO17" s="8">
        <f t="shared" ref="AO17:AO22" ca="1" si="48">(0.4*(Y17+LOG(I17)*4/3+N17)+0.3*(AD17+LOG(I17)*4/3+N17))/10</f>
        <v>0.24110979452413256</v>
      </c>
      <c r="AP17" s="129">
        <f t="shared" ref="AP17:AP22" si="49">IF(AR17=4,IF(AS17=0,0.137+0.0697,0.137+0.02),IF(AR17=3,IF(AS17=0,0.0958+0.0697,0.0958+0.02),IF(AR17=2,IF(AS17=0,0.0415+0.0697,0.0415+0.02),IF(AR17=1,IF(AS17=0,0.0294+0.0697,0.0294+0.02),IF(AR17=0,IF(AS17=0,0.0063+0.0697,0.0063+0.02))))))</f>
        <v>4.9399999999999999E-2</v>
      </c>
      <c r="AQ17" s="20">
        <v>1</v>
      </c>
      <c r="AR17" s="20">
        <v>1</v>
      </c>
      <c r="AS17" s="20">
        <v>3</v>
      </c>
      <c r="AT17" s="221">
        <v>600</v>
      </c>
    </row>
    <row r="18" spans="1:46" x14ac:dyDescent="0.25">
      <c r="A18" s="15" t="s">
        <v>377</v>
      </c>
      <c r="B18" s="15" t="s">
        <v>95</v>
      </c>
      <c r="C18" s="121">
        <f t="shared" ca="1" si="31"/>
        <v>12.071428571428571</v>
      </c>
      <c r="D18" s="214" t="s">
        <v>378</v>
      </c>
      <c r="E18" s="16">
        <v>20</v>
      </c>
      <c r="F18" s="2">
        <f ca="1">$D$2-$D$1-880+42-112</f>
        <v>104</v>
      </c>
      <c r="G18" s="18"/>
      <c r="H18" s="220">
        <v>5</v>
      </c>
      <c r="I18" s="27">
        <v>2.1</v>
      </c>
      <c r="J18" s="22">
        <f t="shared" si="32"/>
        <v>0.42962572631189239</v>
      </c>
      <c r="K18" s="6">
        <f t="shared" si="33"/>
        <v>52.5</v>
      </c>
      <c r="L18" s="6">
        <f t="shared" si="34"/>
        <v>75.600000000000009</v>
      </c>
      <c r="M18" s="130">
        <v>43108</v>
      </c>
      <c r="N18" s="131">
        <v>1.5</v>
      </c>
      <c r="O18" s="19">
        <v>2.9</v>
      </c>
      <c r="P18" s="20">
        <f t="shared" si="35"/>
        <v>48</v>
      </c>
      <c r="Q18" s="26">
        <v>5</v>
      </c>
      <c r="R18" s="115">
        <f t="shared" si="36"/>
        <v>0.84515425472851657</v>
      </c>
      <c r="S18" s="115">
        <f t="shared" si="37"/>
        <v>0.92504826128926143</v>
      </c>
      <c r="T18" s="29">
        <v>1130</v>
      </c>
      <c r="U18" s="29">
        <f t="shared" si="38"/>
        <v>-30</v>
      </c>
      <c r="V18" s="29">
        <v>330</v>
      </c>
      <c r="W18" s="8">
        <f t="shared" si="39"/>
        <v>3.4242424242424243</v>
      </c>
      <c r="X18" s="21">
        <v>0</v>
      </c>
      <c r="Y18" s="22">
        <v>4</v>
      </c>
      <c r="Z18" s="21">
        <v>5</v>
      </c>
      <c r="AA18" s="22">
        <v>3</v>
      </c>
      <c r="AB18" s="21">
        <f>3+0.25</f>
        <v>3.25</v>
      </c>
      <c r="AC18" s="22">
        <f>5+1/20+1/20+1/20+1/20+1/20+1/20+1/20+1/20+1/20+1/20</f>
        <v>5.4999999999999982</v>
      </c>
      <c r="AD18" s="21">
        <v>2</v>
      </c>
      <c r="AE18" s="9">
        <v>430</v>
      </c>
      <c r="AF18" s="9">
        <v>1456</v>
      </c>
      <c r="AG18" s="23">
        <f t="shared" si="40"/>
        <v>4.1662941568116496</v>
      </c>
      <c r="AH18" s="23">
        <f t="shared" si="41"/>
        <v>4.5639465817754123</v>
      </c>
      <c r="AI18" s="23">
        <f t="shared" si="42"/>
        <v>6.9296257263118921</v>
      </c>
      <c r="AJ18" s="120">
        <f t="shared" si="43"/>
        <v>5.8566026662686825</v>
      </c>
      <c r="AK18" s="120">
        <f t="shared" si="44"/>
        <v>6.4155867813205152</v>
      </c>
      <c r="AL18" s="8">
        <f t="shared" si="45"/>
        <v>1.7208267315659656</v>
      </c>
      <c r="AM18" s="8">
        <f t="shared" si="46"/>
        <v>4.9796257263118919</v>
      </c>
      <c r="AN18" s="8">
        <f t="shared" si="47"/>
        <v>0.48937005810495132</v>
      </c>
      <c r="AO18" s="8">
        <f t="shared" si="48"/>
        <v>0.35507380084183249</v>
      </c>
      <c r="AP18" s="129">
        <f t="shared" si="49"/>
        <v>6.1499999999999999E-2</v>
      </c>
      <c r="AQ18" s="20">
        <v>2</v>
      </c>
      <c r="AR18" s="20">
        <v>2</v>
      </c>
      <c r="AS18" s="20">
        <v>2</v>
      </c>
      <c r="AT18" s="213">
        <v>1160</v>
      </c>
    </row>
    <row r="19" spans="1:46" x14ac:dyDescent="0.25">
      <c r="A19" s="15" t="s">
        <v>358</v>
      </c>
      <c r="B19" s="24" t="s">
        <v>95</v>
      </c>
      <c r="C19" s="121">
        <f t="shared" ca="1" si="31"/>
        <v>13.223214285714286</v>
      </c>
      <c r="D19" s="215" t="s">
        <v>298</v>
      </c>
      <c r="E19" s="1">
        <v>19</v>
      </c>
      <c r="F19" s="2">
        <f ca="1">$D$2-$D$1-880+25-112</f>
        <v>87</v>
      </c>
      <c r="G19" s="3" t="s">
        <v>0</v>
      </c>
      <c r="H19" s="4">
        <v>4</v>
      </c>
      <c r="I19" s="5">
        <v>1.2</v>
      </c>
      <c r="J19" s="22">
        <f t="shared" si="32"/>
        <v>0.10557499473016642</v>
      </c>
      <c r="K19" s="6">
        <f t="shared" si="33"/>
        <v>19.2</v>
      </c>
      <c r="L19" s="6">
        <f t="shared" si="34"/>
        <v>30</v>
      </c>
      <c r="M19" s="130">
        <v>43046</v>
      </c>
      <c r="N19" s="131">
        <f ca="1">IF((TODAY()-M19)&gt;335,1,((TODAY()-M19)^0.64)/(336^0.64))</f>
        <v>0.88170778418601259</v>
      </c>
      <c r="O19" s="25">
        <v>3.5</v>
      </c>
      <c r="P19" s="20">
        <f t="shared" si="35"/>
        <v>54</v>
      </c>
      <c r="Q19" s="26">
        <v>6</v>
      </c>
      <c r="R19" s="115">
        <f t="shared" si="36"/>
        <v>0.92582009977255142</v>
      </c>
      <c r="S19" s="115">
        <f t="shared" si="37"/>
        <v>0.99928545900129484</v>
      </c>
      <c r="T19" s="29">
        <v>1530</v>
      </c>
      <c r="U19" s="29">
        <f t="shared" si="38"/>
        <v>0</v>
      </c>
      <c r="V19" s="7">
        <v>370</v>
      </c>
      <c r="W19" s="8">
        <f t="shared" si="39"/>
        <v>4.1351351351351351</v>
      </c>
      <c r="X19" s="21">
        <v>0</v>
      </c>
      <c r="Y19" s="22">
        <v>2</v>
      </c>
      <c r="Z19" s="21">
        <v>5</v>
      </c>
      <c r="AA19" s="22">
        <v>4</v>
      </c>
      <c r="AB19" s="21">
        <v>3</v>
      </c>
      <c r="AC19" s="22">
        <f>5+1/20+1/20+1/20+1/20+1/20+1/20+1/20+1/20+1/20+1/20+1/20+1/20+1/20+1/20</f>
        <v>5.6999999999999975</v>
      </c>
      <c r="AD19" s="21">
        <v>5</v>
      </c>
      <c r="AE19" s="9">
        <v>406</v>
      </c>
      <c r="AF19" s="9">
        <v>1611</v>
      </c>
      <c r="AG19" s="23">
        <f t="shared" ca="1" si="40"/>
        <v>6.4689668395152076</v>
      </c>
      <c r="AH19" s="23">
        <f t="shared" ca="1" si="41"/>
        <v>6.9872827789161791</v>
      </c>
      <c r="AI19" s="23">
        <f t="shared" ca="1" si="42"/>
        <v>5.9872827789161791</v>
      </c>
      <c r="AJ19" s="120">
        <f t="shared" ca="1" si="43"/>
        <v>5.5431467397426557</v>
      </c>
      <c r="AK19" s="120">
        <f t="shared" ca="1" si="44"/>
        <v>5.9872827789161791</v>
      </c>
      <c r="AL19" s="8">
        <f t="shared" ca="1" si="45"/>
        <v>1.2685874401025135</v>
      </c>
      <c r="AM19" s="8">
        <f t="shared" ca="1" si="46"/>
        <v>6.1972827789161782</v>
      </c>
      <c r="AN19" s="8">
        <f t="shared" ca="1" si="47"/>
        <v>0.51398262231329417</v>
      </c>
      <c r="AO19" s="8">
        <f t="shared" ca="1" si="48"/>
        <v>0.2991097945241325</v>
      </c>
      <c r="AP19" s="129">
        <f t="shared" si="49"/>
        <v>6.1499999999999999E-2</v>
      </c>
      <c r="AQ19" s="20">
        <v>4</v>
      </c>
      <c r="AR19" s="20">
        <v>2</v>
      </c>
      <c r="AS19" s="20">
        <v>2</v>
      </c>
      <c r="AT19">
        <v>1530</v>
      </c>
    </row>
    <row r="20" spans="1:46" x14ac:dyDescent="0.25">
      <c r="A20" s="15" t="s">
        <v>31</v>
      </c>
      <c r="B20" s="15" t="s">
        <v>71</v>
      </c>
      <c r="C20" s="121">
        <f t="shared" ca="1" si="31"/>
        <v>13.482142857142858</v>
      </c>
      <c r="D20" s="225" t="s">
        <v>293</v>
      </c>
      <c r="E20" s="16">
        <v>19</v>
      </c>
      <c r="F20" s="2">
        <f ca="1">$D$2-$D$1-880-4-112</f>
        <v>58</v>
      </c>
      <c r="G20" s="18" t="s">
        <v>45</v>
      </c>
      <c r="H20" s="4">
        <v>1</v>
      </c>
      <c r="I20" s="27">
        <v>2.6</v>
      </c>
      <c r="J20" s="22">
        <f t="shared" si="32"/>
        <v>0.55329779729442397</v>
      </c>
      <c r="K20" s="6">
        <f t="shared" si="33"/>
        <v>2.6</v>
      </c>
      <c r="L20" s="6">
        <f t="shared" si="34"/>
        <v>10.4</v>
      </c>
      <c r="M20" s="130">
        <v>43046</v>
      </c>
      <c r="N20" s="131">
        <v>1.5</v>
      </c>
      <c r="O20" s="19">
        <v>3.5</v>
      </c>
      <c r="P20" s="20">
        <f t="shared" si="35"/>
        <v>54</v>
      </c>
      <c r="Q20" s="20">
        <v>6</v>
      </c>
      <c r="R20" s="115">
        <f t="shared" si="36"/>
        <v>0.92582009977255142</v>
      </c>
      <c r="S20" s="115">
        <f t="shared" si="37"/>
        <v>0.99928545900129484</v>
      </c>
      <c r="T20" s="244">
        <v>18620</v>
      </c>
      <c r="U20" s="29">
        <f t="shared" si="38"/>
        <v>-770</v>
      </c>
      <c r="V20" s="29">
        <v>1350</v>
      </c>
      <c r="W20" s="8">
        <f t="shared" si="39"/>
        <v>13.792592592592593</v>
      </c>
      <c r="X20" s="21">
        <v>0</v>
      </c>
      <c r="Y20" s="22">
        <v>2</v>
      </c>
      <c r="Z20" s="21">
        <v>5.7</v>
      </c>
      <c r="AA20" s="22">
        <v>11</v>
      </c>
      <c r="AB20" s="21">
        <v>6</v>
      </c>
      <c r="AC20" s="22">
        <f>4.25+0.34+0.33+0.33+0.25+0.25+0.25+0.25+0.25+0.25+0.25+0.25+0.25</f>
        <v>7.5</v>
      </c>
      <c r="AD20" s="21">
        <v>5</v>
      </c>
      <c r="AE20" s="9">
        <v>797</v>
      </c>
      <c r="AF20" s="9">
        <v>2043</v>
      </c>
      <c r="AG20" s="23">
        <f t="shared" si="40"/>
        <v>7.4559049701891915</v>
      </c>
      <c r="AH20" s="23">
        <f t="shared" si="41"/>
        <v>8.0532977972944231</v>
      </c>
      <c r="AI20" s="23">
        <f t="shared" si="42"/>
        <v>7.7532977972944241</v>
      </c>
      <c r="AJ20" s="120">
        <f t="shared" si="43"/>
        <v>7.1781589402574273</v>
      </c>
      <c r="AK20" s="120">
        <f t="shared" si="44"/>
        <v>7.7532977972944241</v>
      </c>
      <c r="AL20" s="8">
        <f t="shared" si="45"/>
        <v>2.3330543139346709</v>
      </c>
      <c r="AM20" s="8">
        <f t="shared" si="46"/>
        <v>7.8032977972944231</v>
      </c>
      <c r="AN20" s="8">
        <f t="shared" si="47"/>
        <v>0.68926382378355389</v>
      </c>
      <c r="AO20" s="8">
        <f t="shared" si="48"/>
        <v>0.37373084581060967</v>
      </c>
      <c r="AP20" s="129">
        <f t="shared" si="49"/>
        <v>0.1158</v>
      </c>
      <c r="AQ20" s="20">
        <v>4</v>
      </c>
      <c r="AR20" s="20">
        <v>3</v>
      </c>
      <c r="AS20" s="20">
        <v>2</v>
      </c>
      <c r="AT20">
        <v>19390</v>
      </c>
    </row>
    <row r="21" spans="1:46" x14ac:dyDescent="0.25">
      <c r="A21" s="15" t="s">
        <v>36</v>
      </c>
      <c r="B21" s="15" t="s">
        <v>71</v>
      </c>
      <c r="C21" s="121">
        <f t="shared" ca="1" si="31"/>
        <v>13.482142857142858</v>
      </c>
      <c r="D21" s="225" t="s">
        <v>373</v>
      </c>
      <c r="E21" s="16">
        <v>19</v>
      </c>
      <c r="F21" s="2">
        <f ca="1">$D$2-$D$1-880-4-112</f>
        <v>58</v>
      </c>
      <c r="G21" s="18" t="s">
        <v>295</v>
      </c>
      <c r="H21" s="40">
        <v>6</v>
      </c>
      <c r="I21" s="27">
        <v>2.2999999999999998</v>
      </c>
      <c r="J21" s="22">
        <f t="shared" si="32"/>
        <v>0.48230378135679047</v>
      </c>
      <c r="K21" s="6">
        <f t="shared" si="33"/>
        <v>82.8</v>
      </c>
      <c r="L21" s="6">
        <f t="shared" si="34"/>
        <v>112.69999999999999</v>
      </c>
      <c r="M21" s="130">
        <v>43054</v>
      </c>
      <c r="N21" s="131">
        <f ca="1">IF((TODAY()-M21)&gt;335,1,((TODAY()-M21)^0.64)/(336^0.64))</f>
        <v>0.86526498765907056</v>
      </c>
      <c r="O21" s="19">
        <v>3.4</v>
      </c>
      <c r="P21" s="20">
        <f t="shared" si="35"/>
        <v>53</v>
      </c>
      <c r="Q21" s="26">
        <v>6</v>
      </c>
      <c r="R21" s="115">
        <f t="shared" si="36"/>
        <v>0.92582009977255142</v>
      </c>
      <c r="S21" s="115">
        <f t="shared" si="37"/>
        <v>0.99928545900129484</v>
      </c>
      <c r="T21" s="29">
        <v>15400</v>
      </c>
      <c r="U21" s="29">
        <f t="shared" si="38"/>
        <v>1600</v>
      </c>
      <c r="V21" s="29">
        <v>1050</v>
      </c>
      <c r="W21" s="8">
        <f t="shared" si="39"/>
        <v>14.666666666666666</v>
      </c>
      <c r="X21" s="21">
        <v>0</v>
      </c>
      <c r="Y21" s="22">
        <v>3</v>
      </c>
      <c r="Z21" s="21">
        <v>5</v>
      </c>
      <c r="AA21" s="22">
        <v>10.4</v>
      </c>
      <c r="AB21" s="21">
        <f>4.5+0.25+0.25</f>
        <v>5</v>
      </c>
      <c r="AC21" s="22">
        <f>4.28+0.34+0.33+0.33+0.33*85/90+0.33+0.33+0.25+0.25+0.25+0.2+0.2+0.2+0.2</f>
        <v>7.8016666666666676</v>
      </c>
      <c r="AD21" s="21">
        <v>3</v>
      </c>
      <c r="AE21" s="9">
        <v>729</v>
      </c>
      <c r="AF21" s="9">
        <v>1975</v>
      </c>
      <c r="AG21" s="23">
        <f t="shared" ca="1" si="40"/>
        <v>4.9508866512708449</v>
      </c>
      <c r="AH21" s="23">
        <f t="shared" ca="1" si="41"/>
        <v>5.3475687690158615</v>
      </c>
      <c r="AI21" s="23">
        <f t="shared" ca="1" si="42"/>
        <v>6.3475687690158615</v>
      </c>
      <c r="AJ21" s="120">
        <f t="shared" ca="1" si="43"/>
        <v>5.8767067510433959</v>
      </c>
      <c r="AK21" s="120">
        <f t="shared" ca="1" si="44"/>
        <v>6.3475687690158615</v>
      </c>
      <c r="AL21" s="8">
        <f t="shared" ca="1" si="45"/>
        <v>1.9723100066981358</v>
      </c>
      <c r="AM21" s="8">
        <f t="shared" ca="1" si="46"/>
        <v>5.7880687690158608</v>
      </c>
      <c r="AN21" s="8">
        <f t="shared" ca="1" si="47"/>
        <v>0.5878888348546023</v>
      </c>
      <c r="AO21" s="8">
        <f t="shared" ca="1" si="48"/>
        <v>0.30432981383111024</v>
      </c>
      <c r="AP21" s="129">
        <f t="shared" si="49"/>
        <v>6.1499999999999999E-2</v>
      </c>
      <c r="AQ21" s="20">
        <v>2</v>
      </c>
      <c r="AR21" s="20">
        <v>2</v>
      </c>
      <c r="AS21" s="20">
        <v>1</v>
      </c>
      <c r="AT21" s="213">
        <v>13800</v>
      </c>
    </row>
    <row r="22" spans="1:46" x14ac:dyDescent="0.25">
      <c r="A22" s="15" t="s">
        <v>479</v>
      </c>
      <c r="B22" s="15" t="s">
        <v>71</v>
      </c>
      <c r="C22" s="121">
        <f t="shared" ca="1" si="31"/>
        <v>14.875</v>
      </c>
      <c r="D22" s="214" t="s">
        <v>480</v>
      </c>
      <c r="E22" s="16">
        <v>18</v>
      </c>
      <c r="F22" s="2">
        <f ca="1">$D$2-$D$1-880+44-112+20-112</f>
        <v>14</v>
      </c>
      <c r="G22" s="18"/>
      <c r="H22" s="4">
        <v>3</v>
      </c>
      <c r="I22" s="27">
        <v>1.3</v>
      </c>
      <c r="J22" s="22">
        <f t="shared" si="32"/>
        <v>0.15192446974244905</v>
      </c>
      <c r="K22" s="6">
        <f t="shared" si="33"/>
        <v>11.700000000000001</v>
      </c>
      <c r="L22" s="6">
        <f t="shared" si="34"/>
        <v>20.8</v>
      </c>
      <c r="M22" s="130">
        <v>43200</v>
      </c>
      <c r="N22" s="131">
        <v>1.5</v>
      </c>
      <c r="O22" s="19">
        <v>3.2</v>
      </c>
      <c r="P22" s="20">
        <f t="shared" si="35"/>
        <v>51</v>
      </c>
      <c r="Q22" s="26">
        <v>6</v>
      </c>
      <c r="R22" s="115">
        <f t="shared" si="36"/>
        <v>0.92582009977255142</v>
      </c>
      <c r="S22" s="115">
        <f t="shared" si="37"/>
        <v>0.99928545900129484</v>
      </c>
      <c r="T22" s="29">
        <v>2060</v>
      </c>
      <c r="U22" s="29">
        <f t="shared" si="38"/>
        <v>150</v>
      </c>
      <c r="V22" s="29">
        <v>430</v>
      </c>
      <c r="W22" s="8">
        <f t="shared" si="39"/>
        <v>4.7906976744186043</v>
      </c>
      <c r="X22" s="21">
        <v>0</v>
      </c>
      <c r="Y22" s="22">
        <v>1</v>
      </c>
      <c r="Z22" s="21">
        <v>5</v>
      </c>
      <c r="AA22" s="22">
        <v>7.6</v>
      </c>
      <c r="AB22" s="21">
        <v>4</v>
      </c>
      <c r="AC22" s="22">
        <v>3</v>
      </c>
      <c r="AD22" s="21">
        <v>2</v>
      </c>
      <c r="AE22" s="9">
        <v>405</v>
      </c>
      <c r="AF22" s="9">
        <v>1871</v>
      </c>
      <c r="AG22" s="23">
        <f t="shared" si="40"/>
        <v>4.3068451767113274</v>
      </c>
      <c r="AH22" s="23">
        <f t="shared" si="41"/>
        <v>4.6519244697424487</v>
      </c>
      <c r="AI22" s="23">
        <f t="shared" si="42"/>
        <v>6.6519244697424487</v>
      </c>
      <c r="AJ22" s="120">
        <f t="shared" si="43"/>
        <v>6.1584853762564302</v>
      </c>
      <c r="AK22" s="120">
        <f t="shared" si="44"/>
        <v>6.6519244697424487</v>
      </c>
      <c r="AL22" s="8">
        <f t="shared" si="45"/>
        <v>1.6150669412667478</v>
      </c>
      <c r="AM22" s="8">
        <f t="shared" si="46"/>
        <v>3.9519244697424485</v>
      </c>
      <c r="AN22" s="8">
        <f t="shared" si="47"/>
        <v>0.34215395757939593</v>
      </c>
      <c r="AO22" s="8">
        <f t="shared" si="48"/>
        <v>0.21563471288197142</v>
      </c>
      <c r="AP22" s="129">
        <f t="shared" si="49"/>
        <v>6.1499999999999999E-2</v>
      </c>
      <c r="AQ22" s="20">
        <v>3</v>
      </c>
      <c r="AR22" s="20">
        <v>2</v>
      </c>
      <c r="AS22" s="20">
        <v>1</v>
      </c>
      <c r="AT22" s="213">
        <v>1910</v>
      </c>
    </row>
    <row r="23" spans="1:46"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23"/>
      <c r="AJ23" s="120"/>
      <c r="AK23" s="120"/>
      <c r="AL23" s="8"/>
      <c r="AM23" s="8"/>
      <c r="AN23" s="8"/>
      <c r="AO23" s="8"/>
      <c r="AP23" s="129">
        <f t="shared" si="29"/>
        <v>0.20669999999999999</v>
      </c>
      <c r="AQ23" s="20">
        <v>0</v>
      </c>
      <c r="AR23" s="20">
        <v>4</v>
      </c>
      <c r="AS23" s="20">
        <v>0</v>
      </c>
    </row>
    <row r="24" spans="1:46" x14ac:dyDescent="0.25">
      <c r="V24" s="69"/>
    </row>
    <row r="26" spans="1:46" x14ac:dyDescent="0.25">
      <c r="V26" s="69"/>
    </row>
    <row r="27" spans="1:46" x14ac:dyDescent="0.25">
      <c r="AF27" s="69"/>
    </row>
  </sheetData>
  <sortState ref="A4:AT23">
    <sortCondition descending="1" ref="AF4:AF23"/>
  </sortState>
  <conditionalFormatting sqref="U2">
    <cfRule type="dataBar" priority="475">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3">
    <cfRule type="cellIs" dxfId="16" priority="104" operator="lessThan">
      <formula>6</formula>
    </cfRule>
  </conditionalFormatting>
  <conditionalFormatting sqref="N4:N23">
    <cfRule type="cellIs" dxfId="15" priority="103" operator="lessThan">
      <formula>0.75</formula>
    </cfRule>
  </conditionalFormatting>
  <conditionalFormatting sqref="P4:P23">
    <cfRule type="cellIs" dxfId="14" priority="101" operator="greaterThan">
      <formula>90</formula>
    </cfRule>
    <cfRule type="cellIs" dxfId="13" priority="102" operator="lessThan">
      <formula>85</formula>
    </cfRule>
  </conditionalFormatting>
  <conditionalFormatting sqref="C23">
    <cfRule type="colorScale" priority="5012">
      <colorScale>
        <cfvo type="min"/>
        <cfvo type="max"/>
        <color rgb="FFFFEF9C"/>
        <color rgb="FF63BE7B"/>
      </colorScale>
    </cfRule>
  </conditionalFormatting>
  <conditionalFormatting sqref="C4:C22">
    <cfRule type="colorScale" priority="5145">
      <colorScale>
        <cfvo type="min"/>
        <cfvo type="max"/>
        <color rgb="FFFFEF9C"/>
        <color rgb="FF63BE7B"/>
      </colorScale>
    </cfRule>
  </conditionalFormatting>
  <conditionalFormatting sqref="R4:S22">
    <cfRule type="colorScale" priority="5147">
      <colorScale>
        <cfvo type="min"/>
        <cfvo type="percentile" val="50"/>
        <cfvo type="max"/>
        <color rgb="FFF8696B"/>
        <color rgb="FFFFEB84"/>
        <color rgb="FF63BE7B"/>
      </colorScale>
    </cfRule>
  </conditionalFormatting>
  <conditionalFormatting sqref="T4:T22">
    <cfRule type="dataBar" priority="5149">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5151">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5153">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5155">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5157">
      <colorScale>
        <cfvo type="min"/>
        <cfvo type="max"/>
        <color rgb="FFFCFCFF"/>
        <color rgb="FFF8696B"/>
      </colorScale>
    </cfRule>
  </conditionalFormatting>
  <conditionalFormatting sqref="AE4:AE22">
    <cfRule type="dataBar" priority="5159">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5161">
      <dataBar>
        <cfvo type="min"/>
        <cfvo type="max"/>
        <color rgb="FF638EC6"/>
      </dataBar>
      <extLst>
        <ext xmlns:x14="http://schemas.microsoft.com/office/spreadsheetml/2009/9/main" uri="{B025F937-C7B1-47D3-B67F-A62EFF666E3E}">
          <x14:id>{39454924-5FFD-4BA1-95CE-A7F67257BF61}</x14:id>
        </ext>
      </extLst>
    </cfRule>
  </conditionalFormatting>
  <conditionalFormatting sqref="AJ4:AK22">
    <cfRule type="colorScale" priority="5163">
      <colorScale>
        <cfvo type="min"/>
        <cfvo type="percentile" val="50"/>
        <cfvo type="max"/>
        <color rgb="FFF8696B"/>
        <color rgb="FFFFEB84"/>
        <color rgb="FF63BE7B"/>
      </colorScale>
    </cfRule>
  </conditionalFormatting>
  <conditionalFormatting sqref="AL4:AL22">
    <cfRule type="colorScale" priority="5165">
      <colorScale>
        <cfvo type="min"/>
        <cfvo type="percentile" val="50"/>
        <cfvo type="max"/>
        <color rgb="FFF8696B"/>
        <color rgb="FFFCFCFF"/>
        <color rgb="FF63BE7B"/>
      </colorScale>
    </cfRule>
  </conditionalFormatting>
  <conditionalFormatting sqref="AM4:AM22">
    <cfRule type="colorScale" priority="5167">
      <colorScale>
        <cfvo type="min"/>
        <cfvo type="percentile" val="50"/>
        <cfvo type="max"/>
        <color rgb="FFF8696B"/>
        <color rgb="FFFFEB84"/>
        <color rgb="FF63BE7B"/>
      </colorScale>
    </cfRule>
  </conditionalFormatting>
  <conditionalFormatting sqref="AN4:AO22">
    <cfRule type="colorScale" priority="5169">
      <colorScale>
        <cfvo type="min"/>
        <cfvo type="percentile" val="50"/>
        <cfvo type="max"/>
        <color rgb="FFF8696B"/>
        <color rgb="FFFCFCFF"/>
        <color rgb="FF63BE7B"/>
      </colorScale>
    </cfRule>
  </conditionalFormatting>
  <conditionalFormatting sqref="AP4:AP22">
    <cfRule type="colorScale" priority="5171">
      <colorScale>
        <cfvo type="min"/>
        <cfvo type="percentile" val="50"/>
        <cfvo type="max"/>
        <color rgb="FF63BE7B"/>
        <color rgb="FFFFEB84"/>
        <color rgb="FFF8696B"/>
      </colorScale>
    </cfRule>
  </conditionalFormatting>
  <conditionalFormatting sqref="AG4:AI22">
    <cfRule type="colorScale" priority="5173">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A1:S31"/>
  <sheetViews>
    <sheetView zoomScale="90" zoomScaleNormal="90" workbookViewId="0">
      <selection activeCell="J10" sqref="J1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331</v>
      </c>
      <c r="F1" s="200" t="s">
        <v>332</v>
      </c>
      <c r="G1" s="201"/>
      <c r="H1" s="201"/>
      <c r="I1" s="202" t="s">
        <v>331</v>
      </c>
      <c r="J1" s="203" t="s">
        <v>332</v>
      </c>
      <c r="K1" s="89"/>
      <c r="P1" s="199" t="s">
        <v>331</v>
      </c>
      <c r="Q1" s="200" t="s">
        <v>332</v>
      </c>
      <c r="R1" s="199"/>
      <c r="S1" s="200"/>
    </row>
    <row r="2" spans="1:19" x14ac:dyDescent="0.25">
      <c r="A2" s="204" t="s">
        <v>3</v>
      </c>
      <c r="B2" s="204" t="s">
        <v>333</v>
      </c>
      <c r="C2" s="204" t="s">
        <v>334</v>
      </c>
      <c r="D2" s="204" t="s">
        <v>18</v>
      </c>
      <c r="E2" s="199" t="s">
        <v>8</v>
      </c>
      <c r="F2" s="200" t="s">
        <v>8</v>
      </c>
      <c r="G2" s="201" t="s">
        <v>7</v>
      </c>
      <c r="H2" s="201" t="s">
        <v>7</v>
      </c>
      <c r="I2" s="202" t="s">
        <v>335</v>
      </c>
      <c r="J2" s="203" t="s">
        <v>335</v>
      </c>
      <c r="K2" s="89"/>
      <c r="P2" s="199" t="s">
        <v>8</v>
      </c>
      <c r="Q2" s="200" t="s">
        <v>8</v>
      </c>
      <c r="R2" s="199" t="s">
        <v>7</v>
      </c>
      <c r="S2" s="200" t="s">
        <v>7</v>
      </c>
    </row>
    <row r="3" spans="1:19" x14ac:dyDescent="0.25">
      <c r="A3" s="205" t="str">
        <f>PLANTILLA!D4</f>
        <v>Nicolae Hornet</v>
      </c>
      <c r="B3" s="206">
        <f>PLANTILLA!E4</f>
        <v>19</v>
      </c>
      <c r="C3" s="206">
        <f>PLANTILLA!H4</f>
        <v>5</v>
      </c>
      <c r="D3" s="207">
        <f>PLANTILLA!I4</f>
        <v>0.7</v>
      </c>
      <c r="E3" s="208">
        <f>D3</f>
        <v>0.7</v>
      </c>
      <c r="F3" s="208">
        <f>E3+0.1</f>
        <v>0.79999999999999993</v>
      </c>
      <c r="G3" s="208">
        <f>C3</f>
        <v>5</v>
      </c>
      <c r="H3" s="208">
        <f>G3+0.99</f>
        <v>5.99</v>
      </c>
      <c r="I3" s="209">
        <f>G3*G3*E3</f>
        <v>17.5</v>
      </c>
      <c r="J3" s="209">
        <f>H3*H3*F3</f>
        <v>28.704080000000001</v>
      </c>
      <c r="K3" s="210"/>
      <c r="N3" s="52" t="s">
        <v>335</v>
      </c>
      <c r="O3" t="str">
        <f>A4</f>
        <v>Pablo Goenaga</v>
      </c>
      <c r="P3" s="211">
        <f>E4</f>
        <v>1</v>
      </c>
      <c r="Q3" s="211">
        <f t="shared" ref="Q3:S3" si="0">F4</f>
        <v>1.1000000000000001</v>
      </c>
      <c r="R3" s="211">
        <f t="shared" si="0"/>
        <v>5</v>
      </c>
      <c r="S3" s="211">
        <f t="shared" si="0"/>
        <v>5.99</v>
      </c>
    </row>
    <row r="4" spans="1:19" x14ac:dyDescent="0.25">
      <c r="A4" s="205" t="str">
        <f>PLANTILLA!D5</f>
        <v>Pablo Goenaga</v>
      </c>
      <c r="B4" s="206">
        <f>PLANTILLA!E5</f>
        <v>19</v>
      </c>
      <c r="C4" s="206">
        <f>PLANTILLA!H5</f>
        <v>5</v>
      </c>
      <c r="D4" s="207">
        <f>PLANTILLA!I5</f>
        <v>1</v>
      </c>
      <c r="E4" s="208">
        <f t="shared" ref="E4:E31" si="1">D4</f>
        <v>1</v>
      </c>
      <c r="F4" s="208">
        <f t="shared" ref="F4:F31" si="2">E4+0.1</f>
        <v>1.1000000000000001</v>
      </c>
      <c r="G4" s="208">
        <f t="shared" ref="G4:G31" si="3">C4</f>
        <v>5</v>
      </c>
      <c r="H4" s="208">
        <f t="shared" ref="H4:H31" si="4">G4+0.99</f>
        <v>5.99</v>
      </c>
      <c r="I4" s="209">
        <f t="shared" ref="I4:I31" si="5">G4*G4*E4</f>
        <v>25</v>
      </c>
      <c r="J4" s="209">
        <f t="shared" ref="J4:J31" si="6">H4*H4*F4</f>
        <v>39.46811000000001</v>
      </c>
      <c r="K4" s="210"/>
      <c r="O4" t="str">
        <f>A5</f>
        <v>Alberto Ercilla</v>
      </c>
      <c r="P4" s="211">
        <f>E5</f>
        <v>3.2</v>
      </c>
      <c r="Q4" s="211">
        <f>F5</f>
        <v>3.3000000000000003</v>
      </c>
      <c r="R4" s="211">
        <f>G5</f>
        <v>4</v>
      </c>
      <c r="S4" s="211">
        <f>H5</f>
        <v>4.99</v>
      </c>
    </row>
    <row r="5" spans="1:19" x14ac:dyDescent="0.25">
      <c r="A5" s="205" t="str">
        <f>PLANTILLA!D6</f>
        <v>Alberto Ercilla</v>
      </c>
      <c r="B5" s="206">
        <f>PLANTILLA!E6</f>
        <v>24</v>
      </c>
      <c r="C5" s="206">
        <f>PLANTILLA!H6</f>
        <v>4</v>
      </c>
      <c r="D5" s="207">
        <f>PLANTILLA!I6</f>
        <v>3.2</v>
      </c>
      <c r="E5" s="208">
        <f t="shared" si="1"/>
        <v>3.2</v>
      </c>
      <c r="F5" s="208">
        <f t="shared" si="2"/>
        <v>3.3000000000000003</v>
      </c>
      <c r="G5" s="208">
        <f t="shared" si="3"/>
        <v>4</v>
      </c>
      <c r="H5" s="208">
        <f t="shared" si="4"/>
        <v>4.99</v>
      </c>
      <c r="I5" s="209">
        <f t="shared" si="5"/>
        <v>51.2</v>
      </c>
      <c r="J5" s="209">
        <f t="shared" si="6"/>
        <v>82.170330000000007</v>
      </c>
      <c r="K5" s="210"/>
      <c r="L5" s="139"/>
      <c r="O5" t="str">
        <f>A8</f>
        <v>J. G. de Minaya</v>
      </c>
      <c r="P5" s="211">
        <f>E8</f>
        <v>2.7</v>
      </c>
      <c r="Q5" s="211">
        <f>F8</f>
        <v>2.8000000000000003</v>
      </c>
      <c r="R5" s="211">
        <f>G8</f>
        <v>0</v>
      </c>
      <c r="S5" s="211">
        <f>H8</f>
        <v>0.99</v>
      </c>
    </row>
    <row r="6" spans="1:19" x14ac:dyDescent="0.25">
      <c r="A6" s="205" t="str">
        <f>PLANTILLA!D7</f>
        <v>Manuel Parejo</v>
      </c>
      <c r="B6" s="206">
        <f>PLANTILLA!E7</f>
        <v>19</v>
      </c>
      <c r="C6" s="206">
        <f>PLANTILLA!H7</f>
        <v>1</v>
      </c>
      <c r="D6" s="207">
        <f>PLANTILLA!I7</f>
        <v>2.7</v>
      </c>
      <c r="E6" s="208">
        <f t="shared" si="1"/>
        <v>2.7</v>
      </c>
      <c r="F6" s="208">
        <f t="shared" si="2"/>
        <v>2.8000000000000003</v>
      </c>
      <c r="G6" s="208">
        <f t="shared" si="3"/>
        <v>1</v>
      </c>
      <c r="H6" s="208">
        <f t="shared" si="4"/>
        <v>1.99</v>
      </c>
      <c r="I6" s="209">
        <f t="shared" si="5"/>
        <v>2.7</v>
      </c>
      <c r="J6" s="209">
        <f t="shared" si="6"/>
        <v>11.088280000000001</v>
      </c>
      <c r="K6" s="210"/>
      <c r="O6" t="str">
        <f>A11</f>
        <v>Valeri Gomis</v>
      </c>
      <c r="P6" s="211">
        <f>E11</f>
        <v>2.7</v>
      </c>
      <c r="Q6" s="211">
        <f t="shared" ref="Q6:S6" si="7">F11</f>
        <v>2.8000000000000003</v>
      </c>
      <c r="R6" s="211">
        <f t="shared" si="7"/>
        <v>6</v>
      </c>
      <c r="S6" s="211">
        <f t="shared" si="7"/>
        <v>6.99</v>
      </c>
    </row>
    <row r="7" spans="1:19" x14ac:dyDescent="0.25">
      <c r="A7" s="205" t="str">
        <f>PLANTILLA!D8</f>
        <v>Felipe Agulló</v>
      </c>
      <c r="B7" s="206">
        <f>PLANTILLA!E8</f>
        <v>19</v>
      </c>
      <c r="C7" s="206">
        <f>PLANTILLA!H8</f>
        <v>4</v>
      </c>
      <c r="D7" s="207">
        <f>PLANTILLA!I8</f>
        <v>2.1</v>
      </c>
      <c r="E7" s="208">
        <f t="shared" si="1"/>
        <v>2.1</v>
      </c>
      <c r="F7" s="208">
        <f t="shared" si="2"/>
        <v>2.2000000000000002</v>
      </c>
      <c r="G7" s="208">
        <f t="shared" si="3"/>
        <v>4</v>
      </c>
      <c r="H7" s="208">
        <f t="shared" si="4"/>
        <v>4.99</v>
      </c>
      <c r="I7" s="209">
        <f t="shared" si="5"/>
        <v>33.6</v>
      </c>
      <c r="J7" s="209">
        <f t="shared" si="6"/>
        <v>54.780220000000007</v>
      </c>
      <c r="K7" s="210"/>
      <c r="O7" t="str">
        <f>A3</f>
        <v>Nicolae Hornet</v>
      </c>
      <c r="P7" s="211">
        <f>E3</f>
        <v>0.7</v>
      </c>
      <c r="Q7" s="211">
        <f>F3</f>
        <v>0.79999999999999993</v>
      </c>
      <c r="R7" s="211">
        <f>G3</f>
        <v>5</v>
      </c>
      <c r="S7" s="211">
        <f>H3</f>
        <v>5.99</v>
      </c>
    </row>
    <row r="8" spans="1:19" x14ac:dyDescent="0.25">
      <c r="A8" s="205" t="str">
        <f>PLANTILLA!D9</f>
        <v>J. G. de Minaya</v>
      </c>
      <c r="B8" s="206">
        <f>PLANTILLA!E9</f>
        <v>19</v>
      </c>
      <c r="C8" s="206">
        <f>PLANTILLA!H9</f>
        <v>0</v>
      </c>
      <c r="D8" s="207">
        <f>PLANTILLA!I9</f>
        <v>2.7</v>
      </c>
      <c r="E8" s="208">
        <f t="shared" si="1"/>
        <v>2.7</v>
      </c>
      <c r="F8" s="208">
        <f t="shared" si="2"/>
        <v>2.8000000000000003</v>
      </c>
      <c r="G8" s="208">
        <f t="shared" si="3"/>
        <v>0</v>
      </c>
      <c r="H8" s="208">
        <f t="shared" si="4"/>
        <v>0.99</v>
      </c>
      <c r="I8" s="209">
        <f t="shared" si="5"/>
        <v>0</v>
      </c>
      <c r="J8" s="209">
        <f t="shared" si="6"/>
        <v>2.7442800000000003</v>
      </c>
      <c r="K8" s="210"/>
      <c r="O8" t="str">
        <f>A13</f>
        <v>Roberto Montero</v>
      </c>
      <c r="P8" s="211">
        <f>E13</f>
        <v>1.2</v>
      </c>
      <c r="Q8" s="211">
        <f>F13</f>
        <v>1.3</v>
      </c>
      <c r="R8" s="211">
        <f>G13</f>
        <v>2</v>
      </c>
      <c r="S8" s="211">
        <f>H13</f>
        <v>2.99</v>
      </c>
    </row>
    <row r="9" spans="1:19" x14ac:dyDescent="0.25">
      <c r="A9" s="205" t="str">
        <f>PLANTILLA!D10</f>
        <v>Francesc Añigas</v>
      </c>
      <c r="B9" s="206">
        <f>PLANTILLA!E10</f>
        <v>19</v>
      </c>
      <c r="C9" s="206">
        <f>PLANTILLA!H10</f>
        <v>5</v>
      </c>
      <c r="D9" s="207">
        <f>PLANTILLA!I10</f>
        <v>2.1</v>
      </c>
      <c r="E9" s="208">
        <f t="shared" si="1"/>
        <v>2.1</v>
      </c>
      <c r="F9" s="208">
        <f t="shared" si="2"/>
        <v>2.2000000000000002</v>
      </c>
      <c r="G9" s="208">
        <f t="shared" si="3"/>
        <v>5</v>
      </c>
      <c r="H9" s="208">
        <f t="shared" si="4"/>
        <v>5.99</v>
      </c>
      <c r="I9" s="209">
        <f t="shared" si="5"/>
        <v>52.5</v>
      </c>
      <c r="J9" s="209">
        <f t="shared" si="6"/>
        <v>78.93622000000002</v>
      </c>
      <c r="K9" s="210"/>
      <c r="O9" t="str">
        <f>A16</f>
        <v>Marc Dolz</v>
      </c>
      <c r="P9" s="211">
        <f>E16</f>
        <v>1.2</v>
      </c>
      <c r="Q9" s="211">
        <f>F16</f>
        <v>1.3</v>
      </c>
      <c r="R9" s="211">
        <f>G16</f>
        <v>3</v>
      </c>
      <c r="S9" s="211">
        <f>H16</f>
        <v>3.99</v>
      </c>
    </row>
    <row r="10" spans="1:19" x14ac:dyDescent="0.25">
      <c r="A10" s="205" t="str">
        <f>PLANTILLA!D11</f>
        <v>Will Duffill</v>
      </c>
      <c r="B10" s="206">
        <f>PLANTILLA!E11</f>
        <v>19</v>
      </c>
      <c r="C10" s="206">
        <f>PLANTILLA!H11</f>
        <v>3</v>
      </c>
      <c r="D10" s="207">
        <f>PLANTILLA!I11</f>
        <v>2.6</v>
      </c>
      <c r="E10" s="208">
        <f t="shared" si="1"/>
        <v>2.6</v>
      </c>
      <c r="F10" s="208">
        <f t="shared" si="2"/>
        <v>2.7</v>
      </c>
      <c r="G10" s="208">
        <f t="shared" si="3"/>
        <v>3</v>
      </c>
      <c r="H10" s="208">
        <f t="shared" si="4"/>
        <v>3.99</v>
      </c>
      <c r="I10" s="209">
        <f t="shared" si="5"/>
        <v>23.400000000000002</v>
      </c>
      <c r="J10" s="209">
        <f t="shared" si="6"/>
        <v>42.984270000000009</v>
      </c>
      <c r="K10" s="210"/>
      <c r="O10" t="str">
        <f>A14</f>
        <v>Eckardt Hägerling</v>
      </c>
      <c r="P10" s="211">
        <f>E14</f>
        <v>1.5</v>
      </c>
      <c r="Q10" s="211">
        <f>F14</f>
        <v>1.6</v>
      </c>
      <c r="R10" s="211">
        <f>G14</f>
        <v>3</v>
      </c>
      <c r="S10" s="211">
        <f>H14</f>
        <v>3.99</v>
      </c>
    </row>
    <row r="11" spans="1:19" x14ac:dyDescent="0.25">
      <c r="A11" s="205" t="str">
        <f>PLANTILLA!D12</f>
        <v>Valeri Gomis</v>
      </c>
      <c r="B11" s="206">
        <f>PLANTILLA!E12</f>
        <v>19</v>
      </c>
      <c r="C11" s="206">
        <f>PLANTILLA!H12</f>
        <v>6</v>
      </c>
      <c r="D11" s="207">
        <f>PLANTILLA!I12</f>
        <v>2.7</v>
      </c>
      <c r="E11" s="208">
        <f t="shared" si="1"/>
        <v>2.7</v>
      </c>
      <c r="F11" s="208">
        <f t="shared" si="2"/>
        <v>2.8000000000000003</v>
      </c>
      <c r="G11" s="208">
        <f t="shared" si="3"/>
        <v>6</v>
      </c>
      <c r="H11" s="208">
        <f t="shared" si="4"/>
        <v>6.99</v>
      </c>
      <c r="I11" s="209">
        <f t="shared" si="5"/>
        <v>97.2</v>
      </c>
      <c r="J11" s="209">
        <f t="shared" si="6"/>
        <v>136.80828000000002</v>
      </c>
      <c r="K11" s="210"/>
      <c r="O11" t="str">
        <f>A10</f>
        <v>Will Duffill</v>
      </c>
      <c r="P11" s="211">
        <f>E10</f>
        <v>2.6</v>
      </c>
      <c r="Q11" s="211">
        <f>F10</f>
        <v>2.7</v>
      </c>
      <c r="R11" s="211">
        <f>G10</f>
        <v>3</v>
      </c>
      <c r="S11" s="211">
        <f>H10</f>
        <v>3.99</v>
      </c>
    </row>
    <row r="12" spans="1:19" x14ac:dyDescent="0.25">
      <c r="A12" s="205" t="str">
        <f>PLANTILLA!D13</f>
        <v>Raul Riquelme</v>
      </c>
      <c r="B12" s="206">
        <f>PLANTILLA!E13</f>
        <v>19</v>
      </c>
      <c r="C12" s="206">
        <f>PLANTILLA!H13</f>
        <v>6</v>
      </c>
      <c r="D12" s="207">
        <f>PLANTILLA!I13</f>
        <v>2.2999999999999998</v>
      </c>
      <c r="E12" s="208">
        <f t="shared" si="1"/>
        <v>2.2999999999999998</v>
      </c>
      <c r="F12" s="208">
        <f t="shared" si="2"/>
        <v>2.4</v>
      </c>
      <c r="G12" s="208">
        <f t="shared" si="3"/>
        <v>6</v>
      </c>
      <c r="H12" s="208">
        <f t="shared" si="4"/>
        <v>6.99</v>
      </c>
      <c r="I12" s="209">
        <f t="shared" si="5"/>
        <v>82.8</v>
      </c>
      <c r="J12" s="209">
        <f t="shared" si="6"/>
        <v>117.26424</v>
      </c>
      <c r="K12" s="210"/>
      <c r="O12" t="str">
        <f>A7</f>
        <v>Felipe Agulló</v>
      </c>
      <c r="P12" s="211">
        <f>E7</f>
        <v>2.1</v>
      </c>
      <c r="Q12" s="211">
        <f t="shared" ref="Q12:S12" si="8">F7</f>
        <v>2.2000000000000002</v>
      </c>
      <c r="R12" s="211">
        <f t="shared" si="8"/>
        <v>4</v>
      </c>
      <c r="S12" s="211">
        <f t="shared" si="8"/>
        <v>4.99</v>
      </c>
    </row>
    <row r="13" spans="1:19" x14ac:dyDescent="0.25">
      <c r="A13" s="205" t="str">
        <f>PLANTILLA!D14</f>
        <v>Roberto Montero</v>
      </c>
      <c r="B13" s="206">
        <f>PLANTILLA!E14</f>
        <v>19</v>
      </c>
      <c r="C13" s="206">
        <f>PLANTILLA!H14</f>
        <v>2</v>
      </c>
      <c r="D13" s="207">
        <f>PLANTILLA!I14</f>
        <v>1.2</v>
      </c>
      <c r="E13" s="208">
        <f t="shared" si="1"/>
        <v>1.2</v>
      </c>
      <c r="F13" s="208">
        <f t="shared" si="2"/>
        <v>1.3</v>
      </c>
      <c r="G13" s="208">
        <f t="shared" si="3"/>
        <v>2</v>
      </c>
      <c r="H13" s="208">
        <f t="shared" si="4"/>
        <v>2.99</v>
      </c>
      <c r="I13" s="209">
        <f t="shared" si="5"/>
        <v>4.8</v>
      </c>
      <c r="J13" s="209">
        <f t="shared" si="6"/>
        <v>11.622130000000002</v>
      </c>
      <c r="K13" s="210"/>
      <c r="O13" t="str">
        <f>A12</f>
        <v>Raul Riquelme</v>
      </c>
      <c r="P13" s="211">
        <f>E12</f>
        <v>2.2999999999999998</v>
      </c>
      <c r="Q13" s="211">
        <f>F12</f>
        <v>2.4</v>
      </c>
      <c r="R13" s="211">
        <f>G12</f>
        <v>6</v>
      </c>
      <c r="S13" s="211">
        <f>H12</f>
        <v>6.99</v>
      </c>
    </row>
    <row r="14" spans="1:19" x14ac:dyDescent="0.25">
      <c r="A14" s="205" t="str">
        <f>PLANTILLA!D15</f>
        <v>Eckardt Hägerling</v>
      </c>
      <c r="B14" s="206">
        <f>PLANTILLA!E15</f>
        <v>19</v>
      </c>
      <c r="C14" s="206">
        <f>PLANTILLA!H15</f>
        <v>3</v>
      </c>
      <c r="D14" s="207">
        <f>PLANTILLA!I15</f>
        <v>1.5</v>
      </c>
      <c r="E14" s="208">
        <f t="shared" si="1"/>
        <v>1.5</v>
      </c>
      <c r="F14" s="208">
        <f t="shared" si="2"/>
        <v>1.6</v>
      </c>
      <c r="G14" s="208">
        <f t="shared" si="3"/>
        <v>3</v>
      </c>
      <c r="H14" s="208">
        <f t="shared" si="4"/>
        <v>3.99</v>
      </c>
      <c r="I14" s="209">
        <f t="shared" si="5"/>
        <v>13.5</v>
      </c>
      <c r="J14" s="209">
        <f t="shared" si="6"/>
        <v>25.472160000000002</v>
      </c>
      <c r="K14" s="210"/>
      <c r="P14" s="37">
        <f>SUM(P4:P13)/10</f>
        <v>2.02</v>
      </c>
      <c r="Q14" s="37">
        <f>SUM(Q4:Q13)/10</f>
        <v>2.12</v>
      </c>
      <c r="R14" s="37"/>
      <c r="S14" s="37"/>
    </row>
    <row r="15" spans="1:19" x14ac:dyDescent="0.25">
      <c r="A15" s="205" t="str">
        <f>PLANTILLA!D16</f>
        <v>Fernando Gazón</v>
      </c>
      <c r="B15" s="206">
        <f>PLANTILLA!E16</f>
        <v>19</v>
      </c>
      <c r="C15" s="206">
        <f>PLANTILLA!H16</f>
        <v>3</v>
      </c>
      <c r="D15" s="207">
        <f>PLANTILLA!I16</f>
        <v>1.9</v>
      </c>
      <c r="E15" s="208">
        <f t="shared" si="1"/>
        <v>1.9</v>
      </c>
      <c r="F15" s="208">
        <f t="shared" si="2"/>
        <v>2</v>
      </c>
      <c r="G15" s="208">
        <f t="shared" si="3"/>
        <v>3</v>
      </c>
      <c r="H15" s="208">
        <f t="shared" si="4"/>
        <v>3.99</v>
      </c>
      <c r="I15" s="209">
        <f t="shared" si="5"/>
        <v>17.099999999999998</v>
      </c>
      <c r="J15" s="209">
        <f t="shared" si="6"/>
        <v>31.840200000000003</v>
      </c>
      <c r="K15" s="210"/>
    </row>
    <row r="16" spans="1:19" x14ac:dyDescent="0.25">
      <c r="A16" s="205" t="str">
        <f>PLANTILLA!D17</f>
        <v>Marc Dolz</v>
      </c>
      <c r="B16" s="206">
        <f>PLANTILLA!E17</f>
        <v>19</v>
      </c>
      <c r="C16" s="206">
        <f>PLANTILLA!H17</f>
        <v>3</v>
      </c>
      <c r="D16" s="207">
        <f>PLANTILLA!I17</f>
        <v>1.2</v>
      </c>
      <c r="E16" s="208">
        <f t="shared" si="1"/>
        <v>1.2</v>
      </c>
      <c r="F16" s="208">
        <f t="shared" si="2"/>
        <v>1.3</v>
      </c>
      <c r="G16" s="208">
        <f t="shared" si="3"/>
        <v>3</v>
      </c>
      <c r="H16" s="208">
        <f t="shared" si="4"/>
        <v>3.99</v>
      </c>
      <c r="I16" s="209">
        <f t="shared" si="5"/>
        <v>10.799999999999999</v>
      </c>
      <c r="J16" s="209">
        <f t="shared" si="6"/>
        <v>20.696130000000004</v>
      </c>
      <c r="K16" s="210"/>
      <c r="L16" s="71" t="s">
        <v>336</v>
      </c>
      <c r="O16" t="s">
        <v>337</v>
      </c>
      <c r="P16" s="32">
        <f>SUM(P3:P13)</f>
        <v>21.200000000000003</v>
      </c>
      <c r="Q16" s="32">
        <f>SUM(Q3:Q13)</f>
        <v>22.3</v>
      </c>
      <c r="R16" s="32"/>
    </row>
    <row r="17" spans="1:18" x14ac:dyDescent="0.25">
      <c r="A17" s="205" t="str">
        <f>PLANTILLA!D18</f>
        <v>Mauro Vaz</v>
      </c>
      <c r="B17" s="206">
        <f>PLANTILLA!E18</f>
        <v>20</v>
      </c>
      <c r="C17" s="206">
        <f>PLANTILLA!H18</f>
        <v>5</v>
      </c>
      <c r="D17" s="207">
        <f>PLANTILLA!I18</f>
        <v>2.1</v>
      </c>
      <c r="E17" s="208">
        <f t="shared" si="1"/>
        <v>2.1</v>
      </c>
      <c r="F17" s="208">
        <f t="shared" si="2"/>
        <v>2.2000000000000002</v>
      </c>
      <c r="G17" s="208">
        <f t="shared" si="3"/>
        <v>5</v>
      </c>
      <c r="H17" s="208">
        <f t="shared" si="4"/>
        <v>5.99</v>
      </c>
      <c r="I17" s="209">
        <f t="shared" si="5"/>
        <v>52.5</v>
      </c>
      <c r="J17" s="209">
        <f t="shared" si="6"/>
        <v>78.93622000000002</v>
      </c>
      <c r="K17" s="210"/>
      <c r="O17" t="s">
        <v>338</v>
      </c>
      <c r="P17" s="37">
        <f>P16/17</f>
        <v>1.247058823529412</v>
      </c>
      <c r="Q17" s="37">
        <f>Q16/17</f>
        <v>1.3117647058823529</v>
      </c>
      <c r="R17" s="37"/>
    </row>
    <row r="18" spans="1:18" x14ac:dyDescent="0.25">
      <c r="A18" s="205" t="str">
        <f>PLANTILLA!D19</f>
        <v>Roberto Abenoza</v>
      </c>
      <c r="B18" s="206">
        <f>PLANTILLA!E19</f>
        <v>19</v>
      </c>
      <c r="C18" s="206">
        <f>PLANTILLA!H19</f>
        <v>4</v>
      </c>
      <c r="D18" s="207">
        <f>PLANTILLA!I19</f>
        <v>1.2</v>
      </c>
      <c r="E18" s="208">
        <f t="shared" si="1"/>
        <v>1.2</v>
      </c>
      <c r="F18" s="208">
        <f t="shared" si="2"/>
        <v>1.3</v>
      </c>
      <c r="G18" s="208">
        <f t="shared" si="3"/>
        <v>4</v>
      </c>
      <c r="H18" s="208">
        <f t="shared" si="4"/>
        <v>4.99</v>
      </c>
      <c r="I18" s="209">
        <f t="shared" si="5"/>
        <v>19.2</v>
      </c>
      <c r="J18" s="209">
        <f t="shared" si="6"/>
        <v>32.370130000000003</v>
      </c>
      <c r="K18" s="210"/>
      <c r="L18" s="71" t="s">
        <v>339</v>
      </c>
      <c r="O18" t="s">
        <v>340</v>
      </c>
      <c r="P18" s="32">
        <f>R3^2</f>
        <v>25</v>
      </c>
      <c r="Q18" s="32">
        <f>S3^2</f>
        <v>35.880100000000006</v>
      </c>
      <c r="R18" s="32"/>
    </row>
    <row r="19" spans="1:18" x14ac:dyDescent="0.25">
      <c r="A19" s="205" t="str">
        <f>PLANTILLA!D20</f>
        <v>Enrique Cubas</v>
      </c>
      <c r="B19" s="206">
        <f>PLANTILLA!E20</f>
        <v>19</v>
      </c>
      <c r="C19" s="206">
        <f>PLANTILLA!H20</f>
        <v>1</v>
      </c>
      <c r="D19" s="207">
        <f>PLANTILLA!I20</f>
        <v>2.6</v>
      </c>
      <c r="E19" s="208">
        <f t="shared" si="1"/>
        <v>2.6</v>
      </c>
      <c r="F19" s="208">
        <f t="shared" si="2"/>
        <v>2.7</v>
      </c>
      <c r="G19" s="208">
        <f t="shared" si="3"/>
        <v>1</v>
      </c>
      <c r="H19" s="208">
        <f t="shared" si="4"/>
        <v>1.99</v>
      </c>
      <c r="I19" s="209">
        <f t="shared" si="5"/>
        <v>2.6</v>
      </c>
      <c r="J19" s="209">
        <f t="shared" si="6"/>
        <v>10.692270000000001</v>
      </c>
      <c r="K19" s="210"/>
      <c r="L19" s="71" t="s">
        <v>341</v>
      </c>
      <c r="O19" t="s">
        <v>342</v>
      </c>
      <c r="P19" s="32">
        <f>P18*P3</f>
        <v>25</v>
      </c>
      <c r="Q19" s="32">
        <f>Q18*Q3</f>
        <v>39.46811000000001</v>
      </c>
      <c r="R19" s="32"/>
    </row>
    <row r="20" spans="1:18" x14ac:dyDescent="0.25">
      <c r="A20" s="205" t="str">
        <f>PLANTILLA!D21</f>
        <v>J. G. Peñuela</v>
      </c>
      <c r="B20" s="206">
        <f>PLANTILLA!E21</f>
        <v>19</v>
      </c>
      <c r="C20" s="206">
        <f>PLANTILLA!H21</f>
        <v>6</v>
      </c>
      <c r="D20" s="207">
        <f>PLANTILLA!I21</f>
        <v>2.2999999999999998</v>
      </c>
      <c r="E20" s="208">
        <f t="shared" si="1"/>
        <v>2.2999999999999998</v>
      </c>
      <c r="F20" s="208">
        <f t="shared" si="2"/>
        <v>2.4</v>
      </c>
      <c r="G20" s="208">
        <f t="shared" si="3"/>
        <v>6</v>
      </c>
      <c r="H20" s="208">
        <f t="shared" si="4"/>
        <v>6.99</v>
      </c>
      <c r="I20" s="209">
        <f t="shared" si="5"/>
        <v>82.8</v>
      </c>
      <c r="J20" s="209">
        <f t="shared" si="6"/>
        <v>117.26424</v>
      </c>
      <c r="K20" s="210"/>
      <c r="L20" s="71" t="s">
        <v>343</v>
      </c>
      <c r="O20" t="s">
        <v>344</v>
      </c>
      <c r="P20" s="37">
        <f>(P19^(2/3))/30</f>
        <v>0.28499599111278268</v>
      </c>
      <c r="Q20" s="37">
        <f>(Q19^(2/3))/30</f>
        <v>0.38640520266153161</v>
      </c>
      <c r="R20" s="37"/>
    </row>
    <row r="21" spans="1:18" x14ac:dyDescent="0.25">
      <c r="A21" s="205" t="str">
        <f>PLANTILLA!D22</f>
        <v>Xofre Taín</v>
      </c>
      <c r="B21" s="206">
        <f>PLANTILLA!E22</f>
        <v>18</v>
      </c>
      <c r="C21" s="206">
        <f>PLANTILLA!H22</f>
        <v>3</v>
      </c>
      <c r="D21" s="207">
        <f>PLANTILLA!I22</f>
        <v>1.3</v>
      </c>
      <c r="E21" s="208">
        <f t="shared" si="1"/>
        <v>1.3</v>
      </c>
      <c r="F21" s="208">
        <f t="shared" si="2"/>
        <v>1.4000000000000001</v>
      </c>
      <c r="G21" s="208">
        <f t="shared" si="3"/>
        <v>3</v>
      </c>
      <c r="H21" s="208">
        <f t="shared" si="4"/>
        <v>3.99</v>
      </c>
      <c r="I21" s="209">
        <f t="shared" si="5"/>
        <v>11.700000000000001</v>
      </c>
      <c r="J21" s="209">
        <f t="shared" si="6"/>
        <v>22.288140000000006</v>
      </c>
      <c r="K21" s="210"/>
      <c r="L21" s="71" t="s">
        <v>345</v>
      </c>
      <c r="O21" s="110" t="s">
        <v>169</v>
      </c>
      <c r="P21" s="157">
        <f>P17+P20</f>
        <v>1.5320548146421946</v>
      </c>
      <c r="Q21" s="157">
        <f>Q17+Q20</f>
        <v>1.6981699085438846</v>
      </c>
    </row>
    <row r="22" spans="1:18" x14ac:dyDescent="0.25">
      <c r="A22" s="205" t="str">
        <f>PLANTILLA!D23</f>
        <v>A. Ilisie</v>
      </c>
      <c r="B22" s="206">
        <f>PLANTILLA!E23</f>
        <v>0</v>
      </c>
      <c r="C22" s="206">
        <f>PLANTILLA!H23</f>
        <v>0</v>
      </c>
      <c r="D22" s="207">
        <f>PLANTILLA!I23</f>
        <v>0</v>
      </c>
      <c r="E22" s="208">
        <f t="shared" si="1"/>
        <v>0</v>
      </c>
      <c r="F22" s="208">
        <f t="shared" si="2"/>
        <v>0.1</v>
      </c>
      <c r="G22" s="208">
        <f t="shared" si="3"/>
        <v>0</v>
      </c>
      <c r="H22" s="208">
        <f t="shared" si="4"/>
        <v>0.99</v>
      </c>
      <c r="I22" s="209">
        <f t="shared" si="5"/>
        <v>0</v>
      </c>
      <c r="J22" s="209">
        <f t="shared" si="6"/>
        <v>9.801E-2</v>
      </c>
      <c r="K22" s="210"/>
      <c r="L22" t="s">
        <v>346</v>
      </c>
    </row>
    <row r="23" spans="1:18" x14ac:dyDescent="0.25">
      <c r="A23" s="205">
        <f>PLANTILLA!D24</f>
        <v>0</v>
      </c>
      <c r="B23" s="206">
        <f>PLANTILLA!E24</f>
        <v>0</v>
      </c>
      <c r="C23" s="206">
        <f>PLANTILLA!H24</f>
        <v>0</v>
      </c>
      <c r="D23" s="207">
        <f>PLANTILLA!I24</f>
        <v>0</v>
      </c>
      <c r="E23" s="208">
        <f t="shared" si="1"/>
        <v>0</v>
      </c>
      <c r="F23" s="208">
        <f t="shared" si="2"/>
        <v>0.1</v>
      </c>
      <c r="G23" s="208">
        <f t="shared" si="3"/>
        <v>0</v>
      </c>
      <c r="H23" s="208">
        <f t="shared" si="4"/>
        <v>0.99</v>
      </c>
      <c r="I23" s="209">
        <f t="shared" si="5"/>
        <v>0</v>
      </c>
      <c r="J23" s="209">
        <f t="shared" si="6"/>
        <v>9.801E-2</v>
      </c>
      <c r="K23" s="210"/>
      <c r="O23" s="30"/>
    </row>
    <row r="24" spans="1:18" x14ac:dyDescent="0.25">
      <c r="A24" s="205">
        <f>PLANTILLA!D25</f>
        <v>0</v>
      </c>
      <c r="B24" s="206">
        <f>PLANTILLA!E25</f>
        <v>0</v>
      </c>
      <c r="C24" s="206">
        <f>PLANTILLA!H25</f>
        <v>0</v>
      </c>
      <c r="D24" s="207">
        <f>PLANTILLA!I25</f>
        <v>0</v>
      </c>
      <c r="E24" s="208">
        <f t="shared" si="1"/>
        <v>0</v>
      </c>
      <c r="F24" s="208">
        <f t="shared" si="2"/>
        <v>0.1</v>
      </c>
      <c r="G24" s="208">
        <f t="shared" si="3"/>
        <v>0</v>
      </c>
      <c r="H24" s="208">
        <f t="shared" si="4"/>
        <v>0.99</v>
      </c>
      <c r="I24" s="209">
        <f t="shared" si="5"/>
        <v>0</v>
      </c>
      <c r="J24" s="209">
        <f t="shared" si="6"/>
        <v>9.801E-2</v>
      </c>
    </row>
    <row r="25" spans="1:18" x14ac:dyDescent="0.25">
      <c r="A25" s="205">
        <f>PLANTILLA!D26</f>
        <v>0</v>
      </c>
      <c r="B25" s="206">
        <f>PLANTILLA!E26</f>
        <v>0</v>
      </c>
      <c r="C25" s="206">
        <f>PLANTILLA!H26</f>
        <v>0</v>
      </c>
      <c r="D25" s="207">
        <f>PLANTILLA!I26</f>
        <v>0</v>
      </c>
      <c r="E25" s="208">
        <f t="shared" si="1"/>
        <v>0</v>
      </c>
      <c r="F25" s="208">
        <f t="shared" si="2"/>
        <v>0.1</v>
      </c>
      <c r="G25" s="208">
        <f t="shared" si="3"/>
        <v>0</v>
      </c>
      <c r="H25" s="208">
        <f t="shared" si="4"/>
        <v>0.99</v>
      </c>
      <c r="I25" s="209">
        <f t="shared" si="5"/>
        <v>0</v>
      </c>
      <c r="J25" s="209">
        <f t="shared" si="6"/>
        <v>9.801E-2</v>
      </c>
    </row>
    <row r="26" spans="1:18" x14ac:dyDescent="0.25">
      <c r="A26" s="205">
        <f>PLANTILLA!D27</f>
        <v>0</v>
      </c>
      <c r="B26" s="206">
        <f>PLANTILLA!E27</f>
        <v>0</v>
      </c>
      <c r="C26" s="206">
        <f>PLANTILLA!H27</f>
        <v>0</v>
      </c>
      <c r="D26" s="207">
        <f>PLANTILLA!I27</f>
        <v>0</v>
      </c>
      <c r="E26" s="208">
        <f t="shared" si="1"/>
        <v>0</v>
      </c>
      <c r="F26" s="208">
        <f t="shared" si="2"/>
        <v>0.1</v>
      </c>
      <c r="G26" s="208">
        <f t="shared" si="3"/>
        <v>0</v>
      </c>
      <c r="H26" s="208">
        <f t="shared" si="4"/>
        <v>0.99</v>
      </c>
      <c r="I26" s="209">
        <f t="shared" si="5"/>
        <v>0</v>
      </c>
      <c r="J26" s="209">
        <f t="shared" si="6"/>
        <v>9.801E-2</v>
      </c>
    </row>
    <row r="27" spans="1:18" x14ac:dyDescent="0.25">
      <c r="A27" s="205">
        <f>PLANTILLA!D28</f>
        <v>0</v>
      </c>
      <c r="B27" s="206">
        <f>PLANTILLA!E28</f>
        <v>0</v>
      </c>
      <c r="C27" s="206">
        <f>PLANTILLA!H28</f>
        <v>0</v>
      </c>
      <c r="D27" s="207">
        <f>PLANTILLA!I28</f>
        <v>0</v>
      </c>
      <c r="E27" s="208">
        <f t="shared" si="1"/>
        <v>0</v>
      </c>
      <c r="F27" s="208">
        <f t="shared" si="2"/>
        <v>0.1</v>
      </c>
      <c r="G27" s="208">
        <f t="shared" si="3"/>
        <v>0</v>
      </c>
      <c r="H27" s="208">
        <f t="shared" si="4"/>
        <v>0.99</v>
      </c>
      <c r="I27" s="209">
        <f t="shared" si="5"/>
        <v>0</v>
      </c>
      <c r="J27" s="209">
        <f t="shared" si="6"/>
        <v>9.801E-2</v>
      </c>
    </row>
    <row r="28" spans="1:18" x14ac:dyDescent="0.25">
      <c r="A28" s="205">
        <f>PLANTILLA!D29</f>
        <v>0</v>
      </c>
      <c r="B28" s="206">
        <f>PLANTILLA!E29</f>
        <v>0</v>
      </c>
      <c r="C28" s="206">
        <f>PLANTILLA!H29</f>
        <v>0</v>
      </c>
      <c r="D28" s="207">
        <f>PLANTILLA!I29</f>
        <v>0</v>
      </c>
      <c r="E28" s="208">
        <f t="shared" si="1"/>
        <v>0</v>
      </c>
      <c r="F28" s="208">
        <f t="shared" si="2"/>
        <v>0.1</v>
      </c>
      <c r="G28" s="208">
        <f t="shared" si="3"/>
        <v>0</v>
      </c>
      <c r="H28" s="208">
        <f t="shared" si="4"/>
        <v>0.99</v>
      </c>
      <c r="I28" s="209">
        <f t="shared" si="5"/>
        <v>0</v>
      </c>
      <c r="J28" s="209">
        <f t="shared" si="6"/>
        <v>9.801E-2</v>
      </c>
    </row>
    <row r="29" spans="1:18" x14ac:dyDescent="0.25">
      <c r="A29" s="205">
        <f>PLANTILLA!D30</f>
        <v>0</v>
      </c>
      <c r="B29" s="206">
        <f>PLANTILLA!E30</f>
        <v>0</v>
      </c>
      <c r="C29" s="206">
        <f>PLANTILLA!H30</f>
        <v>0</v>
      </c>
      <c r="D29" s="207">
        <f>PLANTILLA!I30</f>
        <v>0</v>
      </c>
      <c r="E29" s="208">
        <f t="shared" si="1"/>
        <v>0</v>
      </c>
      <c r="F29" s="208">
        <f t="shared" si="2"/>
        <v>0.1</v>
      </c>
      <c r="G29" s="208">
        <f t="shared" si="3"/>
        <v>0</v>
      </c>
      <c r="H29" s="208">
        <f t="shared" si="4"/>
        <v>0.99</v>
      </c>
      <c r="I29" s="209">
        <f t="shared" si="5"/>
        <v>0</v>
      </c>
      <c r="J29" s="209">
        <f t="shared" si="6"/>
        <v>9.801E-2</v>
      </c>
    </row>
    <row r="30" spans="1:18" x14ac:dyDescent="0.25">
      <c r="A30" s="205">
        <f>PLANTILLA!D31</f>
        <v>0</v>
      </c>
      <c r="B30" s="206">
        <f>PLANTILLA!E31</f>
        <v>0</v>
      </c>
      <c r="C30" s="206">
        <f>PLANTILLA!H31</f>
        <v>0</v>
      </c>
      <c r="D30" s="207">
        <f>PLANTILLA!I31</f>
        <v>0</v>
      </c>
      <c r="E30" s="208">
        <f t="shared" si="1"/>
        <v>0</v>
      </c>
      <c r="F30" s="208">
        <f t="shared" si="2"/>
        <v>0.1</v>
      </c>
      <c r="G30" s="208">
        <f t="shared" si="3"/>
        <v>0</v>
      </c>
      <c r="H30" s="208">
        <f t="shared" si="4"/>
        <v>0.99</v>
      </c>
      <c r="I30" s="209">
        <f t="shared" si="5"/>
        <v>0</v>
      </c>
      <c r="J30" s="209">
        <f t="shared" si="6"/>
        <v>9.801E-2</v>
      </c>
    </row>
    <row r="31" spans="1:18" x14ac:dyDescent="0.25">
      <c r="A31" s="205">
        <f>PLANTILLA!D32</f>
        <v>0</v>
      </c>
      <c r="B31" s="206">
        <f>PLANTILLA!E32</f>
        <v>0</v>
      </c>
      <c r="C31" s="206">
        <f>PLANTILLA!H32</f>
        <v>0</v>
      </c>
      <c r="D31" s="207">
        <f>PLANTILLA!I32</f>
        <v>0</v>
      </c>
      <c r="E31" s="208">
        <f t="shared" si="1"/>
        <v>0</v>
      </c>
      <c r="F31" s="208">
        <f t="shared" si="2"/>
        <v>0.1</v>
      </c>
      <c r="G31" s="208">
        <f t="shared" si="3"/>
        <v>0</v>
      </c>
      <c r="H31" s="208">
        <f t="shared" si="4"/>
        <v>0.99</v>
      </c>
      <c r="I31" s="209">
        <f t="shared" si="5"/>
        <v>0</v>
      </c>
      <c r="J31" s="209">
        <f t="shared" si="6"/>
        <v>9.801E-2</v>
      </c>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Resistencia</vt:lpstr>
      <vt:lpstr>TL_v1</vt:lpstr>
      <vt:lpstr>CA_v1</vt:lpstr>
      <vt:lpstr>CA_v2</vt:lpstr>
      <vt:lpstr>CambioENTRENADOR</vt:lpstr>
      <vt:lpstr>Planning_Entrenador</vt:lpstr>
      <vt:lpstr>Hall_of_Fame</vt:lpstr>
      <vt:lpstr>PLANTILLA</vt:lpstr>
      <vt:lpstr>CAPITAN</vt:lpstr>
      <vt:lpstr>Evaluacion Jugadores</vt:lpstr>
      <vt:lpstr>Rendimiento_ENTRENAMIENTO</vt:lpstr>
      <vt:lpstr>Calculador de Sueldo</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2018-08-10T10:21:44Z</dcterms:modified>
</cp:coreProperties>
</file>