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5.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7.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defaultThemeVersion="124226"/>
  <xr:revisionPtr revIDLastSave="0" documentId="13_ncr:1_{3B727298-F98A-4944-BAE6-3D8D0C4817F1}" xr6:coauthVersionLast="33" xr6:coauthVersionMax="33" xr10:uidLastSave="{00000000-0000-0000-0000-000000000000}"/>
  <bookViews>
    <workbookView xWindow="1680" yWindow="300" windowWidth="14880" windowHeight="7815" activeTab="7" xr2:uid="{00000000-000D-0000-FFFF-FFFF00000000}"/>
  </bookViews>
  <sheets>
    <sheet name="RecienPromocionados" sheetId="95" r:id="rId1"/>
    <sheet name="Resistencia" sheetId="37" r:id="rId2"/>
    <sheet name="CA_Calculator" sheetId="83" r:id="rId3"/>
    <sheet name="TL_Tactica" sheetId="102" r:id="rId4"/>
    <sheet name="CAPITAN" sheetId="76" r:id="rId5"/>
    <sheet name="ENTRENADOR" sheetId="85" r:id="rId6"/>
    <sheet name="Calendari" sheetId="114" r:id="rId7"/>
    <sheet name="PLANTILLA" sheetId="32" r:id="rId8"/>
    <sheet name="Evaluacion" sheetId="94" r:id="rId9"/>
    <sheet name="Eva_sinFORMA" sheetId="113" r:id="rId10"/>
    <sheet name="ENTRENAMIENTO_Rendimiento" sheetId="86" r:id="rId11"/>
    <sheet name="Resumen_Rend" sheetId="96" r:id="rId12"/>
    <sheet name="352" sheetId="105" r:id="rId13"/>
    <sheet name="541" sheetId="106" r:id="rId14"/>
    <sheet name="DEF" sheetId="108" r:id="rId15"/>
    <sheet name="JUG" sheetId="107" r:id="rId16"/>
    <sheet name="PAS" sheetId="110" r:id="rId17"/>
    <sheet name="LAT" sheetId="111" r:id="rId18"/>
    <sheet name="Hall_of_Fame" sheetId="49" r:id="rId19"/>
    <sheet name="Estadio" sheetId="3" r:id="rId20"/>
    <sheet name="EconomiaT48" sheetId="91" r:id="rId21"/>
    <sheet name="A-P_T48" sheetId="92" r:id="rId22"/>
    <sheet name="EconomiaT49" sheetId="100" r:id="rId23"/>
    <sheet name="A-P_T49" sheetId="101" r:id="rId24"/>
    <sheet name="EconomiaT50" sheetId="103" r:id="rId25"/>
    <sheet name="A-P_T50" sheetId="104" r:id="rId26"/>
    <sheet name="TablasEntreno" sheetId="99" r:id="rId27"/>
    <sheet name="TSI-Sueldos" sheetId="38" r:id="rId28"/>
    <sheet name="Entrenamientos" sheetId="12" r:id="rId29"/>
    <sheet name="NUEVOENTRENADOR" sheetId="41" r:id="rId30"/>
    <sheet name="RiscLesió" sheetId="48" r:id="rId31"/>
    <sheet name="EMPLEADOS" sheetId="93" r:id="rId32"/>
  </sheets>
  <definedNames>
    <definedName name="_xlnm._FilterDatabase" localSheetId="10" hidden="1">ENTRENAMIENTO_Rendimiento!$S$3:$Z$24</definedName>
    <definedName name="_xlnm._FilterDatabase" localSheetId="7" hidden="1">PLANTILLA!$A$4:$AN$32</definedName>
    <definedName name="_xlnm._FilterDatabase" localSheetId="0" hidden="1">RecienPromocionados!$A$4:$D$22</definedName>
  </definedNames>
  <calcPr calcId="179017"/>
</workbook>
</file>

<file path=xl/calcChain.xml><?xml version="1.0" encoding="utf-8"?>
<calcChain xmlns="http://schemas.openxmlformats.org/spreadsheetml/2006/main">
  <c r="U28" i="32" l="1"/>
  <c r="AV28" i="32"/>
  <c r="AW28" i="32"/>
  <c r="AX28" i="32"/>
  <c r="AY28" i="32"/>
  <c r="AZ28" i="32"/>
  <c r="BA28" i="32"/>
  <c r="BB28" i="32"/>
  <c r="BC28" i="32"/>
  <c r="BD28" i="32"/>
  <c r="BE28" i="32"/>
  <c r="BF28" i="32"/>
  <c r="AQ28" i="32"/>
  <c r="W28" i="32"/>
  <c r="R28" i="32"/>
  <c r="S28" i="32"/>
  <c r="P28" i="32"/>
  <c r="AF28" i="32" s="1"/>
  <c r="N28" i="32"/>
  <c r="J28" i="32"/>
  <c r="K28" i="32"/>
  <c r="L28" i="32"/>
  <c r="AJ28" i="32" l="1"/>
  <c r="AI28" i="32"/>
  <c r="AN28" i="32"/>
  <c r="AL28" i="32"/>
  <c r="AM28" i="32"/>
  <c r="AK28" i="32"/>
  <c r="AH28" i="32"/>
  <c r="AG28" i="32"/>
  <c r="U27" i="32" l="1"/>
  <c r="AV27" i="32"/>
  <c r="AW27" i="32"/>
  <c r="AX27" i="32"/>
  <c r="AY27" i="32"/>
  <c r="AZ27" i="32"/>
  <c r="BA27" i="32"/>
  <c r="BB27" i="32"/>
  <c r="BC27" i="32"/>
  <c r="BD27" i="32"/>
  <c r="BE27" i="32"/>
  <c r="BF27" i="32"/>
  <c r="AQ27" i="32" l="1"/>
  <c r="W27" i="32"/>
  <c r="R27" i="32"/>
  <c r="S27" i="32"/>
  <c r="P27" i="32"/>
  <c r="AG27" i="32" s="1"/>
  <c r="N27" i="32"/>
  <c r="J27" i="32"/>
  <c r="K27" i="32"/>
  <c r="L27" i="32"/>
  <c r="AL27" i="32" l="1"/>
  <c r="AM27" i="32"/>
  <c r="AK27" i="32"/>
  <c r="AI27" i="32"/>
  <c r="AN27" i="32"/>
  <c r="AJ27" i="32"/>
  <c r="AH27" i="32"/>
  <c r="AF27" i="32"/>
  <c r="BF23" i="32"/>
  <c r="BF24" i="32"/>
  <c r="BF25" i="32"/>
  <c r="BF26" i="32"/>
  <c r="BF29" i="32"/>
  <c r="BF22" i="32"/>
  <c r="BE23" i="32"/>
  <c r="BE24" i="32"/>
  <c r="BE25" i="32"/>
  <c r="BE26" i="32"/>
  <c r="BE29" i="32"/>
  <c r="BE22" i="32"/>
  <c r="BC23" i="32"/>
  <c r="BD23" i="32"/>
  <c r="BC24" i="32"/>
  <c r="BD24" i="32"/>
  <c r="BC25" i="32"/>
  <c r="BD25" i="32"/>
  <c r="BC26" i="32"/>
  <c r="BD26" i="32"/>
  <c r="BC29" i="32"/>
  <c r="BD29" i="32"/>
  <c r="BD22" i="32"/>
  <c r="BC22" i="32"/>
  <c r="BB23" i="32"/>
  <c r="BB24" i="32"/>
  <c r="BB25" i="32"/>
  <c r="BB26" i="32"/>
  <c r="BB29" i="32"/>
  <c r="BB22" i="32"/>
  <c r="BA23" i="32"/>
  <c r="BA24" i="32"/>
  <c r="BA25" i="32"/>
  <c r="BA26" i="32"/>
  <c r="BA29" i="32"/>
  <c r="BA22" i="32"/>
  <c r="AY23" i="32" l="1"/>
  <c r="AZ23" i="32"/>
  <c r="AY24" i="32"/>
  <c r="AZ24" i="32"/>
  <c r="AY25" i="32"/>
  <c r="AZ25" i="32"/>
  <c r="AY26" i="32"/>
  <c r="AZ26" i="32"/>
  <c r="AY29" i="32"/>
  <c r="AZ29" i="32"/>
  <c r="AY22" i="32"/>
  <c r="AZ22" i="32"/>
  <c r="AX23" i="32"/>
  <c r="AX24" i="32"/>
  <c r="AX25" i="32"/>
  <c r="AX26" i="32"/>
  <c r="AX29" i="32"/>
  <c r="AX22" i="32"/>
  <c r="AW23" i="32"/>
  <c r="AW24" i="32"/>
  <c r="AW25" i="32"/>
  <c r="AW26" i="32"/>
  <c r="AW29" i="32"/>
  <c r="AW22" i="32"/>
  <c r="AV23" i="32"/>
  <c r="AV24" i="32"/>
  <c r="AV25" i="32"/>
  <c r="AV26" i="32"/>
  <c r="AV29" i="32"/>
  <c r="AV22" i="32"/>
  <c r="U29" i="32" l="1"/>
  <c r="AQ29" i="32"/>
  <c r="W29" i="32"/>
  <c r="R29" i="32"/>
  <c r="S29" i="32"/>
  <c r="P29" i="32"/>
  <c r="N29" i="32"/>
  <c r="J29" i="32"/>
  <c r="K29" i="32"/>
  <c r="L29" i="32"/>
  <c r="U26" i="32"/>
  <c r="AQ26" i="32"/>
  <c r="W26" i="32"/>
  <c r="R26" i="32"/>
  <c r="S26" i="32"/>
  <c r="P26" i="32"/>
  <c r="N26" i="32"/>
  <c r="J26" i="32"/>
  <c r="K26" i="32"/>
  <c r="L26" i="32"/>
  <c r="U25" i="32"/>
  <c r="AQ25" i="32"/>
  <c r="W25" i="32"/>
  <c r="R25" i="32"/>
  <c r="S25" i="32"/>
  <c r="P25" i="32"/>
  <c r="N25" i="32"/>
  <c r="J25" i="32"/>
  <c r="K25" i="32"/>
  <c r="L25" i="32"/>
  <c r="AQ23" i="32"/>
  <c r="AQ24" i="32"/>
  <c r="U24" i="32"/>
  <c r="W24" i="32"/>
  <c r="R24" i="32"/>
  <c r="S24" i="32"/>
  <c r="P24" i="32"/>
  <c r="N24" i="32"/>
  <c r="J24" i="32"/>
  <c r="K24" i="32"/>
  <c r="L24" i="32"/>
  <c r="AF25" i="32" l="1"/>
  <c r="AF26" i="32"/>
  <c r="AG24" i="32"/>
  <c r="AG29" i="32"/>
  <c r="AI29" i="32"/>
  <c r="AL29" i="32"/>
  <c r="AK29" i="32"/>
  <c r="AN29" i="32"/>
  <c r="AM29" i="32"/>
  <c r="AJ29" i="32"/>
  <c r="AH29" i="32"/>
  <c r="AF29" i="32"/>
  <c r="AN26" i="32"/>
  <c r="AM26" i="32"/>
  <c r="AL26" i="32"/>
  <c r="AK26" i="32"/>
  <c r="AJ26" i="32"/>
  <c r="AI26" i="32"/>
  <c r="AH26" i="32"/>
  <c r="AG26" i="32"/>
  <c r="AN25" i="32"/>
  <c r="AL25" i="32"/>
  <c r="AM25" i="32"/>
  <c r="AK25" i="32"/>
  <c r="AJ25" i="32"/>
  <c r="AI25" i="32"/>
  <c r="AH25" i="32"/>
  <c r="AG25" i="32"/>
  <c r="AN24" i="32"/>
  <c r="AM24" i="32"/>
  <c r="AL24" i="32"/>
  <c r="AK24" i="32"/>
  <c r="AI24" i="32"/>
  <c r="AJ24" i="32"/>
  <c r="AH24" i="32"/>
  <c r="AF24" i="32"/>
  <c r="U23" i="32"/>
  <c r="W23" i="32"/>
  <c r="R23" i="32"/>
  <c r="S23" i="32"/>
  <c r="P23" i="32"/>
  <c r="AF23" i="32" s="1"/>
  <c r="N23" i="32"/>
  <c r="J23" i="32"/>
  <c r="K23" i="32"/>
  <c r="L23" i="32"/>
  <c r="AQ22" i="32"/>
  <c r="W22" i="32"/>
  <c r="U22" i="32"/>
  <c r="R22" i="32"/>
  <c r="S22" i="32"/>
  <c r="P22" i="32"/>
  <c r="AF22" i="32" s="1"/>
  <c r="N22" i="32"/>
  <c r="J22" i="32"/>
  <c r="K22" i="32"/>
  <c r="L22" i="32"/>
  <c r="X5" i="32"/>
  <c r="G23" i="49"/>
  <c r="AN23" i="32" l="1"/>
  <c r="AI23" i="32"/>
  <c r="AM23" i="32"/>
  <c r="AL23" i="32"/>
  <c r="AK23" i="32"/>
  <c r="AJ23" i="32"/>
  <c r="AH23" i="32"/>
  <c r="AG23" i="32"/>
  <c r="AI22" i="32"/>
  <c r="AN22" i="32"/>
  <c r="AL22" i="32"/>
  <c r="AJ22" i="32"/>
  <c r="AM22" i="32"/>
  <c r="AK22" i="32"/>
  <c r="AH22" i="32"/>
  <c r="AG22" i="32"/>
  <c r="A20" i="114"/>
  <c r="B20" i="114"/>
  <c r="B21" i="114" s="1"/>
  <c r="B22" i="114" s="1"/>
  <c r="B23" i="114" s="1"/>
  <c r="B24" i="114" s="1"/>
  <c r="B25" i="114" s="1"/>
  <c r="B26" i="114" s="1"/>
  <c r="B27" i="114" s="1"/>
  <c r="B28" i="114" s="1"/>
  <c r="B29" i="114" s="1"/>
  <c r="B30" i="114" s="1"/>
  <c r="B31" i="114" s="1"/>
  <c r="B32" i="114" s="1"/>
  <c r="B33" i="114" s="1"/>
  <c r="A21" i="114"/>
  <c r="A22" i="114" s="1"/>
  <c r="A23" i="114" s="1"/>
  <c r="A24" i="114" s="1"/>
  <c r="A25" i="114" s="1"/>
  <c r="A26" i="114" s="1"/>
  <c r="A27" i="114" s="1"/>
  <c r="A28" i="114" s="1"/>
  <c r="A29" i="114" s="1"/>
  <c r="A30" i="114" s="1"/>
  <c r="A31" i="114" s="1"/>
  <c r="A32" i="114" s="1"/>
  <c r="A33" i="114" s="1"/>
  <c r="A4" i="114"/>
  <c r="B4" i="114"/>
  <c r="A5" i="114"/>
  <c r="B5" i="114"/>
  <c r="A6" i="114"/>
  <c r="B6" i="114"/>
  <c r="A7" i="114"/>
  <c r="A8" i="114" s="1"/>
  <c r="A9" i="114" s="1"/>
  <c r="A10" i="114" s="1"/>
  <c r="A11" i="114" s="1"/>
  <c r="A12" i="114" s="1"/>
  <c r="A13" i="114" s="1"/>
  <c r="A14" i="114" s="1"/>
  <c r="A15" i="114" s="1"/>
  <c r="A16" i="114" s="1"/>
  <c r="A17" i="114" s="1"/>
  <c r="A18" i="114" s="1"/>
  <c r="A19" i="114" s="1"/>
  <c r="B7" i="114"/>
  <c r="B8" i="114" s="1"/>
  <c r="B9" i="114" s="1"/>
  <c r="B10" i="114" s="1"/>
  <c r="B11" i="114" s="1"/>
  <c r="B12" i="114" s="1"/>
  <c r="B13" i="114" s="1"/>
  <c r="B14" i="114" s="1"/>
  <c r="B15" i="114" s="1"/>
  <c r="B16" i="114" s="1"/>
  <c r="B17" i="114" s="1"/>
  <c r="B19" i="114" s="1"/>
  <c r="B3" i="114"/>
  <c r="A3" i="114"/>
  <c r="Q34" i="49" l="1"/>
  <c r="D19" i="102" l="1"/>
  <c r="C19" i="102"/>
  <c r="A19" i="102"/>
  <c r="A20" i="83"/>
  <c r="A2" i="83"/>
  <c r="T33" i="49" l="1"/>
  <c r="T17" i="49"/>
  <c r="AD5" i="32" l="1"/>
  <c r="AA19" i="32" l="1"/>
  <c r="AD20" i="32" l="1"/>
  <c r="AD18" i="32"/>
  <c r="AD15" i="32"/>
  <c r="AD11" i="32"/>
  <c r="AD8" i="32"/>
  <c r="AD10" i="32" l="1"/>
  <c r="D24" i="83" l="1"/>
  <c r="D25" i="83"/>
  <c r="D26" i="83"/>
  <c r="D27" i="83"/>
  <c r="D23" i="83"/>
  <c r="Z19" i="32" l="1"/>
  <c r="Z12" i="32"/>
  <c r="Z13" i="32"/>
  <c r="Z11" i="32"/>
  <c r="Z10" i="32"/>
  <c r="Z7" i="32"/>
  <c r="Z5" i="32"/>
  <c r="AA30" i="32" l="1"/>
  <c r="AA20" i="32"/>
  <c r="AA14" i="32"/>
  <c r="AA12" i="32"/>
  <c r="AA10" i="32"/>
  <c r="AA5" i="32"/>
  <c r="Y30" i="32" l="1"/>
  <c r="Y20" i="32"/>
  <c r="Y14" i="32"/>
  <c r="Y12" i="32"/>
  <c r="Y13" i="32"/>
  <c r="Y10" i="32"/>
  <c r="Y16" i="32"/>
  <c r="Y7" i="32"/>
  <c r="Y18" i="32" l="1"/>
  <c r="B21" i="3" l="1"/>
  <c r="B20" i="3"/>
  <c r="B19" i="3"/>
  <c r="B18" i="3"/>
  <c r="C16" i="3"/>
  <c r="C18" i="3" s="1"/>
  <c r="D16" i="3" l="1"/>
  <c r="C21" i="3"/>
  <c r="C19" i="3"/>
  <c r="C20" i="3"/>
  <c r="E16" i="3" l="1"/>
  <c r="D18" i="3"/>
  <c r="D20" i="3"/>
  <c r="D21" i="3"/>
  <c r="D19" i="3"/>
  <c r="P21" i="32"/>
  <c r="P19" i="32"/>
  <c r="P7" i="32"/>
  <c r="P5" i="32"/>
  <c r="F16" i="3" l="1"/>
  <c r="E18" i="3"/>
  <c r="E20" i="3"/>
  <c r="E21" i="3"/>
  <c r="E19" i="3"/>
  <c r="AM19" i="32"/>
  <c r="AN19" i="32"/>
  <c r="G16" i="3" l="1"/>
  <c r="F21" i="3"/>
  <c r="F18" i="3"/>
  <c r="F20" i="3"/>
  <c r="F19" i="3"/>
  <c r="A19" i="76"/>
  <c r="B19" i="76"/>
  <c r="C19" i="76"/>
  <c r="G19" i="76" s="1"/>
  <c r="H19" i="76" s="1"/>
  <c r="D19" i="76"/>
  <c r="E19" i="76" s="1"/>
  <c r="A18" i="76"/>
  <c r="B18" i="76"/>
  <c r="C18" i="76"/>
  <c r="G18" i="76" s="1"/>
  <c r="D18" i="76"/>
  <c r="E18" i="76" s="1"/>
  <c r="F18" i="76" s="1"/>
  <c r="H16" i="3" l="1"/>
  <c r="G19" i="3"/>
  <c r="G21" i="3"/>
  <c r="G18" i="3"/>
  <c r="G20" i="3"/>
  <c r="I18" i="76"/>
  <c r="H18" i="76"/>
  <c r="J18" i="76" s="1"/>
  <c r="I19" i="76"/>
  <c r="F19" i="76"/>
  <c r="J19" i="76" s="1"/>
  <c r="L12" i="111"/>
  <c r="R12" i="111" s="1"/>
  <c r="A12" i="111"/>
  <c r="B12" i="111"/>
  <c r="C12" i="111"/>
  <c r="E12" i="111"/>
  <c r="F12" i="111"/>
  <c r="G12" i="111"/>
  <c r="H12" i="111"/>
  <c r="I12" i="111"/>
  <c r="J12" i="111"/>
  <c r="K12" i="111"/>
  <c r="S12" i="111"/>
  <c r="W12" i="111"/>
  <c r="L7" i="110"/>
  <c r="U7" i="110" s="1"/>
  <c r="N23" i="110"/>
  <c r="T23" i="110"/>
  <c r="U23" i="110"/>
  <c r="V23" i="110"/>
  <c r="W23" i="110"/>
  <c r="X23" i="110"/>
  <c r="T7" i="110"/>
  <c r="W7" i="110"/>
  <c r="Z7" i="110" s="1"/>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N9" i="108"/>
  <c r="T9" i="108"/>
  <c r="A19" i="113"/>
  <c r="C19" i="113"/>
  <c r="E19" i="113"/>
  <c r="H19" i="113"/>
  <c r="J19" i="113"/>
  <c r="K19" i="113"/>
  <c r="L19" i="113"/>
  <c r="M19" i="113"/>
  <c r="N19" i="113"/>
  <c r="O19" i="113"/>
  <c r="P19" i="113"/>
  <c r="Q19" i="113" l="1"/>
  <c r="AN19" i="113" s="1"/>
  <c r="S9" i="108"/>
  <c r="U12" i="111"/>
  <c r="Z12" i="111" s="1"/>
  <c r="BR19" i="113"/>
  <c r="R9" i="108"/>
  <c r="Q9" i="108"/>
  <c r="X7" i="107"/>
  <c r="P7" i="107"/>
  <c r="N12" i="111"/>
  <c r="O9" i="108"/>
  <c r="W7" i="107"/>
  <c r="N7" i="107"/>
  <c r="X7" i="110"/>
  <c r="V9" i="108"/>
  <c r="U9" i="108"/>
  <c r="Z9" i="108" s="1"/>
  <c r="N7" i="110"/>
  <c r="X12" i="111"/>
  <c r="M12" i="111"/>
  <c r="V12" i="111"/>
  <c r="I16" i="3"/>
  <c r="H19" i="3"/>
  <c r="H21" i="3"/>
  <c r="H18" i="3"/>
  <c r="H20" i="3"/>
  <c r="BF19" i="113"/>
  <c r="AW19" i="113"/>
  <c r="R19" i="113"/>
  <c r="Y12" i="111"/>
  <c r="AA12" i="111" s="1"/>
  <c r="Y7" i="110"/>
  <c r="AA7" i="110" s="1"/>
  <c r="V7" i="110"/>
  <c r="AA7" i="107"/>
  <c r="Y7" i="107"/>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19" i="32"/>
  <c r="W19" i="32"/>
  <c r="U19" i="32"/>
  <c r="R19" i="32"/>
  <c r="S19" i="32"/>
  <c r="N19" i="32"/>
  <c r="J19" i="32"/>
  <c r="K19" i="32"/>
  <c r="L19" i="32"/>
  <c r="L13" i="111"/>
  <c r="L12" i="110"/>
  <c r="L15" i="107"/>
  <c r="L19" i="108"/>
  <c r="N19" i="108" s="1"/>
  <c r="L15" i="111"/>
  <c r="L15" i="110"/>
  <c r="L17" i="107"/>
  <c r="L10" i="108"/>
  <c r="L17" i="111"/>
  <c r="L13" i="110"/>
  <c r="L18" i="107"/>
  <c r="L18" i="108"/>
  <c r="N18" i="108" s="1"/>
  <c r="L19" i="111"/>
  <c r="L18" i="110"/>
  <c r="L16" i="107"/>
  <c r="L4" i="108"/>
  <c r="L9" i="111"/>
  <c r="L9" i="110"/>
  <c r="L8" i="107"/>
  <c r="L13" i="108"/>
  <c r="N13" i="108" s="1"/>
  <c r="L6" i="111"/>
  <c r="L10" i="110"/>
  <c r="L10" i="107"/>
  <c r="L14" i="108"/>
  <c r="L16" i="111"/>
  <c r="L4" i="110"/>
  <c r="L6" i="107"/>
  <c r="L17" i="108"/>
  <c r="N17" i="108" s="1"/>
  <c r="L4" i="111"/>
  <c r="L16" i="110"/>
  <c r="L12" i="107"/>
  <c r="L6" i="108"/>
  <c r="L8" i="111"/>
  <c r="L11" i="110"/>
  <c r="L11" i="107"/>
  <c r="L5" i="108"/>
  <c r="N5" i="108" s="1"/>
  <c r="L7" i="108"/>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12" i="108"/>
  <c r="N8" i="108"/>
  <c r="N6" i="108"/>
  <c r="N14" i="108"/>
  <c r="N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B19" i="102" l="1"/>
  <c r="B20" i="83"/>
  <c r="Y9" i="108"/>
  <c r="AA9" i="108" s="1"/>
  <c r="J16" i="3"/>
  <c r="I19" i="3"/>
  <c r="I21" i="3"/>
  <c r="I20" i="3"/>
  <c r="I18" i="3"/>
  <c r="AF19" i="32"/>
  <c r="AL19" i="32"/>
  <c r="H19" i="102" s="1"/>
  <c r="AI19" i="32"/>
  <c r="E19" i="102" s="1"/>
  <c r="AH19" i="32"/>
  <c r="AK19" i="32"/>
  <c r="G19" i="102" s="1"/>
  <c r="AG19" i="32"/>
  <c r="AJ19" i="32"/>
  <c r="F19" i="102" s="1"/>
  <c r="Z18" i="111"/>
  <c r="Q24" i="113"/>
  <c r="AN24" i="113" s="1"/>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AN25" i="113" s="1"/>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O25" i="113"/>
  <c r="AQ25" i="113" s="1"/>
  <c r="AP25" i="113"/>
  <c r="AR25" i="113"/>
  <c r="AS25" i="113"/>
  <c r="AU25" i="113" s="1"/>
  <c r="AT25" i="113"/>
  <c r="AV25" i="113"/>
  <c r="AX25" i="113" s="1"/>
  <c r="AW25" i="113"/>
  <c r="AY25" i="113"/>
  <c r="AZ25" i="113"/>
  <c r="BB25" i="113" s="1"/>
  <c r="BA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AA29" i="113" s="1"/>
  <c r="Z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AN31" i="113" s="1"/>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AN32" i="113" s="1"/>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AN33" i="113" s="1"/>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K16" i="3" l="1"/>
  <c r="J20" i="3"/>
  <c r="J19" i="3"/>
  <c r="J21" i="3"/>
  <c r="J18" i="3"/>
  <c r="AB18" i="32"/>
  <c r="L16" i="3" l="1"/>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M16" i="3" l="1"/>
  <c r="L18" i="3"/>
  <c r="L20" i="3"/>
  <c r="L19" i="3"/>
  <c r="L21" i="3"/>
  <c r="I13" i="107"/>
  <c r="I19" i="110"/>
  <c r="I5" i="111"/>
  <c r="AB13" i="32"/>
  <c r="N16" i="3" l="1"/>
  <c r="M20" i="3"/>
  <c r="M18" i="3"/>
  <c r="M19" i="3"/>
  <c r="M21" i="3"/>
  <c r="I23" i="111"/>
  <c r="I23" i="110"/>
  <c r="I23" i="107"/>
  <c r="I10" i="107"/>
  <c r="I10" i="110"/>
  <c r="I6" i="111"/>
  <c r="O16" i="3" l="1"/>
  <c r="N19" i="3"/>
  <c r="N18" i="3"/>
  <c r="N20" i="3"/>
  <c r="N21" i="3"/>
  <c r="AM15" i="32"/>
  <c r="AN15" i="32"/>
  <c r="AM11" i="32"/>
  <c r="AN11" i="32"/>
  <c r="AN21" i="32"/>
  <c r="AM21" i="32"/>
  <c r="AM16" i="32"/>
  <c r="AN16" i="32"/>
  <c r="AM9" i="32"/>
  <c r="AN9" i="32"/>
  <c r="AM17" i="32"/>
  <c r="AN17" i="32"/>
  <c r="AM7" i="32"/>
  <c r="AN7" i="32"/>
  <c r="AM13" i="32"/>
  <c r="AN13" i="32"/>
  <c r="AM14" i="32"/>
  <c r="AN14" i="32"/>
  <c r="AM8" i="32"/>
  <c r="AN8" i="32"/>
  <c r="AM30" i="32"/>
  <c r="AN30" i="32"/>
  <c r="AN5" i="32"/>
  <c r="AM5" i="32"/>
  <c r="AM12" i="32"/>
  <c r="AN12" i="32"/>
  <c r="AN20" i="32"/>
  <c r="AM20"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A4" i="76"/>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2" i="102"/>
  <c r="D2" i="102"/>
  <c r="N2" i="102" s="1"/>
  <c r="A4" i="102"/>
  <c r="C4" i="102"/>
  <c r="M4" i="102" s="1"/>
  <c r="D4" i="102"/>
  <c r="N4" i="102" s="1"/>
  <c r="A6" i="102"/>
  <c r="D6" i="102"/>
  <c r="N6" i="102" s="1"/>
  <c r="A15" i="83"/>
  <c r="A5" i="83"/>
  <c r="A7" i="83"/>
  <c r="A12" i="83"/>
  <c r="H5" i="83" s="1"/>
  <c r="M5" i="83" s="1"/>
  <c r="A16" i="83"/>
  <c r="A4" i="83"/>
  <c r="M4" i="83" s="1"/>
  <c r="A9" i="83"/>
  <c r="A13" i="83"/>
  <c r="A14" i="83"/>
  <c r="A3" i="83"/>
  <c r="A6" i="83"/>
  <c r="H6" i="83" s="1"/>
  <c r="A17" i="83"/>
  <c r="A18" i="83"/>
  <c r="A10" i="83"/>
  <c r="A11" i="83"/>
  <c r="A8" i="83"/>
  <c r="A19" i="83"/>
  <c r="T16" i="3" l="1"/>
  <c r="S18" i="3"/>
  <c r="S20" i="3"/>
  <c r="S19" i="3"/>
  <c r="S21" i="3"/>
  <c r="F7" i="11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U16" i="3" l="1"/>
  <c r="T18" i="3"/>
  <c r="T20" i="3"/>
  <c r="T21" i="3"/>
  <c r="T19" i="3"/>
  <c r="J20" i="76"/>
  <c r="J15" i="76"/>
  <c r="J5" i="76"/>
  <c r="Q6" i="76"/>
  <c r="X6" i="76" s="1"/>
  <c r="J14" i="76"/>
  <c r="S10" i="76"/>
  <c r="Z10" i="76" s="1"/>
  <c r="J21" i="76"/>
  <c r="S12" i="76"/>
  <c r="Z12" i="76" s="1"/>
  <c r="J16" i="76"/>
  <c r="S9" i="76"/>
  <c r="Z9" i="76" s="1"/>
  <c r="J10" i="76"/>
  <c r="J7" i="76"/>
  <c r="Q4" i="76"/>
  <c r="X4" i="76" s="1"/>
  <c r="J13" i="76"/>
  <c r="J11" i="76"/>
  <c r="Q11" i="76"/>
  <c r="X11" i="76" s="1"/>
  <c r="V31" i="32"/>
  <c r="V32" i="32" s="1"/>
  <c r="T31" i="32"/>
  <c r="V16" i="3" l="1"/>
  <c r="U18" i="3"/>
  <c r="U20" i="3"/>
  <c r="U21" i="3"/>
  <c r="U19" i="3"/>
  <c r="AM18" i="32"/>
  <c r="AN18" i="32"/>
  <c r="AM10" i="32"/>
  <c r="AN10" i="32"/>
  <c r="K22" i="110"/>
  <c r="K22" i="107"/>
  <c r="K22" i="111"/>
  <c r="D17" i="102"/>
  <c r="K21" i="110"/>
  <c r="K21" i="107"/>
  <c r="K21" i="111"/>
  <c r="D16" i="102"/>
  <c r="J7" i="111"/>
  <c r="J17" i="110"/>
  <c r="J14" i="107"/>
  <c r="C13" i="102"/>
  <c r="T8" i="49"/>
  <c r="W16" i="3" l="1"/>
  <c r="V21" i="3"/>
  <c r="V18" i="3"/>
  <c r="V20" i="3"/>
  <c r="V19" i="3"/>
  <c r="X16" i="3" l="1"/>
  <c r="W19" i="3"/>
  <c r="W21" i="3"/>
  <c r="W18" i="3"/>
  <c r="W20" i="3"/>
  <c r="AB10" i="32"/>
  <c r="Y16" i="3" l="1"/>
  <c r="X19" i="3"/>
  <c r="X21" i="3"/>
  <c r="X18" i="3"/>
  <c r="X20" i="3"/>
  <c r="I20" i="107"/>
  <c r="I20" i="110"/>
  <c r="I20" i="111"/>
  <c r="I21" i="111"/>
  <c r="I21" i="110"/>
  <c r="I21" i="107"/>
  <c r="Z16" i="3" l="1"/>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6" i="32"/>
  <c r="C20" i="83" s="1"/>
  <c r="D20" i="83" s="1"/>
  <c r="J7" i="32"/>
  <c r="B2" i="83" s="1"/>
  <c r="J8" i="32"/>
  <c r="J9" i="32"/>
  <c r="J10" i="32"/>
  <c r="J11" i="32"/>
  <c r="J12" i="32"/>
  <c r="J13" i="32"/>
  <c r="J14" i="32"/>
  <c r="J15" i="32"/>
  <c r="J16" i="32"/>
  <c r="J17" i="32"/>
  <c r="J18" i="32"/>
  <c r="J20" i="32"/>
  <c r="J21" i="32"/>
  <c r="J30" i="32"/>
  <c r="J5" i="32"/>
  <c r="E20" i="83" l="1"/>
  <c r="F20" i="83"/>
  <c r="AG18" i="32"/>
  <c r="AH18" i="32"/>
  <c r="AF18" i="32"/>
  <c r="AL18" i="32"/>
  <c r="AH10" i="32"/>
  <c r="AF10" i="32"/>
  <c r="AG10" i="32"/>
  <c r="AL10" i="32"/>
  <c r="AK30" i="32"/>
  <c r="AG30" i="32"/>
  <c r="AL30" i="32"/>
  <c r="AJ30" i="32"/>
  <c r="F6" i="102" s="1"/>
  <c r="AI30" i="32"/>
  <c r="AH30" i="32"/>
  <c r="AF30" i="32"/>
  <c r="AK20" i="32"/>
  <c r="AG20" i="32"/>
  <c r="AJ20" i="32"/>
  <c r="F2" i="102" s="1"/>
  <c r="AH20" i="32"/>
  <c r="AI20" i="32"/>
  <c r="E2" i="102" s="1"/>
  <c r="AL20" i="32"/>
  <c r="AF20" i="32"/>
  <c r="AH14" i="32"/>
  <c r="AF14" i="32"/>
  <c r="AL14" i="32"/>
  <c r="AJ14" i="32"/>
  <c r="F9" i="102" s="1"/>
  <c r="AI14" i="32"/>
  <c r="AG14" i="32"/>
  <c r="AK14" i="32"/>
  <c r="AJ15" i="32"/>
  <c r="F10" i="102" s="1"/>
  <c r="AG15" i="32"/>
  <c r="AK15" i="32"/>
  <c r="AH15" i="32"/>
  <c r="AF15" i="32"/>
  <c r="AL15" i="32"/>
  <c r="AI15" i="32"/>
  <c r="F14" i="102"/>
  <c r="AF6" i="32"/>
  <c r="AH6" i="32"/>
  <c r="AG6" i="32"/>
  <c r="AF21" i="32"/>
  <c r="AK21" i="32"/>
  <c r="AI21" i="32"/>
  <c r="AL21" i="32"/>
  <c r="AH21" i="32"/>
  <c r="AJ21" i="32"/>
  <c r="F4" i="102" s="1"/>
  <c r="AG21" i="32"/>
  <c r="AH17" i="32"/>
  <c r="AF17" i="32"/>
  <c r="AK17" i="32"/>
  <c r="AL17" i="32"/>
  <c r="AJ17" i="32"/>
  <c r="F5" i="102" s="1"/>
  <c r="AI17" i="32"/>
  <c r="AG17" i="32"/>
  <c r="AI12" i="32"/>
  <c r="AK12" i="32"/>
  <c r="AG12" i="32"/>
  <c r="AJ12" i="32"/>
  <c r="F8" i="102" s="1"/>
  <c r="AF12" i="32"/>
  <c r="AL12" i="32"/>
  <c r="AH12" i="32"/>
  <c r="AL13" i="32"/>
  <c r="AK13" i="32"/>
  <c r="AJ13" i="32"/>
  <c r="F7" i="102" s="1"/>
  <c r="AH13" i="32"/>
  <c r="AF13" i="32"/>
  <c r="AI13" i="32"/>
  <c r="AG13" i="32"/>
  <c r="AK11" i="32"/>
  <c r="AG11" i="32"/>
  <c r="AF11" i="32"/>
  <c r="AJ11" i="32"/>
  <c r="F3" i="102" s="1"/>
  <c r="AH11" i="32"/>
  <c r="AI11" i="32"/>
  <c r="AL11" i="32"/>
  <c r="AL16" i="32"/>
  <c r="AJ16" i="32"/>
  <c r="F15" i="102" s="1"/>
  <c r="AI16" i="32"/>
  <c r="AG16" i="32"/>
  <c r="AK16" i="32"/>
  <c r="AH16" i="32"/>
  <c r="AF16" i="32"/>
  <c r="AF7" i="32"/>
  <c r="AI7" i="32"/>
  <c r="AG7" i="32"/>
  <c r="AL7" i="32"/>
  <c r="AK7" i="32"/>
  <c r="AJ7" i="32"/>
  <c r="F20" i="102" s="1"/>
  <c r="AH7" i="32"/>
  <c r="AJ9" i="32"/>
  <c r="F11" i="102" s="1"/>
  <c r="AG9" i="32"/>
  <c r="AF9" i="32"/>
  <c r="AK9" i="32"/>
  <c r="AH9" i="32"/>
  <c r="AL9" i="32"/>
  <c r="AI9" i="32"/>
  <c r="E11" i="102" s="1"/>
  <c r="AH8" i="32"/>
  <c r="AF8" i="32"/>
  <c r="AI8" i="32"/>
  <c r="AG8" i="32"/>
  <c r="AL8" i="32"/>
  <c r="AK8" i="32"/>
  <c r="AJ8" i="32"/>
  <c r="F13" i="102" s="1"/>
  <c r="AF5" i="32"/>
  <c r="AI5" i="32"/>
  <c r="AG5" i="32"/>
  <c r="AH5" i="32"/>
  <c r="AL5" i="32"/>
  <c r="AK5" i="32"/>
  <c r="AJ5" i="32"/>
  <c r="B12" i="102"/>
  <c r="C15" i="83"/>
  <c r="B15" i="83"/>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C2" i="83"/>
  <c r="C7" i="83"/>
  <c r="B7" i="83"/>
  <c r="B13" i="102"/>
  <c r="B19" i="83"/>
  <c r="C19" i="83"/>
  <c r="D3" i="83" l="1"/>
  <c r="D5" i="83"/>
  <c r="D8" i="83"/>
  <c r="D15" i="83"/>
  <c r="D12" i="83"/>
  <c r="I5" i="83" s="1"/>
  <c r="N5" i="83" s="1"/>
  <c r="D18" i="83"/>
  <c r="D14" i="83"/>
  <c r="D9" i="83"/>
  <c r="D7" i="83"/>
  <c r="D10" i="83"/>
  <c r="D13" i="83"/>
  <c r="D11" i="83"/>
  <c r="D17" i="83"/>
  <c r="D4" i="83"/>
  <c r="D16" i="83"/>
  <c r="D6" i="83"/>
  <c r="D2" i="83"/>
  <c r="I6" i="83" l="1"/>
  <c r="I3" i="83"/>
  <c r="N3" i="83"/>
  <c r="N4" i="83"/>
  <c r="I4" i="83"/>
  <c r="M25" i="96"/>
  <c r="M19" i="96"/>
  <c r="AA19" i="111"/>
  <c r="AA22" i="111"/>
  <c r="AA23" i="111"/>
  <c r="AH4" i="111"/>
  <c r="AA18" i="110"/>
  <c r="AA23" i="110"/>
  <c r="AA22" i="110"/>
  <c r="AH4" i="110"/>
  <c r="AA22" i="107"/>
  <c r="AA23" i="107"/>
  <c r="AH4" i="107"/>
  <c r="BP27" i="86"/>
  <c r="BQ27" i="86"/>
  <c r="BL8" i="86"/>
  <c r="BP24" i="86"/>
  <c r="BP8" i="86" s="1"/>
  <c r="BQ24" i="86"/>
  <c r="BQ8" i="86" s="1"/>
  <c r="BH24" i="86"/>
  <c r="BH8" i="86" s="1"/>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31" i="32"/>
  <c r="AM6" i="32" l="1"/>
  <c r="AN6" i="32"/>
  <c r="AL6" i="32"/>
  <c r="AI6" i="32"/>
  <c r="AJ6" i="32"/>
  <c r="AK6" i="32"/>
  <c r="K20" i="111"/>
  <c r="K20" i="110"/>
  <c r="K20" i="107"/>
  <c r="D12" i="102"/>
  <c r="K23" i="107"/>
  <c r="K23" i="110"/>
  <c r="K23" i="111"/>
  <c r="Z10" i="110"/>
  <c r="Y10" i="110"/>
  <c r="Z9" i="107"/>
  <c r="Y9" i="107"/>
  <c r="Z10" i="108"/>
  <c r="AA10" i="108" s="1"/>
  <c r="Y10" i="108"/>
  <c r="AK10" i="32" l="1"/>
  <c r="AI10" i="32"/>
  <c r="AJ10" i="32"/>
  <c r="F16" i="102" s="1"/>
  <c r="AI18" i="32"/>
  <c r="AK18" i="32"/>
  <c r="AJ18" i="32"/>
  <c r="F17" i="102" s="1"/>
  <c r="J23" i="111"/>
  <c r="J23" i="110"/>
  <c r="J23" i="107"/>
  <c r="J22" i="110"/>
  <c r="J22" i="107"/>
  <c r="J22" i="111"/>
  <c r="C17" i="102"/>
  <c r="J21" i="110"/>
  <c r="J21" i="107"/>
  <c r="J21" i="111"/>
  <c r="C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AN20" i="113" s="1"/>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20" i="32"/>
  <c r="U21" i="32"/>
  <c r="U30" i="32"/>
  <c r="U5" i="32"/>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31"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T16" i="49" l="1"/>
  <c r="T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7" i="32"/>
  <c r="AQ11" i="32"/>
  <c r="AQ12" i="32"/>
  <c r="AQ13" i="32"/>
  <c r="AQ14" i="32"/>
  <c r="AQ15" i="32"/>
  <c r="AQ16" i="32"/>
  <c r="AQ17" i="32"/>
  <c r="AQ18" i="32"/>
  <c r="AQ20" i="32"/>
  <c r="AQ21" i="32"/>
  <c r="AQ30" i="32"/>
  <c r="AQ6" i="32"/>
  <c r="AQ5" i="32"/>
  <c r="K4" i="104" l="1"/>
  <c r="G16" i="103"/>
  <c r="E14" i="103"/>
  <c r="F14" i="103" s="1"/>
  <c r="D16" i="103"/>
  <c r="D17" i="103"/>
  <c r="E17" i="103" s="1"/>
  <c r="F17" i="103" s="1"/>
  <c r="G17" i="103" s="1"/>
  <c r="D18" i="103"/>
  <c r="E18" i="103" s="1"/>
  <c r="F18" i="103" s="1"/>
  <c r="G18" i="103" s="1"/>
  <c r="H18" i="103" s="1"/>
  <c r="I18" i="103" s="1"/>
  <c r="J18" i="103" s="1"/>
  <c r="K18" i="103" s="1"/>
  <c r="L18" i="103" s="1"/>
  <c r="M18" i="103" s="1"/>
  <c r="N18" i="103" s="1"/>
  <c r="O18" i="103" s="1"/>
  <c r="P18" i="103" s="1"/>
  <c r="Q18" i="103" s="1"/>
  <c r="D19" i="103"/>
  <c r="E19" i="103" s="1"/>
  <c r="F19" i="103" s="1"/>
  <c r="G19" i="103" s="1"/>
  <c r="D20" i="103"/>
  <c r="E20" i="103" s="1"/>
  <c r="F20" i="103" s="1"/>
  <c r="G20" i="103" s="1"/>
  <c r="D22" i="103"/>
  <c r="E22" i="103" s="1"/>
  <c r="F22" i="103" s="1"/>
  <c r="G22" i="103" s="1"/>
  <c r="H22" i="103" s="1"/>
  <c r="I22" i="103" s="1"/>
  <c r="J22" i="103" s="1"/>
  <c r="K22" i="103" s="1"/>
  <c r="L22" i="103" s="1"/>
  <c r="M22" i="103" s="1"/>
  <c r="N22" i="103" s="1"/>
  <c r="O22" i="103" s="1"/>
  <c r="P22" i="103" s="1"/>
  <c r="Q22" i="103" s="1"/>
  <c r="C18" i="104"/>
  <c r="F16" i="104"/>
  <c r="F15" i="104"/>
  <c r="C15" i="104"/>
  <c r="C14" i="104"/>
  <c r="F13" i="104"/>
  <c r="C12" i="104"/>
  <c r="P4" i="104"/>
  <c r="C13" i="104" s="1"/>
  <c r="O4" i="104"/>
  <c r="F12" i="104" s="1"/>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Q26" i="103"/>
  <c r="O26" i="103"/>
  <c r="N26" i="103"/>
  <c r="M26" i="103"/>
  <c r="L26" i="103"/>
  <c r="J26" i="103"/>
  <c r="I26" i="103"/>
  <c r="G26" i="103"/>
  <c r="F26" i="103"/>
  <c r="E26" i="103"/>
  <c r="D26"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D31" i="103" l="1"/>
  <c r="R18" i="103"/>
  <c r="R22" i="103"/>
  <c r="S22" i="103" s="1"/>
  <c r="C22" i="103" s="1"/>
  <c r="F33" i="104" s="1"/>
  <c r="R4" i="103"/>
  <c r="S4" i="103" s="1"/>
  <c r="F30" i="103"/>
  <c r="F31"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E30" i="103"/>
  <c r="E31" i="103" s="1"/>
  <c r="C19" i="104"/>
  <c r="C11" i="104"/>
  <c r="K13" i="103"/>
  <c r="C29" i="103"/>
  <c r="H13" i="103"/>
  <c r="P13" i="103"/>
  <c r="R17" i="103" l="1"/>
  <c r="S18" i="103"/>
  <c r="C18" i="103" s="1"/>
  <c r="F31" i="104" s="1"/>
  <c r="R19" i="103"/>
  <c r="C20"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J16" i="103"/>
  <c r="I30" i="103"/>
  <c r="I31" i="103" s="1"/>
  <c r="Z9" i="103"/>
  <c r="Z10" i="103"/>
  <c r="Z12" i="103"/>
  <c r="Z7" i="103"/>
  <c r="Y14" i="103"/>
  <c r="Z6" i="103"/>
  <c r="Z11" i="103"/>
  <c r="K16" i="103" l="1"/>
  <c r="J30" i="103"/>
  <c r="J31" i="103" s="1"/>
  <c r="Z13" i="103"/>
  <c r="K30" i="103" l="1"/>
  <c r="K31" i="103" s="1"/>
  <c r="L16" i="103"/>
  <c r="S11" i="100"/>
  <c r="L30" i="103" l="1"/>
  <c r="L31" i="103" s="1"/>
  <c r="M16" i="103"/>
  <c r="N16" i="103" l="1"/>
  <c r="M30" i="103"/>
  <c r="M31" i="103" s="1"/>
  <c r="P6" i="100"/>
  <c r="O16" i="103" l="1"/>
  <c r="N30" i="103"/>
  <c r="N31" i="103" s="1"/>
  <c r="O30" i="103" l="1"/>
  <c r="O31" i="103" s="1"/>
  <c r="P16" i="103"/>
  <c r="P30" i="103" l="1"/>
  <c r="P31" i="103" s="1"/>
  <c r="Q16" i="103"/>
  <c r="R16" i="103" s="1"/>
  <c r="R30" i="103" l="1"/>
  <c r="R31" i="103" s="1"/>
  <c r="Q30" i="103"/>
  <c r="Q31" i="103" s="1"/>
  <c r="S16" i="103" l="1"/>
  <c r="C14" i="103" l="1"/>
  <c r="F28" i="104" s="1"/>
  <c r="S30" i="103"/>
  <c r="S31" i="103" s="1"/>
  <c r="C16" i="103"/>
  <c r="L14" i="100"/>
  <c r="J23" i="108" l="1"/>
  <c r="F24" i="104"/>
  <c r="F23" i="104" s="1"/>
  <c r="C30" i="103"/>
  <c r="C31" i="103" s="1"/>
  <c r="A18" i="102" l="1"/>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AF3" i="94" l="1"/>
  <c r="S3" i="94"/>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D15" i="103" s="1"/>
  <c r="D27" i="103" l="1"/>
  <c r="D28" i="103" s="1"/>
  <c r="E15" i="103"/>
  <c r="D23" i="103"/>
  <c r="W29" i="86"/>
  <c r="X30" i="86" s="1"/>
  <c r="F15" i="103" l="1"/>
  <c r="E23" i="103"/>
  <c r="E27" i="103"/>
  <c r="E28" i="103" s="1"/>
  <c r="H7" i="100"/>
  <c r="H6" i="100"/>
  <c r="P14" i="100"/>
  <c r="G15" i="103" l="1"/>
  <c r="F23" i="103"/>
  <c r="F27" i="103"/>
  <c r="F28" i="103" s="1"/>
  <c r="W5" i="32"/>
  <c r="F18" i="102"/>
  <c r="S5" i="32"/>
  <c r="R5" i="32"/>
  <c r="N5" i="32"/>
  <c r="L5" i="32"/>
  <c r="K5" i="32"/>
  <c r="I15" i="103" l="1"/>
  <c r="G23" i="103"/>
  <c r="G27" i="103"/>
  <c r="G28" i="103" s="1"/>
  <c r="B18" i="102"/>
  <c r="G18" i="102"/>
  <c r="H18" i="102"/>
  <c r="E18" i="102"/>
  <c r="J15" i="103" l="1"/>
  <c r="I27" i="103"/>
  <c r="I28" i="103" s="1"/>
  <c r="I23" i="103"/>
  <c r="M12" i="102"/>
  <c r="K15" i="103" l="1"/>
  <c r="J23" i="103"/>
  <c r="J27" i="103"/>
  <c r="J28" i="103" s="1"/>
  <c r="AD2" i="32"/>
  <c r="L15" i="103" l="1"/>
  <c r="K23" i="103"/>
  <c r="K27" i="103"/>
  <c r="K28" i="103" s="1"/>
  <c r="N12" i="102"/>
  <c r="O12" i="102" s="1"/>
  <c r="F6" i="100"/>
  <c r="M15" i="103" l="1"/>
  <c r="L27" i="103"/>
  <c r="L28" i="103" s="1"/>
  <c r="L23" i="103"/>
  <c r="Y2" i="32"/>
  <c r="N15" i="103" l="1"/>
  <c r="M23" i="103"/>
  <c r="M27" i="103"/>
  <c r="M28" i="103" s="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O15" i="103" l="1"/>
  <c r="N27" i="103"/>
  <c r="N28" i="103" s="1"/>
  <c r="N23" i="103"/>
  <c r="C11" i="101"/>
  <c r="D28" i="100"/>
  <c r="C17" i="101"/>
  <c r="F14" i="101"/>
  <c r="R13" i="100"/>
  <c r="R26" i="100"/>
  <c r="C6" i="100"/>
  <c r="C30" i="101" s="1"/>
  <c r="C27" i="101" s="1"/>
  <c r="E31" i="100"/>
  <c r="F23" i="100"/>
  <c r="E27" i="100"/>
  <c r="E28" i="100" s="1"/>
  <c r="P13" i="100"/>
  <c r="C29" i="100"/>
  <c r="P15" i="103" l="1"/>
  <c r="O23" i="103"/>
  <c r="O27" i="103"/>
  <c r="O28" i="103" s="1"/>
  <c r="C13" i="100"/>
  <c r="Z7" i="100" s="1"/>
  <c r="C18" i="100"/>
  <c r="F31" i="101" s="1"/>
  <c r="C22" i="100"/>
  <c r="F33" i="101" s="1"/>
  <c r="C17" i="100"/>
  <c r="F30" i="101" s="1"/>
  <c r="C26" i="100"/>
  <c r="F30" i="100"/>
  <c r="F31" i="100" s="1"/>
  <c r="C14" i="100"/>
  <c r="F28" i="101" s="1"/>
  <c r="C19" i="100"/>
  <c r="F20" i="101" s="1"/>
  <c r="F19" i="101" s="1"/>
  <c r="C20" i="100"/>
  <c r="F27" i="100"/>
  <c r="F28" i="100" s="1"/>
  <c r="Q15" i="103" l="1"/>
  <c r="P27" i="103"/>
  <c r="P28" i="103" s="1"/>
  <c r="P23" i="103"/>
  <c r="F25" i="101"/>
  <c r="Y14" i="100"/>
  <c r="Z11" i="100"/>
  <c r="Z9" i="100"/>
  <c r="Z8" i="100"/>
  <c r="Z6" i="100"/>
  <c r="Z12" i="100"/>
  <c r="Z10" i="100"/>
  <c r="G27" i="100"/>
  <c r="G28" i="100" s="1"/>
  <c r="G23" i="100"/>
  <c r="G30" i="100"/>
  <c r="G31" i="100" s="1"/>
  <c r="R15" i="103" l="1"/>
  <c r="Q23" i="103"/>
  <c r="Q27" i="103"/>
  <c r="Q28" i="103" s="1"/>
  <c r="Z13" i="100"/>
  <c r="H23" i="100"/>
  <c r="H27" i="100"/>
  <c r="H28" i="100" s="1"/>
  <c r="H30" i="100"/>
  <c r="H31" i="100" s="1"/>
  <c r="S15" i="103" l="1"/>
  <c r="R27" i="103"/>
  <c r="R28" i="103" s="1"/>
  <c r="R23" i="103"/>
  <c r="I30" i="100"/>
  <c r="I31" i="100" s="1"/>
  <c r="I23" i="100"/>
  <c r="I27" i="100"/>
  <c r="I28" i="100" s="1"/>
  <c r="S23" i="103" l="1"/>
  <c r="C23" i="103" s="1"/>
  <c r="S27" i="103"/>
  <c r="S28" i="103" s="1"/>
  <c r="C15" i="103"/>
  <c r="J23" i="100"/>
  <c r="J27" i="100"/>
  <c r="J28" i="100" s="1"/>
  <c r="J30" i="100"/>
  <c r="J31" i="100" s="1"/>
  <c r="Z25" i="103" l="1"/>
  <c r="Y34" i="103"/>
  <c r="Z29" i="103"/>
  <c r="Z27" i="103"/>
  <c r="Z30" i="103"/>
  <c r="Z26" i="103"/>
  <c r="Z23" i="103"/>
  <c r="Z31" i="103"/>
  <c r="Z28" i="103"/>
  <c r="F29" i="104"/>
  <c r="F27" i="104" s="1"/>
  <c r="Z24" i="103"/>
  <c r="C27" i="103"/>
  <c r="C28" i="103" s="1"/>
  <c r="K27" i="100"/>
  <c r="K28" i="100" s="1"/>
  <c r="K23" i="100"/>
  <c r="K30" i="100"/>
  <c r="K31" i="100" s="1"/>
  <c r="Z32" i="103" l="1"/>
  <c r="F37" i="104"/>
  <c r="F17" i="104"/>
  <c r="F11" i="104" s="1"/>
  <c r="L30" i="100"/>
  <c r="L31" i="100" s="1"/>
  <c r="L23" i="100"/>
  <c r="L27" i="100"/>
  <c r="L28" i="100" s="1"/>
  <c r="M30" i="100" l="1"/>
  <c r="M31" i="100" s="1"/>
  <c r="M23" i="100"/>
  <c r="M27" i="100"/>
  <c r="M28" i="100" s="1"/>
  <c r="L14" i="91"/>
  <c r="N30" i="100" l="1"/>
  <c r="N31" i="100" s="1"/>
  <c r="N27" i="100"/>
  <c r="N28" i="100" s="1"/>
  <c r="N23" i="100"/>
  <c r="K30" i="86"/>
  <c r="K31" i="86" s="1"/>
  <c r="O30" i="100" l="1"/>
  <c r="O31" i="100" s="1"/>
  <c r="O27" i="100"/>
  <c r="O28" i="100" s="1"/>
  <c r="O23" i="100"/>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Q30" i="100" l="1"/>
  <c r="Q31" i="100" s="1"/>
  <c r="Q27" i="100"/>
  <c r="Q28" i="100" s="1"/>
  <c r="Q23" i="100"/>
  <c r="R30" i="100" l="1"/>
  <c r="R31" i="100" s="1"/>
  <c r="R27" i="100"/>
  <c r="R28" i="100" s="1"/>
  <c r="R23" i="100"/>
  <c r="S30" i="100" l="1"/>
  <c r="S31" i="100" s="1"/>
  <c r="C16" i="100"/>
  <c r="S27" i="100"/>
  <c r="S28" i="100" s="1"/>
  <c r="S23" i="100"/>
  <c r="C23" i="100" s="1"/>
  <c r="C15" i="100"/>
  <c r="F29" i="101" s="1"/>
  <c r="F27" i="101" s="1"/>
  <c r="F17" i="101" s="1"/>
  <c r="F24" i="101" l="1"/>
  <c r="F23" i="101" s="1"/>
  <c r="F37" i="101"/>
  <c r="F11" i="101"/>
  <c r="F9" i="104" s="1"/>
  <c r="C30" i="100"/>
  <c r="C31" i="100" s="1"/>
  <c r="Z25" i="100"/>
  <c r="Z24" i="100"/>
  <c r="C27" i="100"/>
  <c r="C28" i="100" s="1"/>
  <c r="Y34" i="100"/>
  <c r="Z30" i="100"/>
  <c r="Z26" i="100"/>
  <c r="Z27" i="100"/>
  <c r="Z31" i="100"/>
  <c r="Z23" i="100"/>
  <c r="Z29" i="100"/>
  <c r="Z28" i="100"/>
  <c r="Z32" i="100" l="1"/>
  <c r="J1" i="96" l="1"/>
  <c r="K1" i="96"/>
  <c r="AR21" i="8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F15" i="83" s="1"/>
  <c r="E5" i="83"/>
  <c r="F5" i="83"/>
  <c r="R8" i="32"/>
  <c r="E7" i="83" s="1"/>
  <c r="S8" i="32"/>
  <c r="F7" i="83" s="1"/>
  <c r="R9" i="32"/>
  <c r="E12" i="83" s="1"/>
  <c r="J5" i="83" s="1"/>
  <c r="O5" i="83" s="1"/>
  <c r="S9" i="32"/>
  <c r="F12" i="83" s="1"/>
  <c r="R10" i="32"/>
  <c r="E16" i="83" s="1"/>
  <c r="S10" i="32"/>
  <c r="F16" i="83" s="1"/>
  <c r="R11" i="32"/>
  <c r="E4" i="83" s="1"/>
  <c r="J4" i="83" s="1"/>
  <c r="S11" i="32"/>
  <c r="F4" i="83" s="1"/>
  <c r="R12" i="32"/>
  <c r="E9" i="83" s="1"/>
  <c r="S12" i="32"/>
  <c r="F9" i="83" s="1"/>
  <c r="R13" i="32"/>
  <c r="E13" i="83" s="1"/>
  <c r="S13" i="32"/>
  <c r="F13" i="83" s="1"/>
  <c r="R14" i="32"/>
  <c r="E14" i="83" s="1"/>
  <c r="S14" i="32"/>
  <c r="F14" i="83" s="1"/>
  <c r="R15" i="32"/>
  <c r="E3" i="83" s="1"/>
  <c r="S15" i="32"/>
  <c r="F3" i="83" s="1"/>
  <c r="R16" i="32"/>
  <c r="E6" i="83" s="1"/>
  <c r="J6" i="83" s="1"/>
  <c r="S16" i="32"/>
  <c r="F6" i="83" s="1"/>
  <c r="R17" i="32"/>
  <c r="E17" i="83" s="1"/>
  <c r="S17" i="32"/>
  <c r="F17" i="83" s="1"/>
  <c r="R18" i="32"/>
  <c r="E18" i="83" s="1"/>
  <c r="S18" i="32"/>
  <c r="F18" i="83" s="1"/>
  <c r="R20" i="32"/>
  <c r="E10" i="83" s="1"/>
  <c r="S20" i="32"/>
  <c r="F10" i="83" s="1"/>
  <c r="R21" i="32"/>
  <c r="E11" i="83" s="1"/>
  <c r="S21" i="32"/>
  <c r="F11" i="83" s="1"/>
  <c r="R30" i="32"/>
  <c r="E8" i="83" s="1"/>
  <c r="S30" i="32"/>
  <c r="F8" i="83" s="1"/>
  <c r="S7" i="32"/>
  <c r="F2" i="83" s="1"/>
  <c r="R7" i="32"/>
  <c r="E2" i="83" s="1"/>
  <c r="K2" i="83" l="1"/>
  <c r="J2" i="83"/>
  <c r="J3" i="83"/>
  <c r="O3" i="83"/>
  <c r="K5" i="83"/>
  <c r="P5" i="83" s="1"/>
  <c r="K4" i="83"/>
  <c r="O4" i="83"/>
  <c r="K6" i="83"/>
  <c r="S2" i="32"/>
  <c r="R2" i="32"/>
  <c r="H2" i="102"/>
  <c r="G2" i="102"/>
  <c r="H5" i="102"/>
  <c r="G5" i="102"/>
  <c r="H7" i="102"/>
  <c r="G7"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s="1"/>
  <c r="M2" i="93"/>
  <c r="L2" i="93"/>
  <c r="O3" i="93"/>
  <c r="P3" i="93" s="1"/>
  <c r="M3" i="93"/>
  <c r="L3" i="93"/>
  <c r="H7" i="93"/>
  <c r="I7" i="93" s="1"/>
  <c r="H2" i="93"/>
  <c r="I2" i="93" s="1"/>
  <c r="H3" i="93"/>
  <c r="H4" i="93"/>
  <c r="H5" i="93"/>
  <c r="I5" i="93" s="1"/>
  <c r="H6" i="93"/>
  <c r="I6" i="93" s="1"/>
  <c r="E10" i="93"/>
  <c r="F10" i="93"/>
  <c r="E9" i="93"/>
  <c r="F9" i="93"/>
  <c r="E8" i="93"/>
  <c r="F8" i="93"/>
  <c r="E7" i="93"/>
  <c r="F7" i="93"/>
  <c r="E6" i="93"/>
  <c r="F6" i="93"/>
  <c r="E5" i="93"/>
  <c r="F5" i="93"/>
  <c r="E4" i="93"/>
  <c r="F4" i="93"/>
  <c r="E3" i="93"/>
  <c r="F3" i="93"/>
  <c r="E2" i="93"/>
  <c r="F2" i="93"/>
  <c r="F11" i="93"/>
  <c r="E11" i="93"/>
  <c r="H8" i="93"/>
  <c r="I8" i="93" s="1"/>
  <c r="H9" i="93"/>
  <c r="I9" i="93" s="1"/>
  <c r="H10" i="93"/>
  <c r="I10" i="93" s="1"/>
  <c r="H11" i="93"/>
  <c r="I11" i="93" s="1"/>
  <c r="I4" i="93"/>
  <c r="I3" i="93"/>
  <c r="A4" i="93"/>
  <c r="G7" i="93" s="1"/>
  <c r="L17" i="91"/>
  <c r="A7" i="85"/>
  <c r="G11" i="93" l="1"/>
  <c r="G2" i="93"/>
  <c r="G5" i="93"/>
  <c r="G6" i="93"/>
  <c r="G8" i="93"/>
  <c r="N2" i="93"/>
  <c r="N3" i="93"/>
  <c r="G4" i="93"/>
  <c r="G9" i="93"/>
  <c r="G10" i="93"/>
  <c r="G3" i="93"/>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F14" i="91" l="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E30" i="91"/>
  <c r="E31" i="91" s="1"/>
  <c r="D26" i="91"/>
  <c r="C6" i="91"/>
  <c r="C26" i="92" s="1"/>
  <c r="E23" i="91" l="1"/>
  <c r="C14" i="91"/>
  <c r="F24" i="92" s="1"/>
  <c r="C20" i="91"/>
  <c r="D28" i="91"/>
  <c r="F27" i="91"/>
  <c r="F28" i="91" s="1"/>
  <c r="F23" i="91"/>
  <c r="H27" i="91"/>
  <c r="H28" i="91" s="1"/>
  <c r="G30" i="91"/>
  <c r="G31" i="91" s="1"/>
  <c r="J13" i="91"/>
  <c r="J26" i="91"/>
  <c r="I27" i="91" l="1"/>
  <c r="I28" i="91" s="1"/>
  <c r="K13" i="91"/>
  <c r="C13" i="91" s="1"/>
  <c r="C7" i="91"/>
  <c r="C27" i="92" s="1"/>
  <c r="C23" i="92" s="1"/>
  <c r="K26" i="91"/>
  <c r="H30" i="91"/>
  <c r="H31" i="91" s="1"/>
  <c r="H23" i="91"/>
  <c r="G23" i="91"/>
  <c r="G27" i="91"/>
  <c r="G28" i="91" s="1"/>
  <c r="I30" i="91" l="1"/>
  <c r="I31" i="91" s="1"/>
  <c r="I23" i="91"/>
  <c r="J27" i="91"/>
  <c r="J28" i="91" s="1"/>
  <c r="Z7" i="91"/>
  <c r="C26" i="91"/>
  <c r="Y14" i="91"/>
  <c r="Z12" i="91"/>
  <c r="Z9" i="91"/>
  <c r="Z10" i="91"/>
  <c r="Z8" i="91"/>
  <c r="Z11" i="91"/>
  <c r="Z6" i="91"/>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30" i="91" l="1"/>
  <c r="L31" i="91" s="1"/>
  <c r="C16" i="91"/>
  <c r="M27" i="91"/>
  <c r="M28" i="91" s="1"/>
  <c r="O20" i="94"/>
  <c r="O5" i="94"/>
  <c r="I13" i="105" l="1"/>
  <c r="H12" i="106"/>
  <c r="H6" i="106"/>
  <c r="BX5" i="94"/>
  <c r="BW5" i="94"/>
  <c r="BX20" i="94"/>
  <c r="BW20" i="94"/>
  <c r="D19" i="83"/>
  <c r="F19" i="83" s="1"/>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N27" i="91"/>
  <c r="N28" i="91" s="1"/>
  <c r="N23" i="91"/>
  <c r="M30" i="91"/>
  <c r="M31" i="91" s="1"/>
  <c r="M23" i="91"/>
  <c r="CG20" i="94" l="1"/>
  <c r="R12" i="106"/>
  <c r="S13" i="105"/>
  <c r="U13" i="105" s="1"/>
  <c r="S12" i="106"/>
  <c r="T13" i="105"/>
  <c r="N2" i="83"/>
  <c r="E19" i="83"/>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30" i="91"/>
  <c r="N31" i="91" s="1"/>
  <c r="O27" i="91"/>
  <c r="O28" i="91" s="1"/>
  <c r="O23" i="9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30" i="91"/>
  <c r="O31" i="91" s="1"/>
  <c r="P27" i="91"/>
  <c r="P28" i="91"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Q27" i="91"/>
  <c r="Q28" i="91" s="1"/>
  <c r="Q23" i="9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30" i="91"/>
  <c r="Q31" i="91" s="1"/>
  <c r="R27" i="91"/>
  <c r="R28" i="91" s="1"/>
  <c r="R23" i="91"/>
  <c r="X14" i="105" l="1"/>
  <c r="P16" i="105"/>
  <c r="O16" i="106"/>
  <c r="O15" i="106"/>
  <c r="P13" i="106"/>
  <c r="P14" i="106" s="1"/>
  <c r="N13" i="106"/>
  <c r="N14" i="106" s="1"/>
  <c r="O17" i="105"/>
  <c r="O16" i="105"/>
  <c r="Q16" i="105"/>
  <c r="Q17" i="105"/>
  <c r="O12" i="94"/>
  <c r="O15" i="94"/>
  <c r="S27" i="91"/>
  <c r="S28" i="91" s="1"/>
  <c r="S23" i="91"/>
  <c r="C23" i="91" s="1"/>
  <c r="C17" i="91"/>
  <c r="F26" i="92" s="1"/>
  <c r="F23" i="92" s="1"/>
  <c r="F17" i="92" s="1"/>
  <c r="F11" i="92" s="1"/>
  <c r="F9" i="101"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Z24" i="91"/>
  <c r="Z25" i="91"/>
  <c r="S30" i="91"/>
  <c r="S31" i="91" s="1"/>
  <c r="C19" i="91"/>
  <c r="F20" i="92" s="1"/>
  <c r="F19" i="92" s="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S17" i="105" l="1"/>
  <c r="S16" i="105"/>
  <c r="U16" i="105"/>
  <c r="U17" i="105"/>
  <c r="T14" i="49" l="1"/>
  <c r="H3" i="76" l="1"/>
  <c r="S3" i="76" s="1"/>
  <c r="Q18" i="76" l="1"/>
  <c r="Z3" i="76"/>
  <c r="E19" i="86"/>
  <c r="Q19" i="86" s="1"/>
  <c r="I19" i="86"/>
  <c r="J19" i="86"/>
  <c r="AB19" i="86" s="1"/>
  <c r="K19" i="86"/>
  <c r="AC19" i="86" s="1"/>
  <c r="L19" i="86"/>
  <c r="AD19" i="86" s="1"/>
  <c r="M19" i="86"/>
  <c r="AE19" i="86" s="1"/>
  <c r="N19" i="86"/>
  <c r="AF19" i="86" s="1"/>
  <c r="O19" i="86"/>
  <c r="AG19" i="86" s="1"/>
  <c r="P19" i="86"/>
  <c r="AH19" i="86" s="1"/>
  <c r="V4" i="85" l="1"/>
  <c r="N6" i="32"/>
  <c r="N8" i="32"/>
  <c r="N9" i="32"/>
  <c r="N10" i="32"/>
  <c r="N11" i="32"/>
  <c r="N12" i="32"/>
  <c r="N13" i="32"/>
  <c r="N14" i="32"/>
  <c r="N15" i="32"/>
  <c r="N16" i="32"/>
  <c r="N17" i="32"/>
  <c r="N18" i="32"/>
  <c r="N20" i="32"/>
  <c r="N21" i="32"/>
  <c r="N30" i="32"/>
  <c r="N7" i="32"/>
  <c r="T5" i="49" l="1"/>
  <c r="T18" i="49"/>
  <c r="BX6" i="86" l="1"/>
  <c r="BW6" i="86"/>
  <c r="BX5" i="86"/>
  <c r="BW5" i="86"/>
  <c r="BX4" i="86"/>
  <c r="BW4" i="86"/>
  <c r="BX3" i="86"/>
  <c r="BW3" i="86"/>
  <c r="BX2" i="86"/>
  <c r="BW2" i="86"/>
  <c r="AR14" i="86" l="1"/>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R2" i="85"/>
  <c r="Q4" i="85"/>
  <c r="T4" i="85" s="1"/>
  <c r="U4" i="85" s="1"/>
  <c r="A9" i="85"/>
  <c r="A10" i="85" s="1"/>
  <c r="Q2" i="85"/>
  <c r="J4" i="85"/>
  <c r="I4" i="85"/>
  <c r="J2" i="85"/>
  <c r="I2" i="85"/>
  <c r="AZ6" i="86" l="1"/>
  <c r="BN21" i="86" s="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BQ21" i="86" s="1"/>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L11" i="86" s="1"/>
  <c r="BK19" i="86"/>
  <c r="AW2" i="86"/>
  <c r="AX26" i="86"/>
  <c r="BL12" i="86" s="1"/>
  <c r="AX20" i="86"/>
  <c r="AW16" i="86"/>
  <c r="AX13" i="86"/>
  <c r="BL28" i="86" s="1"/>
  <c r="BK28" i="86"/>
  <c r="AX14" i="86"/>
  <c r="AX28" i="86" s="1"/>
  <c r="BK2" i="86"/>
  <c r="BL16" i="86" l="1"/>
  <c r="BL2" i="86"/>
  <c r="BK16" i="86"/>
  <c r="AX2" i="86"/>
  <c r="AX27" i="86"/>
  <c r="AX16" i="86" s="1"/>
  <c r="I1" i="83" l="1"/>
  <c r="N1" i="83" s="1"/>
  <c r="X18" i="76" l="1"/>
  <c r="W14" i="76"/>
  <c r="X14" i="76" l="1"/>
  <c r="T10" i="49"/>
  <c r="T7" i="49" l="1"/>
  <c r="T11" i="49"/>
  <c r="T23" i="49"/>
  <c r="T13" i="49"/>
  <c r="T12" i="49"/>
  <c r="T15" i="49"/>
  <c r="T4" i="49"/>
  <c r="T9" i="49"/>
  <c r="T6" i="49"/>
  <c r="T3" i="49"/>
  <c r="W30" i="32"/>
  <c r="K30" i="32"/>
  <c r="L30" i="32"/>
  <c r="E3" i="76"/>
  <c r="P3" i="76" s="1"/>
  <c r="W3" i="76" s="1"/>
  <c r="F12" i="102"/>
  <c r="W13" i="32"/>
  <c r="L13" i="32"/>
  <c r="K13"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21" i="32"/>
  <c r="L21" i="32"/>
  <c r="K21" i="32"/>
  <c r="W7" i="32" l="1"/>
  <c r="W8" i="32"/>
  <c r="W11" i="32"/>
  <c r="W15" i="32"/>
  <c r="W16" i="32"/>
  <c r="W17" i="32"/>
  <c r="W14" i="32"/>
  <c r="W18" i="32"/>
  <c r="W12" i="32"/>
  <c r="W20" i="32"/>
  <c r="W9" i="32"/>
  <c r="W10" i="32"/>
  <c r="W6" i="32"/>
  <c r="AJ19" i="86" l="1"/>
  <c r="W31" i="32" l="1"/>
  <c r="D3" i="48"/>
  <c r="D4" i="48" s="1"/>
  <c r="C3" i="48"/>
  <c r="E3" i="48" s="1"/>
  <c r="G3" i="48" s="1"/>
  <c r="C4" i="48"/>
  <c r="C5" i="48"/>
  <c r="C6" i="48"/>
  <c r="C7" i="48"/>
  <c r="C8" i="48"/>
  <c r="C9" i="48"/>
  <c r="C10" i="48"/>
  <c r="C11" i="48"/>
  <c r="C12" i="48"/>
  <c r="C13" i="48"/>
  <c r="C14" i="48"/>
  <c r="C15" i="48"/>
  <c r="C16" i="48"/>
  <c r="C17" i="48"/>
  <c r="C2" i="48"/>
  <c r="E2" i="48" s="1"/>
  <c r="G2" i="48" s="1"/>
  <c r="K14" i="32"/>
  <c r="L14" i="32"/>
  <c r="K7" i="32"/>
  <c r="L7" i="32"/>
  <c r="K9" i="32"/>
  <c r="L9" i="32"/>
  <c r="K11" i="32"/>
  <c r="L11" i="32"/>
  <c r="K8" i="32"/>
  <c r="L8" i="32"/>
  <c r="K16" i="32"/>
  <c r="L16" i="32"/>
  <c r="K15" i="32"/>
  <c r="L15" i="32"/>
  <c r="K17" i="32"/>
  <c r="L17" i="32"/>
  <c r="K18" i="32"/>
  <c r="L18" i="32"/>
  <c r="K10" i="32"/>
  <c r="L10" i="32"/>
  <c r="K12" i="32"/>
  <c r="L12" i="32"/>
  <c r="K20" i="32"/>
  <c r="L20" i="32"/>
  <c r="L6" i="32"/>
  <c r="K6" i="32"/>
  <c r="E4" i="48" l="1"/>
  <c r="G4" i="48" s="1"/>
  <c r="D5" i="48"/>
  <c r="D6" i="48" l="1"/>
  <c r="E5" i="48"/>
  <c r="G5" i="48" s="1"/>
  <c r="E6" i="48" l="1"/>
  <c r="G6" i="48" s="1"/>
  <c r="D7" i="48"/>
  <c r="D1" i="32"/>
  <c r="G33" i="41"/>
  <c r="I33" i="41" s="1"/>
  <c r="I36" i="41"/>
  <c r="I37" i="41"/>
  <c r="I38" i="41"/>
  <c r="I35" i="41"/>
  <c r="G34" i="41" s="1"/>
  <c r="I34" i="41" s="1"/>
  <c r="H7" i="41"/>
  <c r="I7" i="41" s="1"/>
  <c r="H6" i="41"/>
  <c r="G6" i="41"/>
  <c r="F6" i="41"/>
  <c r="H5" i="41"/>
  <c r="I5" i="41" s="1"/>
  <c r="H4" i="41"/>
  <c r="G4" i="41"/>
  <c r="F4" i="41"/>
  <c r="H3" i="41"/>
  <c r="G3" i="41"/>
  <c r="F3" i="41"/>
  <c r="H2" i="41"/>
  <c r="J2" i="41" s="1"/>
  <c r="F28" i="32" l="1"/>
  <c r="C28" i="32" s="1"/>
  <c r="F6" i="32"/>
  <c r="F27" i="32"/>
  <c r="C27" i="32" s="1"/>
  <c r="F8" i="32"/>
  <c r="F29" i="32"/>
  <c r="C29" i="32" s="1"/>
  <c r="F26" i="32"/>
  <c r="C26" i="32" s="1"/>
  <c r="F24" i="32"/>
  <c r="C24" i="32" s="1"/>
  <c r="F25" i="32"/>
  <c r="C25" i="32" s="1"/>
  <c r="F23" i="32"/>
  <c r="C23" i="32" s="1"/>
  <c r="F22" i="32"/>
  <c r="C22" i="32" s="1"/>
  <c r="F21" i="32"/>
  <c r="F19" i="32"/>
  <c r="D12" i="111" s="1"/>
  <c r="F14" i="32"/>
  <c r="F20" i="32"/>
  <c r="F15" i="32"/>
  <c r="F17" i="32"/>
  <c r="F13" i="32"/>
  <c r="F12" i="32"/>
  <c r="F10" i="32"/>
  <c r="F11" i="32"/>
  <c r="F16" i="32"/>
  <c r="F18" i="32"/>
  <c r="F9" i="32"/>
  <c r="F5" i="32"/>
  <c r="F30" i="32"/>
  <c r="D15" i="111"/>
  <c r="C6" i="32"/>
  <c r="I4" i="41"/>
  <c r="K21" i="86"/>
  <c r="AC21" i="86" s="1"/>
  <c r="I3" i="41"/>
  <c r="D8" i="48"/>
  <c r="E7" i="48"/>
  <c r="G7" i="48" s="1"/>
  <c r="J6" i="41"/>
  <c r="J7" i="41"/>
  <c r="I6" i="41"/>
  <c r="J5" i="41"/>
  <c r="J4" i="41"/>
  <c r="J3" i="41"/>
  <c r="I2" i="41"/>
  <c r="C19"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1" i="32"/>
  <c r="C17" i="32"/>
  <c r="C10" i="32"/>
  <c r="C30" i="32"/>
  <c r="C18" i="32"/>
  <c r="C20" i="32"/>
  <c r="C21" i="32"/>
  <c r="C14" i="32"/>
  <c r="C8" i="32"/>
  <c r="C9" i="32"/>
  <c r="C13" i="32"/>
  <c r="C12" i="32"/>
  <c r="C7" i="32"/>
  <c r="C15" i="32"/>
  <c r="C16"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D9" i="48"/>
  <c r="E8" i="48"/>
  <c r="G8" i="48" s="1"/>
  <c r="I13" i="12"/>
  <c r="I12" i="12"/>
  <c r="I11" i="12"/>
  <c r="I10" i="12"/>
  <c r="I9" i="12"/>
  <c r="I8" i="12"/>
  <c r="H7" i="12"/>
  <c r="I7" i="12" s="1"/>
  <c r="H6" i="12"/>
  <c r="I6" i="12" s="1"/>
  <c r="I5" i="12"/>
  <c r="I4" i="12"/>
  <c r="I3" i="12"/>
  <c r="I2" i="12"/>
  <c r="BA13" i="86" l="1"/>
  <c r="BO13" i="86" s="1"/>
  <c r="BO2" i="86" s="1"/>
  <c r="BC16" i="86"/>
  <c r="C20" i="86"/>
  <c r="C22" i="86"/>
  <c r="C4" i="86"/>
  <c r="C21" i="86"/>
  <c r="C14" i="86"/>
  <c r="C23" i="86"/>
  <c r="C10" i="86"/>
  <c r="C12" i="86"/>
  <c r="C15" i="86"/>
  <c r="C13" i="86"/>
  <c r="C19" i="86"/>
  <c r="C17" i="86"/>
  <c r="C5" i="86"/>
  <c r="C16" i="86"/>
  <c r="C9" i="86"/>
  <c r="C6" i="86"/>
  <c r="C11" i="86"/>
  <c r="C8" i="86"/>
  <c r="C7" i="86"/>
  <c r="C18" i="86"/>
  <c r="G41" i="3"/>
  <c r="E9" i="48"/>
  <c r="G9" i="48" s="1"/>
  <c r="D10" i="48"/>
  <c r="BO28" i="86" l="1"/>
  <c r="BO16" i="86" s="1"/>
  <c r="BA27" i="86"/>
  <c r="BA16" i="86" s="1"/>
  <c r="BA2" i="86"/>
  <c r="E10" i="48"/>
  <c r="G10" i="48" s="1"/>
  <c r="D11" i="48"/>
  <c r="I41" i="3" l="1"/>
  <c r="E11" i="48"/>
  <c r="G11" i="48" s="1"/>
  <c r="D12" i="48"/>
  <c r="D13" i="48" l="1"/>
  <c r="E12" i="48"/>
  <c r="G12" i="48" s="1"/>
  <c r="D14" i="48" l="1"/>
  <c r="E13" i="48"/>
  <c r="G13" i="48" s="1"/>
  <c r="E14" i="48" l="1"/>
  <c r="G14" i="48" s="1"/>
  <c r="D15" i="48"/>
  <c r="D16" i="48" l="1"/>
  <c r="E15" i="48"/>
  <c r="G15" i="48" s="1"/>
  <c r="D17" i="48" l="1"/>
  <c r="E17" i="48" s="1"/>
  <c r="G17" i="48" s="1"/>
  <c r="E16" i="48"/>
  <c r="G16" i="48" s="1"/>
  <c r="C8" i="92" l="1"/>
  <c r="C8" i="101" l="1"/>
  <c r="C8" i="104" l="1"/>
  <c r="E12" i="3" l="1"/>
  <c r="E11" i="3"/>
  <c r="E10" i="3"/>
  <c r="E9" i="3"/>
  <c r="C7" i="92" l="1"/>
  <c r="B17" i="3"/>
  <c r="K7" i="3"/>
  <c r="J7" i="3"/>
  <c r="I7" i="3"/>
  <c r="G7" i="3"/>
  <c r="E7" i="3"/>
  <c r="K6" i="3"/>
  <c r="J6" i="3"/>
  <c r="I6" i="3"/>
  <c r="G6" i="3"/>
  <c r="E6" i="3"/>
  <c r="K5" i="3"/>
  <c r="J5" i="3"/>
  <c r="I5" i="3"/>
  <c r="G5" i="3"/>
  <c r="E5" i="3"/>
  <c r="K4" i="3"/>
  <c r="J4" i="3"/>
  <c r="I4" i="3"/>
  <c r="G4" i="3"/>
  <c r="E4" i="3"/>
  <c r="C3" i="3"/>
  <c r="C11" i="3" s="1"/>
  <c r="B3" i="3"/>
  <c r="C7" i="101" l="1"/>
  <c r="C6" i="92"/>
  <c r="B37" i="3"/>
  <c r="B38" i="3"/>
  <c r="B39" i="3"/>
  <c r="B40" i="3"/>
  <c r="C8" i="3"/>
  <c r="J8" i="3"/>
  <c r="C10" i="3"/>
  <c r="C9" i="3"/>
  <c r="C22" i="3"/>
  <c r="B22" i="3" s="1"/>
  <c r="C17" i="3"/>
  <c r="B12" i="3"/>
  <c r="B13" i="3" s="1"/>
  <c r="C7" i="104" l="1"/>
  <c r="C6" i="101"/>
  <c r="C40" i="3"/>
  <c r="C39" i="3"/>
  <c r="C38" i="3"/>
  <c r="C37" i="3"/>
  <c r="B10" i="3"/>
  <c r="D22" i="3"/>
  <c r="D17" i="3"/>
  <c r="C6" i="104" l="1"/>
  <c r="D39" i="3"/>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D2" i="91" l="1"/>
  <c r="U22" i="3"/>
  <c r="U17" i="3"/>
  <c r="E2" i="91" l="1"/>
  <c r="F2" i="91" s="1"/>
  <c r="G2" i="91" s="1"/>
  <c r="H2" i="91" s="1"/>
  <c r="I2" i="91" s="1"/>
  <c r="J2" i="91" s="1"/>
  <c r="K2" i="91" s="1"/>
  <c r="L2" i="91" s="1"/>
  <c r="M2" i="91" s="1"/>
  <c r="N2" i="91" s="1"/>
  <c r="O2" i="91" s="1"/>
  <c r="P2" i="91" s="1"/>
  <c r="Q2" i="91" s="1"/>
  <c r="R2" i="91" s="1"/>
  <c r="S2" i="91" s="1"/>
  <c r="D25" i="91"/>
  <c r="E25" i="91" s="1"/>
  <c r="F25" i="91" s="1"/>
  <c r="G25" i="91" s="1"/>
  <c r="H25" i="91" s="1"/>
  <c r="I25" i="91" s="1"/>
  <c r="J25" i="91" s="1"/>
  <c r="K25" i="91" s="1"/>
  <c r="L25" i="91" s="1"/>
  <c r="M25" i="91" s="1"/>
  <c r="N25" i="91" s="1"/>
  <c r="O25" i="91" s="1"/>
  <c r="P25" i="91" s="1"/>
  <c r="Q25" i="91" s="1"/>
  <c r="R25" i="91" s="1"/>
  <c r="S25" i="91" s="1"/>
  <c r="D2" i="100" s="1"/>
  <c r="V22" i="3"/>
  <c r="V26" i="3" s="1"/>
  <c r="V17" i="3"/>
  <c r="D25" i="100" l="1"/>
  <c r="E25" i="100" s="1"/>
  <c r="F25" i="100" s="1"/>
  <c r="G25" i="100" s="1"/>
  <c r="H25" i="100" s="1"/>
  <c r="I25" i="100" s="1"/>
  <c r="J25" i="100" s="1"/>
  <c r="K25" i="100" s="1"/>
  <c r="L25" i="100" s="1"/>
  <c r="M25" i="100" s="1"/>
  <c r="N25" i="100" s="1"/>
  <c r="O25" i="100" s="1"/>
  <c r="P25" i="100" s="1"/>
  <c r="Q25" i="100" s="1"/>
  <c r="R25" i="100" s="1"/>
  <c r="S25" i="100" s="1"/>
  <c r="D2" i="103" s="1"/>
  <c r="E2" i="100"/>
  <c r="F2" i="100" s="1"/>
  <c r="G2" i="100" s="1"/>
  <c r="H2" i="100" s="1"/>
  <c r="I2" i="100" s="1"/>
  <c r="J2" i="100" s="1"/>
  <c r="K2" i="100" s="1"/>
  <c r="L2" i="100" s="1"/>
  <c r="M2" i="100" s="1"/>
  <c r="N2" i="100" s="1"/>
  <c r="O2" i="100" s="1"/>
  <c r="P2" i="100" s="1"/>
  <c r="Q2" i="100" s="1"/>
  <c r="R2" i="100" s="1"/>
  <c r="S2" i="100" s="1"/>
  <c r="W22" i="3"/>
  <c r="W17" i="3"/>
  <c r="E2" i="103" l="1"/>
  <c r="F2" i="103" s="1"/>
  <c r="G2" i="103" s="1"/>
  <c r="H2" i="103" s="1"/>
  <c r="I2" i="103" s="1"/>
  <c r="J2" i="103" s="1"/>
  <c r="K2" i="103" s="1"/>
  <c r="L2" i="103" s="1"/>
  <c r="M2" i="103" s="1"/>
  <c r="N2" i="103" s="1"/>
  <c r="O2" i="103" s="1"/>
  <c r="P2" i="103" s="1"/>
  <c r="Q2" i="103" s="1"/>
  <c r="R2" i="103" s="1"/>
  <c r="S2" i="103" s="1"/>
  <c r="D25" i="103"/>
  <c r="E25" i="103" s="1"/>
  <c r="F25" i="103" s="1"/>
  <c r="G25" i="103" s="1"/>
  <c r="H25" i="103" s="1"/>
  <c r="I25" i="103" s="1"/>
  <c r="J25" i="103" s="1"/>
  <c r="K25" i="103" s="1"/>
  <c r="L25" i="103" s="1"/>
  <c r="M25" i="103" s="1"/>
  <c r="N25" i="103" s="1"/>
  <c r="O25" i="103" s="1"/>
  <c r="P25" i="103" s="1"/>
  <c r="Q25" i="103" s="1"/>
  <c r="R25" i="103" s="1"/>
  <c r="S25" i="103" s="1"/>
  <c r="X22" i="3"/>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F8" i="92" l="1"/>
  <c r="O30" i="3"/>
  <c r="N31" i="3"/>
  <c r="M32" i="3"/>
  <c r="L33" i="3"/>
  <c r="C21" i="92" l="1"/>
  <c r="D5" i="91"/>
  <c r="D24" i="91" s="1"/>
  <c r="E5" i="91" s="1"/>
  <c r="E24" i="91" s="1"/>
  <c r="F5" i="91" s="1"/>
  <c r="F24" i="91" s="1"/>
  <c r="G5" i="91" s="1"/>
  <c r="G24" i="91" s="1"/>
  <c r="H5" i="91" s="1"/>
  <c r="H24" i="91" s="1"/>
  <c r="I5" i="91" s="1"/>
  <c r="I24" i="91" s="1"/>
  <c r="J5" i="91" s="1"/>
  <c r="J24" i="91" s="1"/>
  <c r="K5" i="91" s="1"/>
  <c r="K24" i="91" s="1"/>
  <c r="L5" i="91" s="1"/>
  <c r="L24" i="91" s="1"/>
  <c r="M5" i="91" s="1"/>
  <c r="M24" i="91" s="1"/>
  <c r="N5" i="91" s="1"/>
  <c r="N24" i="91" s="1"/>
  <c r="O5" i="91" s="1"/>
  <c r="O24" i="91" s="1"/>
  <c r="P5" i="91" s="1"/>
  <c r="P24" i="91" s="1"/>
  <c r="Q5" i="91" s="1"/>
  <c r="Q24" i="91" s="1"/>
  <c r="R5" i="91" s="1"/>
  <c r="R24" i="91" s="1"/>
  <c r="S5" i="91" s="1"/>
  <c r="S24" i="91" s="1"/>
  <c r="C24" i="91"/>
  <c r="P30" i="3"/>
  <c r="O31" i="3"/>
  <c r="M33" i="3"/>
  <c r="N32" i="3"/>
  <c r="C30" i="92" l="1"/>
  <c r="F9" i="92"/>
  <c r="C33" i="92"/>
  <c r="C34" i="92" s="1"/>
  <c r="C37" i="104"/>
  <c r="C37" i="101"/>
  <c r="C5" i="100"/>
  <c r="P31" i="3"/>
  <c r="Q30" i="3"/>
  <c r="O32" i="3"/>
  <c r="N33" i="3"/>
  <c r="D7" i="92" l="1"/>
  <c r="D14" i="92"/>
  <c r="D15" i="92"/>
  <c r="D30" i="92"/>
  <c r="D19" i="92"/>
  <c r="D13" i="92"/>
  <c r="D18" i="92"/>
  <c r="D12" i="92"/>
  <c r="D28" i="92"/>
  <c r="D9" i="92"/>
  <c r="D26" i="92"/>
  <c r="D27" i="92"/>
  <c r="D25" i="92"/>
  <c r="D23" i="92"/>
  <c r="D11" i="92"/>
  <c r="D24" i="92"/>
  <c r="D17" i="92"/>
  <c r="D8" i="92"/>
  <c r="D6" i="92"/>
  <c r="F8" i="101"/>
  <c r="F6" i="92"/>
  <c r="D5" i="100"/>
  <c r="D24" i="100" s="1"/>
  <c r="E5" i="100" s="1"/>
  <c r="E24" i="100" s="1"/>
  <c r="F5" i="100" s="1"/>
  <c r="F24" i="100" s="1"/>
  <c r="G5" i="100" s="1"/>
  <c r="G24" i="100" s="1"/>
  <c r="H5" i="100" s="1"/>
  <c r="H24" i="100" s="1"/>
  <c r="I5" i="100" s="1"/>
  <c r="I24" i="100" s="1"/>
  <c r="J5" i="100" s="1"/>
  <c r="J24" i="100" s="1"/>
  <c r="K5" i="100" s="1"/>
  <c r="K24" i="100" s="1"/>
  <c r="L5" i="100" s="1"/>
  <c r="L24" i="100" s="1"/>
  <c r="M5" i="100" s="1"/>
  <c r="M24" i="100" s="1"/>
  <c r="N5" i="100" s="1"/>
  <c r="N24" i="100" s="1"/>
  <c r="O5" i="100" s="1"/>
  <c r="O24" i="100" s="1"/>
  <c r="P5" i="100" s="1"/>
  <c r="P24" i="100" s="1"/>
  <c r="Q5" i="100" s="1"/>
  <c r="Q24" i="100" s="1"/>
  <c r="R5" i="100" s="1"/>
  <c r="R24" i="100" s="1"/>
  <c r="S5" i="100" s="1"/>
  <c r="S24" i="100" s="1"/>
  <c r="C21" i="101"/>
  <c r="C24" i="100"/>
  <c r="C5" i="103" s="1"/>
  <c r="D21" i="92"/>
  <c r="R30" i="3"/>
  <c r="Q31" i="3"/>
  <c r="O33" i="3"/>
  <c r="P32" i="3"/>
  <c r="F6" i="101" l="1"/>
  <c r="F8" i="104"/>
  <c r="C21" i="104"/>
  <c r="C24" i="103"/>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R5" i="103" s="1"/>
  <c r="R24" i="103" s="1"/>
  <c r="S5" i="103" s="1"/>
  <c r="S24" i="103" s="1"/>
  <c r="C34" i="101"/>
  <c r="D21" i="101" s="1"/>
  <c r="C38" i="101"/>
  <c r="F30" i="92"/>
  <c r="G6" i="92" s="1"/>
  <c r="R31" i="3"/>
  <c r="S30" i="3"/>
  <c r="Q32" i="3"/>
  <c r="P33" i="3"/>
  <c r="F34" i="101" l="1"/>
  <c r="G6" i="101" s="1"/>
  <c r="D6" i="101"/>
  <c r="D29" i="101"/>
  <c r="D11" i="101"/>
  <c r="D9" i="101"/>
  <c r="D28" i="101"/>
  <c r="D18" i="101"/>
  <c r="D17" i="101"/>
  <c r="D19" i="101"/>
  <c r="D32" i="101"/>
  <c r="D14" i="101"/>
  <c r="D12" i="101"/>
  <c r="D31" i="101"/>
  <c r="D30" i="101"/>
  <c r="D13" i="101"/>
  <c r="D34" i="101"/>
  <c r="D15" i="101"/>
  <c r="D27" i="101"/>
  <c r="D8" i="101"/>
  <c r="D7" i="101"/>
  <c r="C34" i="104"/>
  <c r="C38" i="104"/>
  <c r="G13" i="92"/>
  <c r="G20" i="92"/>
  <c r="G26" i="92"/>
  <c r="G11" i="92"/>
  <c r="G15" i="92"/>
  <c r="F31" i="92"/>
  <c r="G29" i="92"/>
  <c r="G16" i="92"/>
  <c r="G14" i="92"/>
  <c r="G27" i="92"/>
  <c r="G28" i="92"/>
  <c r="G17" i="92"/>
  <c r="G7" i="92"/>
  <c r="G12" i="92"/>
  <c r="G21" i="92"/>
  <c r="G30" i="92"/>
  <c r="G19" i="92"/>
  <c r="G24" i="92"/>
  <c r="G25" i="92"/>
  <c r="G23" i="92"/>
  <c r="G8" i="92"/>
  <c r="G9" i="92"/>
  <c r="F6" i="104"/>
  <c r="T30" i="3"/>
  <c r="S31" i="3"/>
  <c r="R32" i="3"/>
  <c r="Q33" i="3"/>
  <c r="G23" i="101" l="1"/>
  <c r="G27" i="101"/>
  <c r="G31" i="101"/>
  <c r="G14" i="101"/>
  <c r="G24" i="101"/>
  <c r="G16" i="101"/>
  <c r="G11" i="101"/>
  <c r="F35" i="101"/>
  <c r="G20" i="101"/>
  <c r="G29" i="101"/>
  <c r="G33" i="101"/>
  <c r="G30" i="101"/>
  <c r="G19" i="101"/>
  <c r="G15" i="101"/>
  <c r="G12" i="101"/>
  <c r="G13" i="101"/>
  <c r="G28" i="101"/>
  <c r="G7" i="101"/>
  <c r="G34" i="101"/>
  <c r="G25" i="101"/>
  <c r="G17" i="101"/>
  <c r="G32" i="101"/>
  <c r="G9" i="101"/>
  <c r="G21" i="101"/>
  <c r="G8" i="101"/>
  <c r="D21" i="104"/>
  <c r="D34" i="104"/>
  <c r="D29" i="104"/>
  <c r="D30" i="104"/>
  <c r="D18" i="104"/>
  <c r="D15" i="104"/>
  <c r="D9" i="104"/>
  <c r="D12" i="104"/>
  <c r="D14" i="104"/>
  <c r="D17" i="104"/>
  <c r="D32" i="104"/>
  <c r="D13" i="104"/>
  <c r="D11" i="104"/>
  <c r="D31" i="104"/>
  <c r="D19" i="104"/>
  <c r="D27" i="104"/>
  <c r="D28" i="104"/>
  <c r="D8" i="104"/>
  <c r="D7" i="104"/>
  <c r="D6" i="104"/>
  <c r="F34" i="104"/>
  <c r="G6" i="104" s="1"/>
  <c r="U30" i="3"/>
  <c r="T31" i="3"/>
  <c r="S32" i="3"/>
  <c r="R33" i="3"/>
  <c r="G19" i="104" l="1"/>
  <c r="G20" i="104"/>
  <c r="G11" i="104"/>
  <c r="G9" i="104"/>
  <c r="G34" i="104"/>
  <c r="G31" i="104"/>
  <c r="G23" i="104"/>
  <c r="G7" i="104"/>
  <c r="G32" i="104"/>
  <c r="G13" i="104"/>
  <c r="G14" i="104"/>
  <c r="G17" i="104"/>
  <c r="F35" i="104"/>
  <c r="G33" i="104"/>
  <c r="G21" i="104"/>
  <c r="G24" i="104"/>
  <c r="G25" i="104"/>
  <c r="G16" i="104"/>
  <c r="G12" i="104"/>
  <c r="G30" i="104"/>
  <c r="G15" i="104"/>
  <c r="G29" i="104"/>
  <c r="G27" i="104"/>
  <c r="G28" i="104"/>
  <c r="G8" i="104"/>
  <c r="V30" i="3"/>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4" authorId="0" shapeId="0" xr:uid="{00000000-0006-0000-0600-000001000000}">
      <text>
        <r>
          <rPr>
            <sz val="8"/>
            <color indexed="81"/>
            <rFont val="Tahoma"/>
            <family val="2"/>
          </rPr>
          <t>Lid*Lid*Exp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31" authorId="0" shapeId="0" xr:uid="{00000000-0006-0000-0700-000001000000}">
      <text>
        <r>
          <rPr>
            <b/>
            <sz val="8"/>
            <color indexed="81"/>
            <rFont val="Tahoma"/>
            <family val="2"/>
          </rPr>
          <t>Sacado del manual no escrito, no se sabe que son estos valores</t>
        </r>
      </text>
    </comment>
    <comment ref="D31" authorId="0" shapeId="0" xr:uid="{00000000-0006-0000-07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U1" authorId="0" shapeId="0" xr:uid="{00000000-0006-0000-0900-000001000000}">
      <text>
        <r>
          <rPr>
            <b/>
            <sz val="8"/>
            <color indexed="81"/>
            <rFont val="Tahoma"/>
            <family val="2"/>
          </rPr>
          <t>Sacado del manual no escrito, no se sabe que son estos valores</t>
        </r>
      </text>
    </comment>
    <comment ref="BV1" authorId="0" shapeId="0" xr:uid="{00000000-0006-0000-0900-000002000000}">
      <text>
        <r>
          <rPr>
            <b/>
            <sz val="8"/>
            <color indexed="81"/>
            <rFont val="Tahoma"/>
            <family val="2"/>
          </rPr>
          <t>En partidos de Torneo con el predictor
-Campo neutral
-Espiritu: Ilusionats (6)
-Confiança: Alta (7)
Entrenador NEUTRO</t>
        </r>
      </text>
    </comment>
    <comment ref="H8" authorId="0" shapeId="0" xr:uid="{00000000-0006-0000-0900-000003000000}">
      <text>
        <r>
          <rPr>
            <b/>
            <sz val="8"/>
            <color indexed="81"/>
            <rFont val="Tahoma"/>
            <family val="2"/>
          </rPr>
          <t>Debe ser bajo, muy bajo</t>
        </r>
      </text>
    </comment>
    <comment ref="H10" authorId="0" shapeId="0" xr:uid="{00000000-0006-0000-0900-000004000000}">
      <text>
        <r>
          <rPr>
            <b/>
            <sz val="8"/>
            <color indexed="81"/>
            <rFont val="Tahoma"/>
            <family val="2"/>
          </rPr>
          <t>Debe ser bajo, muy bajo</t>
        </r>
      </text>
    </comment>
    <comment ref="H19" authorId="0" shapeId="0" xr:uid="{00000000-0006-0000-0900-000005000000}">
      <text>
        <r>
          <rPr>
            <b/>
            <sz val="8"/>
            <color indexed="81"/>
            <rFont val="Tahoma"/>
            <family val="2"/>
          </rPr>
          <t>Debe ser Alto, bastante Alto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400-000001000000}">
      <text>
        <r>
          <rPr>
            <b/>
            <sz val="8"/>
            <color indexed="81"/>
            <rFont val="Tahoma"/>
            <family val="2"/>
          </rPr>
          <t>Autor:</t>
        </r>
        <r>
          <rPr>
            <sz val="8"/>
            <color indexed="81"/>
            <rFont val="Tahoma"/>
            <family val="2"/>
          </rPr>
          <t xml:space="preserve">
Compra+Primer sueldo</t>
        </r>
      </text>
    </comment>
    <comment ref="E9" authorId="0" shapeId="0" xr:uid="{00000000-0006-0000-24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4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400-000004000000}">
      <text>
        <r>
          <rPr>
            <b/>
            <sz val="8"/>
            <color indexed="81"/>
            <rFont val="Tahoma"/>
            <family val="2"/>
          </rPr>
          <t>Autor:</t>
        </r>
        <r>
          <rPr>
            <sz val="8"/>
            <color indexed="81"/>
            <rFont val="Tahoma"/>
            <family val="2"/>
          </rPr>
          <t xml:space="preserve">
Ingresos anuales - Pagos anuales</t>
        </r>
      </text>
    </comment>
    <comment ref="C18" authorId="0" shapeId="0" xr:uid="{00000000-0006-0000-2400-000005000000}">
      <text>
        <r>
          <rPr>
            <b/>
            <sz val="8"/>
            <color indexed="81"/>
            <rFont val="Tahoma"/>
            <family val="2"/>
          </rPr>
          <t>Venta sin Comisiones</t>
        </r>
      </text>
    </comment>
    <comment ref="F20" authorId="0" shapeId="0" xr:uid="{00000000-0006-0000-2400-000006000000}">
      <text>
        <r>
          <rPr>
            <b/>
            <sz val="8"/>
            <color indexed="81"/>
            <rFont val="Tahoma"/>
            <family val="2"/>
          </rPr>
          <t>Autor:</t>
        </r>
        <r>
          <rPr>
            <sz val="8"/>
            <color indexed="81"/>
            <rFont val="Tahoma"/>
            <family val="2"/>
          </rPr>
          <t xml:space="preserve">
incluye sueldo primera semana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600-000001000000}">
      <text>
        <r>
          <rPr>
            <b/>
            <sz val="8"/>
            <color indexed="81"/>
            <rFont val="Tahoma"/>
            <family val="2"/>
          </rPr>
          <t>Autor:</t>
        </r>
        <r>
          <rPr>
            <sz val="8"/>
            <color indexed="81"/>
            <rFont val="Tahoma"/>
            <family val="2"/>
          </rPr>
          <t xml:space="preserve">
Compra+Primer sueldo</t>
        </r>
      </text>
    </comment>
    <comment ref="E9" authorId="0" shapeId="0" xr:uid="{00000000-0006-0000-26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6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600-000004000000}">
      <text>
        <r>
          <rPr>
            <b/>
            <sz val="8"/>
            <color indexed="81"/>
            <rFont val="Tahoma"/>
            <family val="2"/>
          </rPr>
          <t>Autor:</t>
        </r>
        <r>
          <rPr>
            <sz val="8"/>
            <color indexed="81"/>
            <rFont val="Tahoma"/>
            <family val="2"/>
          </rPr>
          <t xml:space="preserve">
Ingresos anuales - Pagos anuales</t>
        </r>
      </text>
    </comment>
    <comment ref="C18" authorId="0" shapeId="0" xr:uid="{00000000-0006-0000-2600-000005000000}">
      <text>
        <r>
          <rPr>
            <b/>
            <sz val="8"/>
            <color indexed="81"/>
            <rFont val="Tahoma"/>
            <family val="2"/>
          </rPr>
          <t>Venta sin Comisiones</t>
        </r>
      </text>
    </comment>
    <comment ref="F20" authorId="0" shapeId="0" xr:uid="{00000000-0006-0000-2600-00000600000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800-000001000000}">
      <text>
        <r>
          <rPr>
            <b/>
            <sz val="8"/>
            <color indexed="81"/>
            <rFont val="Tahoma"/>
            <family val="2"/>
          </rPr>
          <t>Autor:</t>
        </r>
        <r>
          <rPr>
            <sz val="8"/>
            <color indexed="81"/>
            <rFont val="Tahoma"/>
            <family val="2"/>
          </rPr>
          <t xml:space="preserve">
Compra+Primer sueldo</t>
        </r>
      </text>
    </comment>
    <comment ref="E9" authorId="0" shapeId="0" xr:uid="{00000000-0006-0000-28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8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800-000004000000}">
      <text>
        <r>
          <rPr>
            <b/>
            <sz val="8"/>
            <color indexed="81"/>
            <rFont val="Tahoma"/>
            <family val="2"/>
          </rPr>
          <t>Autor:</t>
        </r>
        <r>
          <rPr>
            <sz val="8"/>
            <color indexed="81"/>
            <rFont val="Tahoma"/>
            <family val="2"/>
          </rPr>
          <t xml:space="preserve">
Ingresos anuales - Pagos anuales</t>
        </r>
      </text>
    </comment>
    <comment ref="C18" authorId="0" shapeId="0" xr:uid="{00000000-0006-0000-2800-000005000000}">
      <text>
        <r>
          <rPr>
            <b/>
            <sz val="8"/>
            <color indexed="81"/>
            <rFont val="Tahoma"/>
            <family val="2"/>
          </rPr>
          <t>Venta sin Comisiones</t>
        </r>
      </text>
    </comment>
    <comment ref="F20" authorId="0" shapeId="0" xr:uid="{00000000-0006-0000-2800-000006000000}">
      <text>
        <r>
          <rPr>
            <b/>
            <sz val="8"/>
            <color indexed="81"/>
            <rFont val="Tahoma"/>
            <family val="2"/>
          </rPr>
          <t>Autor:</t>
        </r>
        <r>
          <rPr>
            <sz val="8"/>
            <color indexed="81"/>
            <rFont val="Tahoma"/>
            <family val="2"/>
          </rPr>
          <t xml:space="preserve">
incluye sueldo primera semana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00000000-0006-0000-2C00-000001000000}">
      <text>
        <r>
          <rPr>
            <b/>
            <sz val="8"/>
            <color indexed="81"/>
            <rFont val="Tahoma"/>
            <family val="2"/>
          </rPr>
          <t>Autor:</t>
        </r>
        <r>
          <rPr>
            <sz val="8"/>
            <color indexed="81"/>
            <rFont val="Tahoma"/>
            <family val="2"/>
          </rPr>
          <t xml:space="preserve">
9=notable
6,5=aceptable
4=insuf</t>
        </r>
      </text>
    </comment>
    <comment ref="G2" authorId="0" shapeId="0" xr:uid="{00000000-0006-0000-2C00-000002000000}">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<sst xmlns="http://schemas.openxmlformats.org/spreadsheetml/2006/main" count="2861" uniqueCount="775">
  <si>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</si>
  <si>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</si>
  <si>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</si>
  <si>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</si>
  <si>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</si>
  <si>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</si>
  <si>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</si>
  <si>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</si>
  <si>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</si>
  <si>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</si>
  <si>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</si>
  <si>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</si>
  <si>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</si>
  <si>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</si>
  <si>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</si>
  <si>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</si>
  <si>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</si>
  <si>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</si>
  <si>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</si>
  <si>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</si>
  <si>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</si>
  <si>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</si>
  <si>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</si>
  <si>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</si>
  <si>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</si>
  <si>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</si>
  <si>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</si>
  <si>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</si>
  <si>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</si>
  <si>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</si>
  <si>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</si>
  <si>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</si>
  <si>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</si>
  <si>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</si>
  <si>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</si>
  <si>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</si>
  <si>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</si>
  <si>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</si>
  <si>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</si>
  <si>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</si>
  <si>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</si>
  <si>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</si>
  <si>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</si>
  <si>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</si>
  <si>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</si>
  <si>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</si>
  <si>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</si>
  <si>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</si>
  <si>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</si>
  <si>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</si>
  <si>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</si>
  <si>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</si>
  <si>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</si>
  <si>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</si>
  <si>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</si>
  <si>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</si>
  <si>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</si>
  <si>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</si>
  <si>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</si>
  <si>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</si>
  <si>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</si>
  <si>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</si>
  <si>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</si>
  <si>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</si>
  <si>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</si>
  <si>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</si>
  <si>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</si>
  <si>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</si>
  <si>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</si>
  <si>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</si>
  <si>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</si>
  <si>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</si>
  <si>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</si>
  <si>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</si>
  <si>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</si>
  <si>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</si>
  <si>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</si>
  <si>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</si>
  <si>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</si>
  <si>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</si>
  <si>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</si>
  <si>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</si>
  <si>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</si>
  <si>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</si>
  <si>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</si>
  <si>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</si>
  <si>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</si>
  <si>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</si>
  <si>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</si>
  <si>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</si>
  <si>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</si>
  <si>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</si>
  <si>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</si>
  <si>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</si>
  <si>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</si>
  <si>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</si>
  <si>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</si>
  <si>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</si>
  <si>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</si>
  <si>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</si>
  <si>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</si>
  <si>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 xml:space="preserve">a cierre de ejercicio </t>
  </si>
  <si>
    <t>Tipo</t>
  </si>
  <si>
    <t>Sueldo</t>
  </si>
  <si>
    <t>Venta</t>
  </si>
  <si>
    <t>Comisión</t>
  </si>
  <si>
    <t>ByP</t>
  </si>
  <si>
    <t>ValorCont</t>
  </si>
  <si>
    <t>% Re</t>
  </si>
  <si>
    <t>Fcom</t>
  </si>
  <si>
    <t>Fventa</t>
  </si>
  <si>
    <t>ACTIVO</t>
  </si>
  <si>
    <t>PASIVO</t>
  </si>
  <si>
    <t>J</t>
  </si>
  <si>
    <t>Inmobilizado</t>
  </si>
  <si>
    <t>Patrimonio</t>
  </si>
  <si>
    <t>Capital Inicial</t>
  </si>
  <si>
    <t>Amortizaciones</t>
  </si>
  <si>
    <t>Step</t>
  </si>
  <si>
    <t>B/P Jugadores</t>
  </si>
  <si>
    <t>B/P Step</t>
  </si>
  <si>
    <t>B/P Cantera</t>
  </si>
  <si>
    <t>Mercadeo</t>
  </si>
  <si>
    <t>B/P Entrenables</t>
  </si>
  <si>
    <t>B/P Mercadeo</t>
  </si>
  <si>
    <t>Compras</t>
  </si>
  <si>
    <t>Sueldos 1ºSem</t>
  </si>
  <si>
    <t>Ingresos</t>
  </si>
  <si>
    <t>Salarios</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</si>
  <si>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</si>
  <si>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</si>
  <si>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</si>
  <si>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</si>
  <si>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</si>
  <si>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</si>
  <si>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</si>
  <si>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</si>
  <si>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</si>
  <si>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</si>
  <si>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</si>
  <si>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</si>
  <si>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</si>
  <si>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</si>
  <si>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</si>
  <si>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</si>
  <si>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</si>
  <si>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</si>
  <si>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</si>
  <si>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</si>
  <si>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</si>
  <si>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</si>
  <si>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</si>
  <si>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</si>
  <si>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</si>
  <si>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</si>
  <si>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</si>
  <si>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</si>
  <si>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</si>
  <si>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</si>
  <si>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</si>
  <si>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</si>
  <si>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</si>
  <si>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</si>
  <si>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</si>
  <si>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</si>
  <si>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</si>
  <si>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</si>
  <si>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</si>
  <si>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</si>
  <si>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</si>
  <si>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</si>
  <si>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</si>
  <si>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</si>
  <si>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</si>
  <si>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</si>
  <si>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</si>
  <si>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</si>
  <si>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</si>
  <si>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</si>
  <si>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</si>
  <si>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</si>
  <si>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</si>
  <si>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</si>
  <si>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</si>
  <si>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</si>
  <si>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</si>
  <si>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</si>
  <si>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</si>
  <si>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</si>
  <si>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</si>
  <si>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</si>
  <si>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</si>
  <si>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</si>
  <si>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</si>
  <si>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</si>
  <si>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</si>
  <si>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</si>
  <si>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</si>
  <si>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</si>
  <si>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</si>
  <si>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</si>
  <si>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</si>
  <si>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</si>
  <si>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</si>
  <si>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</si>
  <si>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</si>
  <si>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</si>
  <si>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</si>
  <si>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</si>
  <si>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</si>
  <si>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</si>
  <si>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</si>
  <si>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</si>
  <si>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</si>
  <si>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</si>
  <si>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</si>
  <si>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</si>
  <si>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</si>
  <si>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</si>
  <si>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</si>
  <si>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</si>
  <si>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</si>
  <si>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</si>
  <si>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</si>
  <si>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</si>
  <si>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</si>
  <si>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</si>
  <si>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</si>
  <si>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</si>
  <si>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</si>
  <si>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</si>
  <si>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</si>
  <si>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</si>
  <si>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</si>
  <si>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</si>
  <si>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</si>
  <si>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</si>
  <si>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Experiencia</t>
  </si>
  <si>
    <t>ByP Acum</t>
  </si>
  <si>
    <t>Pagos LP</t>
  </si>
  <si>
    <t>Pagos CP</t>
  </si>
  <si>
    <t>R. Lawhon</t>
  </si>
  <si>
    <t>T. Hammond</t>
  </si>
  <si>
    <t>TEC</t>
  </si>
  <si>
    <t>E. Toney</t>
  </si>
  <si>
    <t>E.Romweber</t>
  </si>
  <si>
    <t>IMP</t>
  </si>
  <si>
    <t>E. Gross</t>
  </si>
  <si>
    <t>B. Bartolache</t>
  </si>
  <si>
    <t>C.Ramirez</t>
  </si>
  <si>
    <t>D. Toh</t>
  </si>
  <si>
    <t>POS</t>
  </si>
  <si>
    <t>C. Rojas</t>
  </si>
  <si>
    <t>J. Limon</t>
  </si>
  <si>
    <t>CMin</t>
  </si>
  <si>
    <t>CMax</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</si>
  <si>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</si>
  <si>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</si>
  <si>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</si>
  <si>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</si>
  <si>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</si>
  <si>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</si>
  <si>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</si>
  <si>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</si>
  <si>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</si>
  <si>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</si>
  <si>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</si>
  <si>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</si>
  <si>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</si>
  <si>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</si>
  <si>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</si>
  <si>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</si>
  <si>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</si>
  <si>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</si>
  <si>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</si>
  <si>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</si>
  <si>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</si>
  <si>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</si>
  <si>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</si>
  <si>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</si>
  <si>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</si>
  <si>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</si>
  <si>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</si>
  <si>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</si>
  <si>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</si>
  <si>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</si>
  <si>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</si>
  <si>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</si>
  <si>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</si>
  <si>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</si>
  <si>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</si>
  <si>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</si>
  <si>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</si>
  <si>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</si>
  <si>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</si>
  <si>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</si>
  <si>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</si>
  <si>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</si>
  <si>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</si>
  <si>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</si>
  <si>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</si>
  <si>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</si>
  <si>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</si>
  <si>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</si>
  <si>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</si>
  <si>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</si>
  <si>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</si>
  <si>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</si>
  <si>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</si>
  <si>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</si>
  <si>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</si>
  <si>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</si>
  <si>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</si>
  <si>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</si>
  <si>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</si>
  <si>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</si>
  <si>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</si>
  <si>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</si>
  <si>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</si>
  <si>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</si>
  <si>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</si>
  <si>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</si>
  <si>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</si>
  <si>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</si>
  <si>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</si>
  <si>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</si>
  <si>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</si>
  <si>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</si>
  <si>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</si>
  <si>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</si>
  <si>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</si>
  <si>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</si>
  <si>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</si>
  <si>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</si>
  <si>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</si>
  <si>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</si>
  <si>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</si>
  <si>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</si>
  <si>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</si>
  <si>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</si>
  <si>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</si>
  <si>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</si>
  <si>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</si>
  <si>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</si>
  <si>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</si>
  <si>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</si>
  <si>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</si>
  <si>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</si>
  <si>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</si>
  <si>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</si>
  <si>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</si>
  <si>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</si>
  <si>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</si>
  <si>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</si>
  <si>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</si>
  <si>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</si>
  <si>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</si>
  <si>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</si>
  <si>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</si>
  <si>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</si>
  <si>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</si>
  <si>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</si>
  <si>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</si>
  <si>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</si>
  <si>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</si>
  <si>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</si>
  <si>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</si>
  <si>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</si>
  <si>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</si>
  <si>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</si>
  <si>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</si>
  <si>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</si>
  <si>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</si>
  <si>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condición afecta a la experiencia de la misma manera que a las habilidades.</t>
  </si>
  <si>
    <t>%Base</t>
  </si>
  <si>
    <t>%entreno</t>
  </si>
  <si>
    <t>%Medico</t>
  </si>
  <si>
    <t>%Total</t>
  </si>
  <si>
    <t>Lesiones</t>
  </si>
  <si>
    <t>PartidosTemporada</t>
  </si>
  <si>
    <t>Nentreno</t>
  </si>
  <si>
    <t>ENT</t>
  </si>
  <si>
    <t>Plantilla Medias (mirar antes entreno) (sin entrenador)</t>
  </si>
  <si>
    <t>Hibridación</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</si>
  <si>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</si>
  <si>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</si>
  <si>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</si>
  <si>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</si>
  <si>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</si>
  <si>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</si>
  <si>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</si>
  <si>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</si>
  <si>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</si>
  <si>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</si>
  <si>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</si>
  <si>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</si>
  <si>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</si>
  <si>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</si>
  <si>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</si>
  <si>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</si>
  <si>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</si>
  <si>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</si>
  <si>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</si>
  <si>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</si>
  <si>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</si>
  <si>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</si>
  <si>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</si>
  <si>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</si>
  <si>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</si>
  <si>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</si>
  <si>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</si>
  <si>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</si>
  <si>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</si>
  <si>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</si>
  <si>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Horrible</t>
  </si>
  <si>
    <t>#16</t>
  </si>
  <si>
    <t>Patro-1</t>
  </si>
  <si>
    <t>Defensas</t>
  </si>
  <si>
    <t>Jugadas</t>
  </si>
  <si>
    <t>DEFCen</t>
  </si>
  <si>
    <t>C</t>
  </si>
  <si>
    <t>#13</t>
  </si>
  <si>
    <t>Julian Limón</t>
  </si>
  <si>
    <t>Ke'Shawn Helms</t>
  </si>
  <si>
    <t>Stephen Buschelman</t>
  </si>
  <si>
    <t>T44</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</si>
  <si>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</si>
  <si>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</si>
  <si>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</si>
  <si>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</si>
  <si>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</si>
  <si>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</si>
  <si>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</si>
  <si>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</si>
  <si>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</si>
  <si>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</si>
  <si>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</si>
  <si>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</si>
  <si>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</si>
  <si>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</si>
  <si>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</si>
  <si>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</si>
  <si>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</si>
  <si>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</si>
  <si>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</si>
  <si>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</si>
  <si>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</si>
  <si>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</si>
  <si>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</si>
  <si>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</si>
  <si>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</si>
  <si>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</si>
  <si>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</si>
  <si>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</si>
  <si>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</si>
  <si>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</si>
  <si>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Stan Pignot</t>
  </si>
  <si>
    <t>#15</t>
  </si>
  <si>
    <t>P .Trivadi</t>
  </si>
  <si>
    <t>S. Pignot</t>
  </si>
  <si>
    <t>Stacy Zobbe</t>
  </si>
  <si>
    <t>Michael Smith</t>
  </si>
  <si>
    <t>Pavan Trivedi</t>
  </si>
  <si>
    <t>Cantera</t>
  </si>
  <si>
    <t>NCA</t>
  </si>
  <si>
    <t>F. Lasprilla</t>
  </si>
  <si>
    <t>#18</t>
  </si>
  <si>
    <t>LAT</t>
  </si>
  <si>
    <t>8*</t>
  </si>
  <si>
    <t>P. Glenn</t>
  </si>
  <si>
    <t>PAS</t>
  </si>
  <si>
    <t>N_CA</t>
  </si>
  <si>
    <t>#17</t>
  </si>
  <si>
    <t>#90</t>
  </si>
  <si>
    <t>#89</t>
  </si>
  <si>
    <t>T45</t>
  </si>
  <si>
    <t>T46</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</si>
  <si>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</si>
  <si>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</si>
  <si>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</si>
  <si>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</si>
  <si>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</si>
  <si>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</si>
  <si>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</si>
  <si>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</si>
  <si>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</si>
  <si>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</si>
  <si>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</si>
  <si>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</si>
  <si>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</si>
  <si>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</si>
  <si>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</si>
  <si>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</si>
  <si>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</si>
  <si>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</si>
  <si>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</si>
  <si>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</si>
  <si>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</si>
  <si>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</si>
  <si>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</si>
  <si>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</si>
  <si>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</si>
  <si>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</si>
  <si>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</si>
  <si>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III.15</t>
  </si>
  <si>
    <t>#19</t>
  </si>
  <si>
    <t>L. Albers</t>
  </si>
  <si>
    <t>EHM</t>
  </si>
  <si>
    <t>Pavan Trivadi</t>
  </si>
  <si>
    <t>T47</t>
  </si>
  <si>
    <t>Félix Lasprilla</t>
  </si>
  <si>
    <t>EXTOF</t>
  </si>
  <si>
    <t>#91</t>
  </si>
  <si>
    <t>#92</t>
  </si>
  <si>
    <t>Lenny Albers</t>
  </si>
  <si>
    <t>h34</t>
  </si>
  <si>
    <t>CMn</t>
  </si>
  <si>
    <t>CMx</t>
  </si>
  <si>
    <t>541 Bi-CA</t>
  </si>
  <si>
    <t>DHL</t>
  </si>
  <si>
    <t>CHL</t>
  </si>
  <si>
    <t>EN</t>
  </si>
  <si>
    <t>EOF</t>
  </si>
  <si>
    <t>IOF</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</si>
  <si>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</si>
  <si>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</si>
  <si>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</si>
  <si>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</si>
  <si>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</si>
  <si>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</si>
  <si>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</si>
  <si>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</si>
  <si>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</si>
  <si>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</si>
  <si>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</si>
  <si>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</si>
  <si>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</si>
  <si>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</si>
  <si>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</si>
  <si>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</si>
  <si>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</si>
  <si>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</si>
  <si>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</si>
  <si>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</si>
  <si>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</si>
  <si>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</si>
  <si>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</si>
  <si>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</si>
  <si>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</si>
  <si>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</si>
  <si>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</si>
  <si>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</si>
  <si>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</si>
  <si>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</si>
  <si>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</si>
  <si>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</si>
  <si>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</si>
  <si>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</si>
  <si>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</si>
  <si>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</si>
  <si>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</si>
  <si>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</si>
  <si>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</si>
  <si>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</si>
  <si>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</si>
  <si>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</si>
  <si>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</si>
  <si>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</si>
  <si>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</si>
  <si>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</si>
  <si>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</si>
  <si>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</si>
  <si>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</si>
  <si>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</si>
  <si>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</si>
  <si>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</si>
  <si>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</si>
  <si>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</si>
  <si>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</si>
  <si>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</si>
  <si>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</si>
  <si>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</si>
  <si>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</si>
  <si>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</si>
  <si>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</si>
  <si>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</si>
  <si>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</si>
  <si>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</si>
  <si>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</si>
  <si>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</si>
  <si>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</si>
  <si>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</si>
  <si>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</si>
  <si>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</si>
  <si>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</si>
  <si>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</si>
  <si>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</si>
  <si>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</si>
  <si>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</si>
  <si>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</si>
  <si>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</si>
  <si>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</si>
  <si>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</si>
  <si>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</si>
  <si>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</si>
  <si>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</si>
  <si>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</si>
  <si>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</si>
  <si>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</si>
  <si>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</si>
  <si>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</si>
  <si>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</si>
  <si>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</si>
  <si>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</si>
  <si>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</si>
  <si>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</si>
  <si>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</si>
  <si>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</si>
  <si>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</si>
  <si>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</si>
  <si>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</si>
  <si>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</si>
  <si>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</si>
  <si>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</si>
  <si>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</si>
  <si>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</si>
  <si>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</si>
  <si>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</si>
  <si>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</si>
  <si>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</si>
  <si>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</si>
  <si>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</si>
  <si>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</si>
  <si>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</si>
  <si>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</si>
  <si>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</si>
  <si>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</si>
  <si>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</si>
  <si>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</si>
  <si>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</si>
  <si>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</si>
  <si>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</si>
  <si>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</si>
  <si>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</si>
  <si>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</si>
  <si>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</si>
  <si>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</si>
  <si>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</si>
  <si>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</si>
  <si>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</si>
  <si>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</si>
  <si>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</si>
  <si>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</si>
  <si>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</si>
  <si>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</si>
  <si>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</si>
  <si>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</si>
  <si>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</si>
  <si>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</si>
  <si>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</si>
  <si>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</si>
  <si>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</si>
  <si>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</si>
  <si>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</si>
  <si>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</si>
  <si>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</si>
  <si>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</si>
  <si>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</si>
  <si>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</si>
  <si>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</si>
  <si>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</si>
  <si>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</si>
  <si>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</si>
  <si>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</si>
  <si>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</si>
  <si>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</si>
  <si>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</si>
  <si>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</si>
  <si>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</si>
  <si>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</si>
  <si>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</si>
  <si>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</si>
  <si>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</si>
  <si>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</si>
  <si>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</si>
  <si>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</si>
  <si>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</si>
  <si>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</si>
  <si>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</si>
  <si>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</si>
  <si>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</si>
  <si>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</si>
  <si>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</si>
  <si>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</si>
  <si>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</si>
  <si>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</si>
  <si>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</si>
  <si>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</si>
  <si>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</si>
  <si>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</si>
  <si>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</si>
  <si>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</si>
  <si>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</si>
  <si>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</si>
  <si>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</si>
  <si>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</si>
  <si>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</si>
  <si>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</si>
  <si>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</si>
  <si>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</si>
  <si>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</si>
  <si>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</si>
  <si>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</si>
  <si>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</si>
  <si>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</si>
  <si>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</si>
  <si>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</si>
  <si>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</si>
  <si>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</si>
  <si>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</si>
  <si>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</si>
  <si>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</si>
  <si>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</si>
  <si>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</si>
  <si>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</si>
  <si>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</si>
  <si>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</si>
  <si>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</si>
  <si>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</si>
  <si>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</si>
  <si>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</si>
  <si>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</si>
  <si>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</si>
  <si>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</si>
  <si>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</si>
  <si>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</si>
  <si>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t>
  </si>
  <si>
    <t>G. Kerschl</t>
  </si>
  <si>
    <t>G/P</t>
  </si>
  <si>
    <t>Xpe/16,5</t>
  </si>
  <si>
    <t>(xpc * lid^2) ^ (2/3) / 27</t>
  </si>
  <si>
    <t>Gerolf Kerschl</t>
  </si>
  <si>
    <t>Fcompra</t>
  </si>
  <si>
    <t>10,5*</t>
  </si>
  <si>
    <t>14*</t>
  </si>
  <si>
    <t>532hts</t>
  </si>
  <si>
    <t>529hts</t>
  </si>
  <si>
    <t>Obiwan-Antioch</t>
  </si>
  <si>
    <t>FC Mariannah - Obiwan</t>
  </si>
  <si>
    <t>Hardy Kjærulff</t>
  </si>
  <si>
    <t>Dia</t>
  </si>
  <si>
    <t>Semana</t>
  </si>
  <si>
    <t>Temporada</t>
  </si>
  <si>
    <t>I. Vanags</t>
  </si>
  <si>
    <t>K. Nelson</t>
  </si>
  <si>
    <t>N. Janbu</t>
  </si>
  <si>
    <t>P. Tuderek</t>
  </si>
  <si>
    <t>R. Scheidecker</t>
  </si>
  <si>
    <t>R. Forsyth</t>
  </si>
  <si>
    <t>Ede</t>
  </si>
  <si>
    <t>Ean</t>
  </si>
  <si>
    <t>EBP</t>
  </si>
  <si>
    <t>DLD</t>
  </si>
  <si>
    <t>DLN</t>
  </si>
  <si>
    <t>DCL</t>
  </si>
  <si>
    <t>DCO</t>
  </si>
  <si>
    <t>IND</t>
  </si>
  <si>
    <t>ED</t>
  </si>
  <si>
    <t>EM</t>
  </si>
  <si>
    <t>Eju</t>
  </si>
  <si>
    <t>M. Bondarewski</t>
  </si>
  <si>
    <t>JMn</t>
  </si>
  <si>
    <t>JMx</t>
  </si>
  <si>
    <t>J. Vartiainen</t>
  </si>
  <si>
    <t>Coste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</si>
</sst>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
      <i/>
      <u/>
      <sz val="11"/>
      <color theme="8" tint="-0.499984740745262"/>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1" fillId="0" borderId="0"/>
  </cellStyleXfs>
  <cellXfs count="685">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2" fillId="0" borderId="0" xfId="0" applyFont="1" applyAlignment="1">
      <alignment wrapText="1"/>
    </xf>
    <xf numFmtId="166" fontId="0" fillId="0" borderId="0" xfId="0" applyNumberFormat="1"/>
    <xf numFmtId="0" fontId="23"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4"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5" fillId="27" borderId="1" xfId="0" applyFont="1" applyFill="1" applyBorder="1" applyAlignment="1">
      <alignment horizontal="left" vertical="top" wrapText="1" indent="1"/>
    </xf>
    <xf numFmtId="0" fontId="25" fillId="26"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5" fillId="26" borderId="2"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5"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8" fillId="0" borderId="0" xfId="0" applyFont="1"/>
    <xf numFmtId="0" fontId="26" fillId="26" borderId="18" xfId="0" applyFont="1" applyFill="1" applyBorder="1" applyAlignment="1">
      <alignment horizontal="left" vertical="top" wrapText="1"/>
    </xf>
    <xf numFmtId="0" fontId="24"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1" fillId="0" borderId="0" xfId="0" applyFont="1" applyFill="1"/>
    <xf numFmtId="1" fontId="0" fillId="0" borderId="0" xfId="0" applyNumberFormat="1"/>
    <xf numFmtId="0" fontId="31" fillId="16" borderId="1" xfId="0" applyFont="1" applyFill="1" applyBorder="1"/>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0" fontId="0" fillId="0" borderId="0" xfId="0" applyAlignment="1">
      <alignment wrapText="1"/>
    </xf>
    <xf numFmtId="0" fontId="2" fillId="10" borderId="1" xfId="0" applyFont="1" applyFill="1" applyBorder="1"/>
    <xf numFmtId="0" fontId="26" fillId="0" borderId="0" xfId="0" applyFont="1"/>
    <xf numFmtId="0" fontId="25"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4" fillId="0" borderId="0" xfId="0" applyFont="1" applyAlignment="1">
      <alignment horizontal="left" indent="2"/>
    </xf>
    <xf numFmtId="0" fontId="32" fillId="31" borderId="0" xfId="0" applyFont="1" applyFill="1" applyAlignment="1">
      <alignment horizontal="center" wrapText="1"/>
    </xf>
    <xf numFmtId="0" fontId="23" fillId="8" borderId="0" xfId="0" applyFont="1" applyFill="1" applyAlignment="1">
      <alignment horizontal="center" wrapText="1"/>
    </xf>
    <xf numFmtId="0" fontId="23" fillId="33" borderId="0" xfId="0" applyFont="1" applyFill="1" applyAlignment="1">
      <alignment horizontal="center" wrapText="1"/>
    </xf>
    <xf numFmtId="0" fontId="23" fillId="34" borderId="0" xfId="0" applyFont="1" applyFill="1" applyAlignment="1">
      <alignment horizontal="center" wrapText="1"/>
    </xf>
    <xf numFmtId="0" fontId="23" fillId="0" borderId="0" xfId="0" applyFont="1" applyAlignment="1">
      <alignment horizontal="center" wrapText="1"/>
    </xf>
    <xf numFmtId="0" fontId="24" fillId="33" borderId="0" xfId="0" applyFont="1" applyFill="1" applyAlignment="1">
      <alignment wrapText="1"/>
    </xf>
    <xf numFmtId="0" fontId="24" fillId="34" borderId="0" xfId="0" applyFont="1" applyFill="1" applyAlignment="1">
      <alignment wrapText="1"/>
    </xf>
    <xf numFmtId="0" fontId="23"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6" fillId="26" borderId="1" xfId="0" applyFont="1" applyFill="1" applyBorder="1" applyAlignment="1">
      <alignment horizontal="left" vertical="center"/>
    </xf>
    <xf numFmtId="1" fontId="26"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6" fillId="26" borderId="1" xfId="0" applyNumberFormat="1" applyFont="1" applyFill="1" applyBorder="1" applyAlignment="1">
      <alignment horizontal="left" vertical="center"/>
    </xf>
    <xf numFmtId="169" fontId="26" fillId="29" borderId="1" xfId="0" applyNumberFormat="1" applyFont="1" applyFill="1" applyBorder="1" applyAlignment="1">
      <alignment horizontal="left" vertical="center"/>
    </xf>
    <xf numFmtId="0" fontId="0" fillId="0" borderId="0" xfId="0" applyAlignment="1">
      <alignment horizontal="center"/>
    </xf>
    <xf numFmtId="0" fontId="38" fillId="0" borderId="0" xfId="0" applyFont="1"/>
    <xf numFmtId="0" fontId="31" fillId="14" borderId="1" xfId="0"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3" fillId="38" borderId="1" xfId="0" applyFont="1" applyFill="1" applyBorder="1" applyAlignment="1">
      <alignment horizontal="center" vertical="top" wrapText="1"/>
    </xf>
    <xf numFmtId="0" fontId="44" fillId="38" borderId="1" xfId="0" applyFont="1" applyFill="1" applyBorder="1" applyAlignment="1">
      <alignment horizontal="center" vertical="top" wrapText="1"/>
    </xf>
    <xf numFmtId="0" fontId="43" fillId="39"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3" fillId="39" borderId="0" xfId="0" applyFont="1" applyFill="1" applyBorder="1" applyAlignment="1">
      <alignment horizontal="center" vertical="top" wrapText="1"/>
    </xf>
    <xf numFmtId="0" fontId="43" fillId="38" borderId="0" xfId="0" applyFont="1" applyFill="1" applyBorder="1" applyAlignment="1">
      <alignment horizontal="center" vertical="top" wrapText="1"/>
    </xf>
    <xf numFmtId="166" fontId="45"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6" fillId="40" borderId="0" xfId="0" applyNumberFormat="1" applyFont="1" applyFill="1" applyBorder="1" applyAlignment="1">
      <alignment horizontal="center" vertical="top" wrapText="1"/>
    </xf>
    <xf numFmtId="0" fontId="46" fillId="39"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168" fontId="2" fillId="0" borderId="0" xfId="3" applyNumberFormat="1" applyFont="1"/>
    <xf numFmtId="0" fontId="2" fillId="3" borderId="0" xfId="0" applyFont="1" applyFill="1" applyAlignment="1">
      <alignment horizontal="center" wrapText="1"/>
    </xf>
    <xf numFmtId="0" fontId="31" fillId="0" borderId="0" xfId="0" applyFont="1"/>
    <xf numFmtId="0" fontId="48" fillId="0" borderId="0" xfId="4" applyFont="1" applyFill="1"/>
    <xf numFmtId="0" fontId="48" fillId="0" borderId="0" xfId="4" applyFont="1"/>
    <xf numFmtId="0" fontId="35" fillId="0" borderId="0" xfId="4" applyFont="1" applyFill="1"/>
    <xf numFmtId="0" fontId="40" fillId="0" borderId="0" xfId="0" applyFont="1" applyFill="1" applyBorder="1" applyAlignment="1">
      <alignment horizontal="center" vertical="center"/>
    </xf>
    <xf numFmtId="0" fontId="34" fillId="0" borderId="0" xfId="4" applyFont="1" applyFill="1" applyBorder="1" applyAlignment="1">
      <alignment horizontal="left"/>
    </xf>
    <xf numFmtId="0" fontId="34" fillId="0" borderId="0" xfId="4" applyFont="1" applyFill="1" applyBorder="1" applyAlignment="1">
      <alignment horizontal="center"/>
    </xf>
    <xf numFmtId="0" fontId="7" fillId="0" borderId="0" xfId="0" applyFont="1"/>
    <xf numFmtId="0" fontId="49" fillId="0" borderId="0" xfId="4" applyFont="1" applyFill="1"/>
    <xf numFmtId="1" fontId="0" fillId="9" borderId="9" xfId="0" applyNumberFormat="1" applyFill="1" applyBorder="1"/>
    <xf numFmtId="0" fontId="0" fillId="0" borderId="1" xfId="0" applyBorder="1" applyAlignment="1">
      <alignment horizontal="center"/>
    </xf>
    <xf numFmtId="0" fontId="50" fillId="0" borderId="0" xfId="4" applyFont="1"/>
    <xf numFmtId="0" fontId="0" fillId="0" borderId="1" xfId="0" applyFont="1" applyBorder="1"/>
    <xf numFmtId="169" fontId="51" fillId="0" borderId="1" xfId="0" applyNumberFormat="1" applyFont="1" applyBorder="1"/>
    <xf numFmtId="0" fontId="26" fillId="29" borderId="1" xfId="0" applyFont="1" applyFill="1" applyBorder="1" applyAlignment="1">
      <alignment horizontal="center" vertical="center"/>
    </xf>
    <xf numFmtId="0" fontId="0" fillId="0" borderId="0" xfId="0" applyFont="1"/>
    <xf numFmtId="0" fontId="21" fillId="0" borderId="0" xfId="4" applyFont="1"/>
    <xf numFmtId="169" fontId="0" fillId="0" borderId="0" xfId="0" applyNumberFormat="1"/>
    <xf numFmtId="0" fontId="26"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4" fillId="0" borderId="0" xfId="0" applyFont="1" applyFill="1"/>
    <xf numFmtId="0" fontId="53" fillId="0" borderId="0" xfId="0" applyFont="1"/>
    <xf numFmtId="0" fontId="54" fillId="0" borderId="1" xfId="0" applyFont="1" applyBorder="1" applyAlignment="1">
      <alignment wrapText="1"/>
    </xf>
    <xf numFmtId="0" fontId="54" fillId="0" borderId="0" xfId="0" applyFont="1"/>
    <xf numFmtId="0" fontId="55" fillId="0" borderId="0" xfId="0" applyFont="1"/>
    <xf numFmtId="0" fontId="54"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4" fillId="0" borderId="8" xfId="0" applyFont="1" applyBorder="1" applyAlignment="1">
      <alignment wrapText="1"/>
    </xf>
    <xf numFmtId="0" fontId="54"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5" fillId="0" borderId="0" xfId="4" applyFont="1" applyFill="1" applyAlignment="1">
      <alignment horizontal="center"/>
    </xf>
    <xf numFmtId="0" fontId="37" fillId="0" borderId="0" xfId="4" applyFont="1" applyFill="1" applyAlignment="1">
      <alignment horizontal="center"/>
    </xf>
    <xf numFmtId="0" fontId="31" fillId="0" borderId="1" xfId="0" applyFont="1" applyFill="1" applyBorder="1"/>
    <xf numFmtId="2" fontId="56" fillId="0" borderId="0" xfId="0" applyNumberFormat="1" applyFont="1"/>
    <xf numFmtId="0" fontId="57" fillId="0" borderId="1" xfId="0" applyFont="1" applyBorder="1" applyAlignment="1">
      <alignment wrapText="1"/>
    </xf>
    <xf numFmtId="14" fontId="0" fillId="0" borderId="0" xfId="0" applyNumberFormat="1"/>
    <xf numFmtId="0" fontId="14" fillId="0" borderId="0" xfId="0" applyFont="1"/>
    <xf numFmtId="0" fontId="28" fillId="0" borderId="0" xfId="0" applyFont="1" applyAlignment="1">
      <alignment horizontal="center"/>
    </xf>
    <xf numFmtId="0" fontId="36" fillId="30" borderId="1" xfId="4" applyFont="1" applyFill="1" applyBorder="1" applyAlignment="1">
      <alignment horizontal="right"/>
    </xf>
    <xf numFmtId="0" fontId="26" fillId="29" borderId="1" xfId="0" applyFont="1" applyFill="1" applyBorder="1" applyAlignment="1">
      <alignment horizontal="right" vertical="center"/>
    </xf>
    <xf numFmtId="169" fontId="26" fillId="29" borderId="1" xfId="0" applyNumberFormat="1" applyFont="1" applyFill="1" applyBorder="1" applyAlignment="1">
      <alignment horizontal="center" vertical="center"/>
    </xf>
    <xf numFmtId="169" fontId="35" fillId="0" borderId="0" xfId="4" applyNumberFormat="1" applyFont="1" applyFill="1" applyBorder="1" applyAlignment="1">
      <alignment horizontal="center"/>
    </xf>
    <xf numFmtId="0" fontId="29" fillId="22" borderId="1" xfId="0" applyFont="1" applyFill="1" applyBorder="1" applyAlignment="1"/>
    <xf numFmtId="0" fontId="39" fillId="37" borderId="1" xfId="0" applyFont="1" applyFill="1" applyBorder="1" applyAlignment="1">
      <alignment horizontal="center" vertical="center"/>
    </xf>
    <xf numFmtId="0" fontId="40" fillId="37" borderId="1" xfId="0" applyFont="1" applyFill="1" applyBorder="1" applyAlignment="1">
      <alignment horizontal="center" vertical="center"/>
    </xf>
    <xf numFmtId="0" fontId="39" fillId="37" borderId="1" xfId="0" applyFont="1" applyFill="1" applyBorder="1" applyAlignment="1">
      <alignment horizontal="right" vertical="center"/>
    </xf>
    <xf numFmtId="0" fontId="47" fillId="28" borderId="1" xfId="0" applyFont="1" applyFill="1" applyBorder="1" applyAlignment="1">
      <alignment horizontal="center" vertical="center"/>
    </xf>
    <xf numFmtId="1" fontId="52" fillId="23" borderId="1" xfId="0" applyNumberFormat="1" applyFont="1" applyFill="1" applyBorder="1" applyAlignment="1">
      <alignment horizontal="left" vertical="center"/>
    </xf>
    <xf numFmtId="0" fontId="36" fillId="0" borderId="1" xfId="4" applyFont="1" applyBorder="1"/>
    <xf numFmtId="0" fontId="59" fillId="0" borderId="1" xfId="4" applyFont="1" applyFill="1" applyBorder="1"/>
    <xf numFmtId="0" fontId="0" fillId="0" borderId="0" xfId="0" applyAlignment="1">
      <alignment wrapText="1"/>
    </xf>
    <xf numFmtId="169" fontId="26" fillId="26" borderId="1" xfId="0" applyNumberFormat="1" applyFont="1" applyFill="1" applyBorder="1" applyAlignment="1">
      <alignment horizontal="center" vertical="center"/>
    </xf>
    <xf numFmtId="169" fontId="52" fillId="29" borderId="1" xfId="0" applyNumberFormat="1" applyFont="1" applyFill="1" applyBorder="1" applyAlignment="1">
      <alignment horizontal="left" vertical="center"/>
    </xf>
    <xf numFmtId="164" fontId="14" fillId="0" borderId="0" xfId="2" applyNumberFormat="1" applyFont="1"/>
    <xf numFmtId="0" fontId="60" fillId="0" borderId="0" xfId="4" applyFont="1" applyFill="1" applyBorder="1" applyAlignment="1">
      <alignment horizontal="center"/>
    </xf>
    <xf numFmtId="171" fontId="58" fillId="0" borderId="1" xfId="3" applyNumberFormat="1" applyFont="1" applyBorder="1" applyAlignment="1">
      <alignment horizontal="center"/>
    </xf>
    <xf numFmtId="0" fontId="0" fillId="0" borderId="0" xfId="0" applyAlignment="1">
      <alignment horizontal="center"/>
    </xf>
    <xf numFmtId="168" fontId="61" fillId="0" borderId="0" xfId="0" applyNumberFormat="1" applyFont="1" applyAlignment="1">
      <alignment horizontal="right"/>
    </xf>
    <xf numFmtId="169" fontId="35" fillId="0" borderId="0" xfId="4" applyNumberFormat="1" applyFont="1" applyFill="1" applyBorder="1" applyAlignment="1"/>
    <xf numFmtId="171" fontId="47" fillId="29" borderId="1" xfId="3" applyNumberFormat="1" applyFont="1" applyFill="1" applyBorder="1" applyAlignment="1">
      <alignment horizontal="right" vertical="center"/>
    </xf>
    <xf numFmtId="171" fontId="52"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2"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xf>
    <xf numFmtId="0" fontId="47" fillId="24" borderId="1" xfId="0" applyFont="1" applyFill="1" applyBorder="1" applyAlignment="1">
      <alignment horizontal="center" vertical="center"/>
    </xf>
    <xf numFmtId="14" fontId="0" fillId="0" borderId="1" xfId="0" applyNumberFormat="1" applyBorder="1" applyAlignment="1">
      <alignment horizontal="center"/>
    </xf>
    <xf numFmtId="169" fontId="36" fillId="0" borderId="1" xfId="4" applyNumberFormat="1" applyFont="1" applyFill="1" applyBorder="1" applyAlignment="1">
      <alignment horizontal="center"/>
    </xf>
    <xf numFmtId="169" fontId="35" fillId="0" borderId="1" xfId="4" applyNumberFormat="1" applyFont="1" applyFill="1" applyBorder="1" applyAlignment="1">
      <alignment horizontal="center"/>
    </xf>
    <xf numFmtId="168" fontId="35"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1" fillId="0" borderId="1" xfId="0" applyNumberFormat="1" applyFont="1" applyFill="1" applyBorder="1" applyAlignment="1">
      <alignment horizontal="center"/>
    </xf>
    <xf numFmtId="1" fontId="30"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1" fillId="0" borderId="0" xfId="0" applyNumberFormat="1" applyFont="1" applyFill="1"/>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2" fillId="0" borderId="1" xfId="0" applyFont="1"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1" fillId="0" borderId="1" xfId="0" applyFont="1" applyBorder="1"/>
    <xf numFmtId="169" fontId="62" fillId="0" borderId="1" xfId="0" applyNumberFormat="1" applyFont="1" applyBorder="1"/>
    <xf numFmtId="0" fontId="59" fillId="30" borderId="1" xfId="4" applyFont="1" applyFill="1" applyBorder="1" applyAlignment="1">
      <alignment horizontal="right"/>
    </xf>
    <xf numFmtId="0" fontId="52" fillId="26" borderId="1" xfId="0" applyFont="1" applyFill="1" applyBorder="1" applyAlignment="1">
      <alignment horizontal="left" vertical="center"/>
    </xf>
    <xf numFmtId="0" fontId="52" fillId="29" borderId="1" xfId="0" applyFont="1" applyFill="1" applyBorder="1" applyAlignment="1">
      <alignment horizontal="center" vertical="center"/>
    </xf>
    <xf numFmtId="169" fontId="52" fillId="29" borderId="1" xfId="0" applyNumberFormat="1" applyFont="1" applyFill="1" applyBorder="1" applyAlignment="1">
      <alignment horizontal="center" vertical="center"/>
    </xf>
    <xf numFmtId="168" fontId="0" fillId="0" borderId="0" xfId="0" applyNumberFormat="1"/>
    <xf numFmtId="0" fontId="63" fillId="0" borderId="1" xfId="0" applyFont="1" applyFill="1" applyBorder="1" applyAlignment="1">
      <alignment horizontal="left" vertical="center"/>
    </xf>
    <xf numFmtId="1" fontId="52" fillId="26" borderId="1" xfId="0" applyNumberFormat="1" applyFont="1" applyFill="1" applyBorder="1" applyAlignment="1">
      <alignment horizontal="left" vertical="center"/>
    </xf>
    <xf numFmtId="0" fontId="64"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4" fillId="14" borderId="1" xfId="1" applyNumberFormat="1" applyFont="1" applyFill="1" applyBorder="1"/>
    <xf numFmtId="0" fontId="27"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5" fillId="0" borderId="0" xfId="4" applyNumberFormat="1" applyFont="1" applyFill="1" applyAlignment="1">
      <alignment horizontal="center"/>
    </xf>
    <xf numFmtId="0" fontId="47" fillId="4" borderId="1" xfId="0" applyFont="1" applyFill="1" applyBorder="1" applyAlignment="1">
      <alignment horizontal="center" vertical="center"/>
    </xf>
    <xf numFmtId="0" fontId="39"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5" fillId="0" borderId="0" xfId="4" applyNumberFormat="1" applyFont="1" applyFill="1" applyAlignment="1">
      <alignment horizontal="center"/>
    </xf>
    <xf numFmtId="0" fontId="0" fillId="3" borderId="0" xfId="0" applyFill="1" applyAlignment="1">
      <alignment horizontal="center"/>
    </xf>
    <xf numFmtId="1" fontId="65" fillId="0" borderId="0" xfId="4"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39" fillId="37" borderId="13" xfId="0" applyFont="1" applyFill="1" applyBorder="1" applyAlignment="1">
      <alignment horizontal="center" vertical="center"/>
    </xf>
    <xf numFmtId="14" fontId="26"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0" fillId="0" borderId="0" xfId="0" applyNumberFormat="1" applyFont="1"/>
    <xf numFmtId="2" fontId="50" fillId="0" borderId="0" xfId="4" applyNumberFormat="1" applyFont="1"/>
    <xf numFmtId="0" fontId="35" fillId="0" borderId="1" xfId="4" applyFont="1" applyBorder="1" applyAlignment="1">
      <alignment horizontal="center"/>
    </xf>
    <xf numFmtId="0" fontId="66"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6" fillId="0" borderId="1" xfId="4" applyNumberFormat="1" applyFont="1" applyBorder="1"/>
    <xf numFmtId="170" fontId="59" fillId="0" borderId="1" xfId="4" applyNumberFormat="1" applyFont="1" applyFill="1" applyBorder="1"/>
    <xf numFmtId="170" fontId="0" fillId="0" borderId="1" xfId="0" applyNumberFormat="1" applyFont="1" applyBorder="1"/>
    <xf numFmtId="2" fontId="36" fillId="0" borderId="1" xfId="4" applyNumberFormat="1" applyFont="1" applyBorder="1"/>
    <xf numFmtId="2" fontId="59" fillId="0" borderId="1" xfId="4" applyNumberFormat="1" applyFont="1" applyFill="1" applyBorder="1"/>
    <xf numFmtId="2" fontId="0" fillId="0" borderId="1" xfId="0" applyNumberFormat="1" applyFont="1" applyBorder="1"/>
    <xf numFmtId="170" fontId="35" fillId="0" borderId="1" xfId="4" applyNumberFormat="1" applyFont="1" applyBorder="1"/>
    <xf numFmtId="2" fontId="35" fillId="0" borderId="1" xfId="4"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1" fillId="0" borderId="0" xfId="0" applyFont="1" applyAlignment="1">
      <alignment horizontal="center"/>
    </xf>
    <xf numFmtId="0" fontId="0" fillId="0" borderId="0" xfId="0" applyAlignment="1">
      <alignment horizontal="center"/>
    </xf>
    <xf numFmtId="1" fontId="52" fillId="29" borderId="1" xfId="0" applyNumberFormat="1" applyFont="1" applyFill="1" applyBorder="1" applyAlignment="1">
      <alignment horizontal="center" vertical="center"/>
    </xf>
    <xf numFmtId="1" fontId="26" fillId="29" borderId="1" xfId="0" applyNumberFormat="1" applyFont="1" applyFill="1" applyBorder="1" applyAlignment="1">
      <alignment horizontal="center" vertical="center"/>
    </xf>
    <xf numFmtId="0" fontId="66" fillId="30" borderId="1" xfId="4" applyFont="1" applyFill="1" applyBorder="1" applyAlignment="1">
      <alignment horizontal="right"/>
    </xf>
    <xf numFmtId="0" fontId="35" fillId="30" borderId="1" xfId="4" applyFont="1" applyFill="1" applyBorder="1" applyAlignment="1">
      <alignment horizontal="right"/>
    </xf>
    <xf numFmtId="0" fontId="0" fillId="0" borderId="0" xfId="0" applyAlignment="1">
      <alignment horizontal="center"/>
    </xf>
    <xf numFmtId="14" fontId="31" fillId="0" borderId="0" xfId="0" applyNumberFormat="1" applyFont="1"/>
    <xf numFmtId="1" fontId="67" fillId="0" borderId="0" xfId="4"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68" fillId="23" borderId="1" xfId="0" applyNumberFormat="1" applyFont="1" applyFill="1" applyBorder="1"/>
    <xf numFmtId="166" fontId="68" fillId="23" borderId="1" xfId="0" applyNumberFormat="1" applyFont="1" applyFill="1" applyBorder="1" applyAlignment="1">
      <alignment horizontal="center"/>
    </xf>
    <xf numFmtId="166" fontId="68" fillId="18"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4" fillId="0" borderId="0" xfId="0" applyFont="1" applyAlignment="1">
      <alignment horizontal="right"/>
    </xf>
    <xf numFmtId="166" fontId="54"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2" fillId="26" borderId="1" xfId="0" applyNumberFormat="1" applyFont="1" applyFill="1" applyBorder="1" applyAlignment="1">
      <alignment horizontal="left" vertical="center"/>
    </xf>
    <xf numFmtId="2" fontId="52" fillId="29" borderId="1" xfId="0" applyNumberFormat="1" applyFont="1" applyFill="1" applyBorder="1" applyAlignment="1">
      <alignment horizontal="left" vertical="center"/>
    </xf>
    <xf numFmtId="0" fontId="0" fillId="0" borderId="0" xfId="0" applyAlignment="1">
      <alignment horizontal="center"/>
    </xf>
    <xf numFmtId="0" fontId="69" fillId="42" borderId="0" xfId="0" applyFont="1" applyFill="1"/>
    <xf numFmtId="0" fontId="69" fillId="42" borderId="0" xfId="0" applyFont="1" applyFill="1" applyAlignment="1">
      <alignment horizontal="center"/>
    </xf>
    <xf numFmtId="0" fontId="69" fillId="9" borderId="0" xfId="0" applyFont="1" applyFill="1" applyAlignment="1">
      <alignment horizontal="center"/>
    </xf>
    <xf numFmtId="0" fontId="69" fillId="43" borderId="0" xfId="0" applyFont="1" applyFill="1" applyAlignment="1">
      <alignment horizontal="center"/>
    </xf>
    <xf numFmtId="0" fontId="69" fillId="44" borderId="0" xfId="0" applyFont="1" applyFill="1" applyAlignment="1">
      <alignment horizontal="center"/>
    </xf>
    <xf numFmtId="0" fontId="69" fillId="45" borderId="0" xfId="0" applyFont="1" applyFill="1" applyAlignment="1">
      <alignment horizontal="center"/>
    </xf>
    <xf numFmtId="0" fontId="69" fillId="46" borderId="0" xfId="0" applyFont="1" applyFill="1"/>
    <xf numFmtId="0" fontId="69"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2" fillId="29" borderId="1" xfId="2" applyFont="1" applyFill="1" applyBorder="1" applyAlignment="1">
      <alignment horizontal="center" vertical="center"/>
    </xf>
    <xf numFmtId="9" fontId="35"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6"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59" fillId="0" borderId="0" xfId="4" applyFont="1" applyAlignment="1">
      <alignment horizontal="center"/>
    </xf>
    <xf numFmtId="0" fontId="59" fillId="0" borderId="0" xfId="4" applyFont="1" applyFill="1" applyAlignment="1">
      <alignment horizontal="center"/>
    </xf>
    <xf numFmtId="0" fontId="36" fillId="0" borderId="0" xfId="4" applyFont="1" applyAlignment="1">
      <alignment horizontal="center"/>
    </xf>
    <xf numFmtId="14" fontId="59" fillId="0" borderId="0" xfId="4" applyNumberFormat="1" applyFont="1" applyAlignment="1">
      <alignment horizontal="center"/>
    </xf>
    <xf numFmtId="14" fontId="59" fillId="0" borderId="0" xfId="4" applyNumberFormat="1" applyFont="1" applyFill="1" applyAlignment="1">
      <alignment horizontal="center"/>
    </xf>
    <xf numFmtId="14" fontId="31" fillId="0" borderId="0" xfId="0" applyNumberFormat="1" applyFont="1" applyAlignment="1">
      <alignment horizontal="center"/>
    </xf>
    <xf numFmtId="14" fontId="36" fillId="0" borderId="0" xfId="4" applyNumberFormat="1" applyFont="1" applyAlignment="1">
      <alignment horizontal="center"/>
    </xf>
    <xf numFmtId="14" fontId="0" fillId="0" borderId="0" xfId="0" applyNumberFormat="1" applyFont="1" applyAlignment="1">
      <alignment horizontal="center"/>
    </xf>
    <xf numFmtId="1" fontId="71" fillId="0" borderId="0" xfId="0" applyNumberFormat="1" applyFont="1" applyFill="1" applyBorder="1"/>
    <xf numFmtId="1" fontId="49" fillId="0" borderId="0" xfId="4" applyNumberFormat="1" applyFont="1" applyFill="1" applyBorder="1"/>
    <xf numFmtId="1" fontId="48" fillId="0" borderId="0" xfId="4" applyNumberFormat="1" applyFont="1" applyFill="1" applyBorder="1"/>
    <xf numFmtId="0" fontId="26" fillId="29" borderId="8" xfId="0" applyFont="1" applyFill="1" applyBorder="1" applyAlignment="1">
      <alignment horizontal="center" vertical="center"/>
    </xf>
    <xf numFmtId="0" fontId="34" fillId="46" borderId="1" xfId="4" applyFont="1" applyFill="1" applyBorder="1" applyAlignment="1">
      <alignment horizontal="left"/>
    </xf>
    <xf numFmtId="1" fontId="48" fillId="0" borderId="1" xfId="4" applyNumberFormat="1" applyFont="1" applyFill="1" applyBorder="1" applyAlignment="1">
      <alignment horizontal="right"/>
    </xf>
    <xf numFmtId="1" fontId="71" fillId="0" borderId="1" xfId="0" applyNumberFormat="1" applyFont="1" applyFill="1" applyBorder="1"/>
    <xf numFmtId="1" fontId="48" fillId="0" borderId="1" xfId="4" applyNumberFormat="1" applyFont="1" applyFill="1" applyBorder="1"/>
    <xf numFmtId="1" fontId="70" fillId="0" borderId="1" xfId="4" applyNumberFormat="1" applyFont="1" applyFill="1" applyBorder="1" applyAlignment="1">
      <alignment horizontal="right"/>
    </xf>
    <xf numFmtId="1" fontId="70" fillId="0" borderId="1" xfId="4" applyNumberFormat="1" applyFont="1" applyFill="1" applyBorder="1"/>
    <xf numFmtId="0" fontId="0" fillId="0" borderId="0" xfId="0" applyAlignment="1">
      <alignment horizontal="center"/>
    </xf>
    <xf numFmtId="0" fontId="35" fillId="4" borderId="1" xfId="4"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2"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6" fillId="0" borderId="1" xfId="4" applyNumberFormat="1" applyFont="1" applyFill="1" applyBorder="1" applyAlignment="1">
      <alignment horizontal="center"/>
    </xf>
    <xf numFmtId="1" fontId="66" fillId="0" borderId="1" xfId="4" applyNumberFormat="1" applyFont="1" applyFill="1" applyBorder="1" applyAlignment="1">
      <alignment horizontal="right"/>
    </xf>
    <xf numFmtId="1" fontId="73" fillId="0" borderId="1" xfId="4" applyNumberFormat="1" applyFont="1" applyFill="1" applyBorder="1" applyAlignment="1">
      <alignment horizontal="right"/>
    </xf>
    <xf numFmtId="1" fontId="74" fillId="0" borderId="1" xfId="4" applyNumberFormat="1" applyFont="1" applyFill="1" applyBorder="1" applyAlignment="1">
      <alignment horizontal="right"/>
    </xf>
    <xf numFmtId="1" fontId="75" fillId="0" borderId="1" xfId="4" applyNumberFormat="1" applyFont="1" applyFill="1" applyBorder="1" applyAlignment="1">
      <alignment horizontal="right"/>
    </xf>
    <xf numFmtId="1" fontId="76" fillId="0" borderId="1" xfId="4"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1" fillId="0" borderId="15" xfId="0" applyFont="1" applyFill="1" applyBorder="1" applyAlignment="1">
      <alignment horizontal="right"/>
    </xf>
    <xf numFmtId="166" fontId="31" fillId="0" borderId="16" xfId="0" applyNumberFormat="1" applyFont="1" applyFill="1" applyBorder="1"/>
    <xf numFmtId="164" fontId="31"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69"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2" fillId="29" borderId="1" xfId="2" applyNumberFormat="1" applyFont="1" applyFill="1" applyBorder="1" applyAlignment="1">
      <alignment horizontal="center" vertical="center"/>
    </xf>
    <xf numFmtId="0" fontId="59" fillId="0" borderId="0" xfId="4" applyNumberFormat="1" applyFont="1" applyAlignment="1">
      <alignment horizontal="center"/>
    </xf>
    <xf numFmtId="169" fontId="59" fillId="0" borderId="0" xfId="4" applyNumberFormat="1" applyFont="1" applyAlignment="1">
      <alignment horizontal="center"/>
    </xf>
    <xf numFmtId="0" fontId="0" fillId="0" borderId="0" xfId="0" applyAlignment="1">
      <alignment horizontal="center"/>
    </xf>
    <xf numFmtId="0" fontId="8" fillId="0" borderId="0" xfId="0" applyFont="1" applyAlignment="1"/>
    <xf numFmtId="170" fontId="31"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77"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78" fillId="0" borderId="0" xfId="0" applyNumberFormat="1" applyFont="1" applyAlignment="1">
      <alignment vertical="center"/>
    </xf>
    <xf numFmtId="2" fontId="0" fillId="3" borderId="0" xfId="0" applyNumberFormat="1" applyFill="1"/>
    <xf numFmtId="169" fontId="77" fillId="12" borderId="0" xfId="0" applyNumberFormat="1" applyFont="1" applyFill="1"/>
    <xf numFmtId="0" fontId="0" fillId="0" borderId="0" xfId="0" applyAlignment="1">
      <alignment horizontal="center"/>
    </xf>
    <xf numFmtId="9" fontId="39" fillId="37" borderId="1" xfId="0" applyNumberFormat="1" applyFont="1" applyFill="1" applyBorder="1" applyAlignment="1">
      <alignment horizontal="center" vertical="center"/>
    </xf>
    <xf numFmtId="0" fontId="39" fillId="9" borderId="1" xfId="0" applyFont="1" applyFill="1" applyBorder="1" applyAlignment="1">
      <alignment horizontal="center" vertical="center"/>
    </xf>
    <xf numFmtId="9" fontId="39"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39" fillId="9" borderId="13" xfId="0" applyFont="1" applyFill="1" applyBorder="1" applyAlignment="1">
      <alignment horizontal="center" vertical="center"/>
    </xf>
    <xf numFmtId="0" fontId="0" fillId="0" borderId="0" xfId="0" applyAlignment="1">
      <alignment horizontal="center"/>
    </xf>
    <xf numFmtId="9" fontId="39"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3" fillId="39" borderId="1" xfId="0" applyFont="1" applyFill="1" applyBorder="1" applyAlignment="1">
      <alignment horizontal="center" vertical="top" wrapText="1"/>
    </xf>
    <xf numFmtId="166" fontId="0" fillId="10" borderId="0" xfId="0" applyNumberFormat="1" applyFill="1" applyAlignment="1">
      <alignment horizontal="center"/>
    </xf>
    <xf numFmtId="0" fontId="26"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2" fillId="29" borderId="1" xfId="3" applyNumberFormat="1" applyFont="1" applyFill="1" applyBorder="1" applyAlignment="1">
      <alignment horizontal="left" vertical="center"/>
    </xf>
    <xf numFmtId="168" fontId="26" fillId="29" borderId="1" xfId="3" applyNumberFormat="1" applyFont="1" applyFill="1" applyBorder="1" applyAlignment="1">
      <alignment horizontal="right" vertical="center"/>
    </xf>
    <xf numFmtId="169" fontId="49"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59" fillId="10" borderId="1" xfId="4" applyFont="1" applyFill="1" applyBorder="1" applyAlignment="1">
      <alignment horizontal="right"/>
    </xf>
    <xf numFmtId="0" fontId="36" fillId="10" borderId="1" xfId="4" applyFont="1" applyFill="1" applyBorder="1" applyAlignment="1">
      <alignment horizontal="right"/>
    </xf>
    <xf numFmtId="0" fontId="0" fillId="0" borderId="0" xfId="0" applyAlignment="1">
      <alignment horizontal="center"/>
    </xf>
    <xf numFmtId="2" fontId="28" fillId="0" borderId="0" xfId="0" applyNumberFormat="1" applyFont="1"/>
    <xf numFmtId="0" fontId="79" fillId="0" borderId="0" xfId="0" applyFont="1" applyAlignment="1">
      <alignment horizontal="center"/>
    </xf>
    <xf numFmtId="0" fontId="79" fillId="0" borderId="0" xfId="0" applyFont="1"/>
    <xf numFmtId="14" fontId="79" fillId="0" borderId="0" xfId="0" applyNumberFormat="1" applyFont="1"/>
    <xf numFmtId="0" fontId="80" fillId="0" borderId="0" xfId="0"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1" fillId="15" borderId="1" xfId="0" applyFont="1" applyFill="1" applyBorder="1"/>
    <xf numFmtId="0" fontId="31"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8" fillId="0" borderId="0" xfId="0" applyNumberFormat="1" applyFont="1"/>
    <xf numFmtId="14" fontId="52" fillId="29" borderId="1" xfId="0" applyNumberFormat="1" applyFont="1" applyFill="1" applyBorder="1" applyAlignment="1">
      <alignment horizontal="center" vertical="center"/>
    </xf>
    <xf numFmtId="2" fontId="52"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NumberFormat="1" applyAlignment="1">
      <alignment horizontal="center"/>
    </xf>
    <xf numFmtId="0" fontId="81" fillId="0" borderId="0" xfId="0" applyFont="1" applyAlignment="1">
      <alignment horizontal="center"/>
    </xf>
    <xf numFmtId="0" fontId="81" fillId="0" borderId="0" xfId="0" applyFont="1"/>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82" fillId="0" borderId="1" xfId="0" applyFont="1" applyFill="1" applyBorder="1" applyAlignment="1">
      <alignment horizontal="left" vertical="center"/>
    </xf>
    <xf numFmtId="0" fontId="83" fillId="0" borderId="1" xfId="0" applyFont="1" applyFill="1" applyBorder="1" applyAlignment="1">
      <alignment horizontal="left" vertical="center"/>
    </xf>
    <xf numFmtId="169" fontId="30" fillId="0" borderId="0" xfId="0" applyNumberFormat="1" applyFont="1"/>
    <xf numFmtId="0" fontId="0" fillId="0" borderId="0" xfId="0" applyAlignment="1">
      <alignment horizontal="center"/>
    </xf>
    <xf numFmtId="0" fontId="0" fillId="0" borderId="0" xfId="0" applyAlignment="1">
      <alignment horizontal="center"/>
    </xf>
    <xf numFmtId="168" fontId="84" fillId="29" borderId="1" xfId="3" applyNumberFormat="1" applyFont="1" applyFill="1" applyBorder="1" applyAlignment="1">
      <alignment horizontal="right" vertical="center"/>
    </xf>
    <xf numFmtId="168" fontId="85" fillId="29" borderId="1" xfId="3" applyNumberFormat="1" applyFont="1" applyFill="1" applyBorder="1" applyAlignment="1">
      <alignment horizontal="right" vertical="center"/>
    </xf>
    <xf numFmtId="0" fontId="49" fillId="0" borderId="0" xfId="4" applyNumberFormat="1" applyFont="1" applyFill="1"/>
    <xf numFmtId="168" fontId="52" fillId="29" borderId="1" xfId="3" applyNumberFormat="1" applyFont="1" applyFill="1" applyBorder="1" applyAlignment="1">
      <alignment horizontal="center" vertical="center"/>
    </xf>
    <xf numFmtId="0" fontId="59" fillId="23" borderId="1" xfId="4" applyFont="1" applyFill="1" applyBorder="1" applyAlignment="1">
      <alignment horizontal="right"/>
    </xf>
    <xf numFmtId="0" fontId="39" fillId="37" borderId="0" xfId="0" applyFont="1" applyFill="1" applyBorder="1" applyAlignment="1">
      <alignment horizontal="center" vertical="center"/>
    </xf>
    <xf numFmtId="168" fontId="52" fillId="29" borderId="0" xfId="3" applyNumberFormat="1" applyFont="1" applyFill="1" applyBorder="1" applyAlignment="1">
      <alignment horizontal="right" vertical="center"/>
    </xf>
    <xf numFmtId="168" fontId="26" fillId="29" borderId="0" xfId="3" applyNumberFormat="1" applyFont="1" applyFill="1" applyBorder="1" applyAlignment="1">
      <alignment horizontal="right" vertical="center"/>
    </xf>
    <xf numFmtId="168" fontId="85" fillId="29" borderId="0" xfId="3" applyNumberFormat="1" applyFont="1" applyFill="1" applyBorder="1" applyAlignment="1">
      <alignment horizontal="right" vertical="center"/>
    </xf>
    <xf numFmtId="14" fontId="0" fillId="0" borderId="1" xfId="0" applyNumberFormat="1" applyBorder="1" applyAlignment="1">
      <alignment horizontal="center"/>
    </xf>
    <xf numFmtId="0" fontId="33" fillId="2" borderId="0" xfId="0" applyFont="1" applyFill="1" applyAlignment="1">
      <alignment horizontal="center" wrapText="1"/>
    </xf>
    <xf numFmtId="0" fontId="23" fillId="32" borderId="0" xfId="0" applyFont="1" applyFill="1" applyAlignment="1">
      <alignment horizontal="center" wrapText="1"/>
    </xf>
    <xf numFmtId="0" fontId="23" fillId="33" borderId="0" xfId="0" applyFont="1" applyFill="1" applyAlignment="1">
      <alignment horizontal="center" wrapText="1"/>
    </xf>
    <xf numFmtId="0" fontId="23" fillId="34" borderId="0" xfId="0" applyFont="1" applyFill="1" applyAlignment="1">
      <alignment horizontal="center" wrapText="1"/>
    </xf>
    <xf numFmtId="0" fontId="23" fillId="35" borderId="0" xfId="0" applyFont="1" applyFill="1" applyAlignment="1">
      <alignment horizontal="center" wrapText="1"/>
    </xf>
    <xf numFmtId="0" fontId="23" fillId="36" borderId="0" xfId="0" applyFont="1" applyFill="1" applyAlignment="1">
      <alignment horizontal="center" wrapText="1"/>
    </xf>
    <xf numFmtId="0" fontId="41" fillId="38" borderId="1" xfId="0" applyFont="1" applyFill="1" applyBorder="1" applyAlignment="1">
      <alignment horizontal="center" vertical="top" wrapText="1"/>
    </xf>
    <xf numFmtId="0" fontId="42" fillId="39" borderId="1" xfId="0" applyFont="1" applyFill="1" applyBorder="1" applyAlignment="1">
      <alignment horizontal="center" vertical="top" wrapText="1"/>
    </xf>
    <xf numFmtId="0" fontId="43"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0" fillId="0" borderId="0" xfId="0" applyAlignment="1">
      <alignment wrapText="1"/>
    </xf>
    <xf numFmtId="0" fontId="2" fillId="30" borderId="16" xfId="0" applyFont="1" applyFill="1" applyBorder="1" applyAlignment="1">
      <alignment horizontal="center" vertical="top" wrapText="1"/>
    </xf>
    <xf numFmtId="0" fontId="22" fillId="3" borderId="3" xfId="0" applyFont="1" applyFill="1" applyBorder="1" applyAlignment="1">
      <alignment horizontal="center"/>
    </xf>
    <xf numFmtId="0" fontId="22" fillId="3" borderId="4" xfId="0" applyFont="1" applyFill="1" applyBorder="1" applyAlignment="1">
      <alignment horizontal="center"/>
    </xf>
    <xf numFmtId="0" fontId="22" fillId="3" borderId="5"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5" fillId="26" borderId="1" xfId="0" applyFont="1" applyFill="1" applyBorder="1" applyAlignment="1">
      <alignment horizontal="left" vertical="top" wrapText="1" indent="1"/>
    </xf>
  </cellXfs>
  <cellStyles count="5">
    <cellStyle name="Excel Built-in Normal" xfId="4" xr:uid="{00000000-0005-0000-0000-000000000000}"/>
    <cellStyle name="Millares" xfId="3" builtinId="3"/>
    <cellStyle name="Moneda" xfId="1" builtinId="4"/>
    <cellStyle name="Normal" xfId="0" builtinId="0"/>
    <cellStyle name="Porcentaje" xfId="2" builtinId="5"/>
  </cellStyles>
  <dxfs count="171">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extLst>
            <c:ext xmlns:c16="http://schemas.microsoft.com/office/drawing/2014/chart" uri="{C3380CC4-5D6E-409C-BE32-E72D297353CC}">
              <c16:uniqueId val="{00000000-67EB-4F3C-9113-6B3533C12C7E}"/>
            </c:ext>
          </c:extLst>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extLst>
            <c:ext xmlns:c16="http://schemas.microsoft.com/office/drawing/2014/chart" uri="{C3380CC4-5D6E-409C-BE32-E72D297353CC}">
              <c16:uniqueId val="{00000001-67EB-4F3C-9113-6B3533C12C7E}"/>
            </c:ext>
          </c:extLst>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extLst>
            <c:ext xmlns:c16="http://schemas.microsoft.com/office/drawing/2014/chart" uri="{C3380CC4-5D6E-409C-BE32-E72D297353CC}">
              <c16:uniqueId val="{00000002-67EB-4F3C-9113-6B3533C12C7E}"/>
            </c:ext>
          </c:extLst>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extLst>
            <c:ext xmlns:c16="http://schemas.microsoft.com/office/drawing/2014/chart" uri="{C3380CC4-5D6E-409C-BE32-E72D297353CC}">
              <c16:uniqueId val="{00000003-67EB-4F3C-9113-6B3533C12C7E}"/>
            </c:ext>
          </c:extLst>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extLst>
            <c:ext xmlns:c16="http://schemas.microsoft.com/office/drawing/2014/chart" uri="{C3380CC4-5D6E-409C-BE32-E72D297353CC}">
              <c16:uniqueId val="{00000004-67EB-4F3C-9113-6B3533C12C7E}"/>
            </c:ext>
          </c:extLst>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extLst>
            <c:ext xmlns:c16="http://schemas.microsoft.com/office/drawing/2014/chart" uri="{C3380CC4-5D6E-409C-BE32-E72D297353CC}">
              <c16:uniqueId val="{00000005-67EB-4F3C-9113-6B3533C12C7E}"/>
            </c:ext>
          </c:extLst>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extLst>
            <c:ext xmlns:c16="http://schemas.microsoft.com/office/drawing/2014/chart" uri="{C3380CC4-5D6E-409C-BE32-E72D297353CC}">
              <c16:uniqueId val="{00000006-67EB-4F3C-9113-6B3533C12C7E}"/>
            </c:ext>
          </c:extLst>
        </c:ser>
        <c:dLbls>
          <c:showLegendKey val="0"/>
          <c:showVal val="0"/>
          <c:showCatName val="0"/>
          <c:showSerName val="0"/>
          <c:showPercent val="0"/>
          <c:showBubbleSize val="0"/>
        </c:dLbls>
        <c:gapWidth val="150"/>
        <c:overlap val="100"/>
        <c:axId val="300626240"/>
        <c:axId val="300620360"/>
      </c:barChart>
      <c:catAx>
        <c:axId val="300626240"/>
        <c:scaling>
          <c:orientation val="minMax"/>
        </c:scaling>
        <c:delete val="0"/>
        <c:axPos val="b"/>
        <c:numFmt formatCode="General" sourceLinked="1"/>
        <c:majorTickMark val="out"/>
        <c:minorTickMark val="none"/>
        <c:tickLblPos val="nextTo"/>
        <c:crossAx val="300620360"/>
        <c:crosses val="autoZero"/>
        <c:auto val="1"/>
        <c:lblAlgn val="ctr"/>
        <c:lblOffset val="100"/>
        <c:noMultiLvlLbl val="0"/>
      </c:catAx>
      <c:valAx>
        <c:axId val="300620360"/>
        <c:scaling>
          <c:orientation val="minMax"/>
        </c:scaling>
        <c:delete val="0"/>
        <c:axPos val="l"/>
        <c:majorGridlines/>
        <c:numFmt formatCode="_-* #,##0\ [$€-C0A]_-;\-* #,##0\ [$€-C0A]_-;_-* &quot;-&quot;??\ [$€-C0A]_-;_-@_-" sourceLinked="1"/>
        <c:majorTickMark val="out"/>
        <c:minorTickMark val="none"/>
        <c:tickLblPos val="nextTo"/>
        <c:crossAx val="300626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extLst>
            <c:ext xmlns:c16="http://schemas.microsoft.com/office/drawing/2014/chart" uri="{C3380CC4-5D6E-409C-BE32-E72D297353CC}">
              <c16:uniqueId val="{00000000-DFDD-4ACB-B11C-4BE3E5CB6458}"/>
            </c:ext>
          </c:extLst>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extLst>
            <c:ext xmlns:c16="http://schemas.microsoft.com/office/drawing/2014/chart" uri="{C3380CC4-5D6E-409C-BE32-E72D297353CC}">
              <c16:uniqueId val="{00000001-DFDD-4ACB-B11C-4BE3E5CB6458}"/>
            </c:ext>
          </c:extLst>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extLst>
            <c:ext xmlns:c16="http://schemas.microsoft.com/office/drawing/2014/chart" uri="{C3380CC4-5D6E-409C-BE32-E72D297353CC}">
              <c16:uniqueId val="{00000002-DFDD-4ACB-B11C-4BE3E5CB6458}"/>
            </c:ext>
          </c:extLst>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extLst>
            <c:ext xmlns:c16="http://schemas.microsoft.com/office/drawing/2014/chart" uri="{C3380CC4-5D6E-409C-BE32-E72D297353CC}">
              <c16:uniqueId val="{00000003-DFDD-4ACB-B11C-4BE3E5CB6458}"/>
            </c:ext>
          </c:extLst>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extLst>
            <c:ext xmlns:c16="http://schemas.microsoft.com/office/drawing/2014/chart" uri="{C3380CC4-5D6E-409C-BE32-E72D297353CC}">
              <c16:uniqueId val="{00000004-DFDD-4ACB-B11C-4BE3E5CB6458}"/>
            </c:ext>
          </c:extLst>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extLst>
            <c:ext xmlns:c16="http://schemas.microsoft.com/office/drawing/2014/chart" uri="{C3380CC4-5D6E-409C-BE32-E72D297353CC}">
              <c16:uniqueId val="{00000005-DFDD-4ACB-B11C-4BE3E5CB6458}"/>
            </c:ext>
          </c:extLst>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extLst>
            <c:ext xmlns:c16="http://schemas.microsoft.com/office/drawing/2014/chart" uri="{C3380CC4-5D6E-409C-BE32-E72D297353CC}">
              <c16:uniqueId val="{00000006-DFDD-4ACB-B11C-4BE3E5CB6458}"/>
            </c:ext>
          </c:extLst>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extLst>
            <c:ext xmlns:c16="http://schemas.microsoft.com/office/drawing/2014/chart" uri="{C3380CC4-5D6E-409C-BE32-E72D297353CC}">
              <c16:uniqueId val="{00000007-DFDD-4ACB-B11C-4BE3E5CB6458}"/>
            </c:ext>
          </c:extLst>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extLst>
            <c:ext xmlns:c16="http://schemas.microsoft.com/office/drawing/2014/chart" uri="{C3380CC4-5D6E-409C-BE32-E72D297353CC}">
              <c16:uniqueId val="{00000008-DFDD-4ACB-B11C-4BE3E5CB6458}"/>
            </c:ext>
          </c:extLst>
        </c:ser>
        <c:dLbls>
          <c:showLegendKey val="0"/>
          <c:showVal val="0"/>
          <c:showCatName val="0"/>
          <c:showSerName val="0"/>
          <c:showPercent val="0"/>
          <c:showBubbleSize val="0"/>
        </c:dLbls>
        <c:gapWidth val="150"/>
        <c:overlap val="100"/>
        <c:axId val="300627024"/>
        <c:axId val="300622712"/>
      </c:barChart>
      <c:catAx>
        <c:axId val="300627024"/>
        <c:scaling>
          <c:orientation val="minMax"/>
        </c:scaling>
        <c:delete val="0"/>
        <c:axPos val="b"/>
        <c:numFmt formatCode="General" sourceLinked="1"/>
        <c:majorTickMark val="out"/>
        <c:minorTickMark val="none"/>
        <c:tickLblPos val="nextTo"/>
        <c:crossAx val="300622712"/>
        <c:crosses val="autoZero"/>
        <c:auto val="1"/>
        <c:lblAlgn val="ctr"/>
        <c:lblOffset val="100"/>
        <c:noMultiLvlLbl val="0"/>
      </c:catAx>
      <c:valAx>
        <c:axId val="300622712"/>
        <c:scaling>
          <c:orientation val="minMax"/>
        </c:scaling>
        <c:delete val="0"/>
        <c:axPos val="l"/>
        <c:majorGridlines/>
        <c:numFmt formatCode="_-* #,##0\ [$€-C0A]_-;\-* #,##0\ [$€-C0A]_-;_-* &quot;-&quot;??\ [$€-C0A]_-;_-@_-" sourceLinked="1"/>
        <c:majorTickMark val="out"/>
        <c:minorTickMark val="none"/>
        <c:tickLblPos val="nextTo"/>
        <c:crossAx val="3006270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extLst>
            <c:ext xmlns:c16="http://schemas.microsoft.com/office/drawing/2014/chart" uri="{C3380CC4-5D6E-409C-BE32-E72D297353CC}">
              <c16:uniqueId val="{00000000-27D7-4757-AC26-4D33D2778C91}"/>
            </c:ext>
          </c:extLst>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extLst>
            <c:ext xmlns:c16="http://schemas.microsoft.com/office/drawing/2014/chart" uri="{C3380CC4-5D6E-409C-BE32-E72D297353CC}">
              <c16:uniqueId val="{00000001-27D7-4757-AC26-4D33D2778C91}"/>
            </c:ext>
          </c:extLst>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extLst>
            <c:ext xmlns:c16="http://schemas.microsoft.com/office/drawing/2014/chart" uri="{C3380CC4-5D6E-409C-BE32-E72D297353CC}">
              <c16:uniqueId val="{00000002-27D7-4757-AC26-4D33D2778C91}"/>
            </c:ext>
          </c:extLst>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extLst>
            <c:ext xmlns:c16="http://schemas.microsoft.com/office/drawing/2014/chart" uri="{C3380CC4-5D6E-409C-BE32-E72D297353CC}">
              <c16:uniqueId val="{00000003-27D7-4757-AC26-4D33D2778C91}"/>
            </c:ext>
          </c:extLst>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extLst>
            <c:ext xmlns:c16="http://schemas.microsoft.com/office/drawing/2014/chart" uri="{C3380CC4-5D6E-409C-BE32-E72D297353CC}">
              <c16:uniqueId val="{00000004-27D7-4757-AC26-4D33D2778C91}"/>
            </c:ext>
          </c:extLst>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extLst>
            <c:ext xmlns:c16="http://schemas.microsoft.com/office/drawing/2014/chart" uri="{C3380CC4-5D6E-409C-BE32-E72D297353CC}">
              <c16:uniqueId val="{00000005-27D7-4757-AC26-4D33D2778C91}"/>
            </c:ext>
          </c:extLst>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extLst>
            <c:ext xmlns:c16="http://schemas.microsoft.com/office/drawing/2014/chart" uri="{C3380CC4-5D6E-409C-BE32-E72D297353CC}">
              <c16:uniqueId val="{00000006-27D7-4757-AC26-4D33D2778C91}"/>
            </c:ext>
          </c:extLst>
        </c:ser>
        <c:dLbls>
          <c:showLegendKey val="0"/>
          <c:showVal val="0"/>
          <c:showCatName val="0"/>
          <c:showSerName val="0"/>
          <c:showPercent val="0"/>
          <c:showBubbleSize val="0"/>
        </c:dLbls>
        <c:gapWidth val="150"/>
        <c:overlap val="100"/>
        <c:axId val="300620752"/>
        <c:axId val="300623104"/>
      </c:barChart>
      <c:catAx>
        <c:axId val="300620752"/>
        <c:scaling>
          <c:orientation val="minMax"/>
        </c:scaling>
        <c:delete val="0"/>
        <c:axPos val="b"/>
        <c:numFmt formatCode="General" sourceLinked="1"/>
        <c:majorTickMark val="out"/>
        <c:minorTickMark val="none"/>
        <c:tickLblPos val="nextTo"/>
        <c:crossAx val="300623104"/>
        <c:crosses val="autoZero"/>
        <c:auto val="1"/>
        <c:lblAlgn val="ctr"/>
        <c:lblOffset val="100"/>
        <c:noMultiLvlLbl val="0"/>
      </c:catAx>
      <c:valAx>
        <c:axId val="300623104"/>
        <c:scaling>
          <c:orientation val="minMax"/>
        </c:scaling>
        <c:delete val="0"/>
        <c:axPos val="l"/>
        <c:majorGridlines/>
        <c:numFmt formatCode="_-* #,##0\ [$€-C0A]_-;\-* #,##0\ [$€-C0A]_-;_-* &quot;-&quot;??\ [$€-C0A]_-;_-@_-" sourceLinked="1"/>
        <c:majorTickMark val="out"/>
        <c:minorTickMark val="none"/>
        <c:tickLblPos val="nextTo"/>
        <c:crossAx val="300620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extLst>
            <c:ext xmlns:c16="http://schemas.microsoft.com/office/drawing/2014/chart" uri="{C3380CC4-5D6E-409C-BE32-E72D297353CC}">
              <c16:uniqueId val="{00000000-E161-411B-9207-266263243D5D}"/>
            </c:ext>
          </c:extLst>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extLst>
            <c:ext xmlns:c16="http://schemas.microsoft.com/office/drawing/2014/chart" uri="{C3380CC4-5D6E-409C-BE32-E72D297353CC}">
              <c16:uniqueId val="{00000001-E161-411B-9207-266263243D5D}"/>
            </c:ext>
          </c:extLst>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extLst>
            <c:ext xmlns:c16="http://schemas.microsoft.com/office/drawing/2014/chart" uri="{C3380CC4-5D6E-409C-BE32-E72D297353CC}">
              <c16:uniqueId val="{00000002-E161-411B-9207-266263243D5D}"/>
            </c:ext>
          </c:extLst>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extLst>
            <c:ext xmlns:c16="http://schemas.microsoft.com/office/drawing/2014/chart" uri="{C3380CC4-5D6E-409C-BE32-E72D297353CC}">
              <c16:uniqueId val="{00000003-E161-411B-9207-266263243D5D}"/>
            </c:ext>
          </c:extLst>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extLst>
            <c:ext xmlns:c16="http://schemas.microsoft.com/office/drawing/2014/chart" uri="{C3380CC4-5D6E-409C-BE32-E72D297353CC}">
              <c16:uniqueId val="{00000004-E161-411B-9207-266263243D5D}"/>
            </c:ext>
          </c:extLst>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extLst>
            <c:ext xmlns:c16="http://schemas.microsoft.com/office/drawing/2014/chart" uri="{C3380CC4-5D6E-409C-BE32-E72D297353CC}">
              <c16:uniqueId val="{00000005-E161-411B-9207-266263243D5D}"/>
            </c:ext>
          </c:extLst>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extLst>
            <c:ext xmlns:c16="http://schemas.microsoft.com/office/drawing/2014/chart" uri="{C3380CC4-5D6E-409C-BE32-E72D297353CC}">
              <c16:uniqueId val="{00000006-E161-411B-9207-266263243D5D}"/>
            </c:ext>
          </c:extLst>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extLst>
            <c:ext xmlns:c16="http://schemas.microsoft.com/office/drawing/2014/chart" uri="{C3380CC4-5D6E-409C-BE32-E72D297353CC}">
              <c16:uniqueId val="{00000007-E161-411B-9207-266263243D5D}"/>
            </c:ext>
          </c:extLst>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extLst>
            <c:ext xmlns:c16="http://schemas.microsoft.com/office/drawing/2014/chart" uri="{C3380CC4-5D6E-409C-BE32-E72D297353CC}">
              <c16:uniqueId val="{00000008-E161-411B-9207-266263243D5D}"/>
            </c:ext>
          </c:extLst>
        </c:ser>
        <c:dLbls>
          <c:showLegendKey val="0"/>
          <c:showVal val="0"/>
          <c:showCatName val="0"/>
          <c:showSerName val="0"/>
          <c:showPercent val="0"/>
          <c:showBubbleSize val="0"/>
        </c:dLbls>
        <c:gapWidth val="150"/>
        <c:overlap val="100"/>
        <c:axId val="300624672"/>
        <c:axId val="282070712"/>
      </c:barChart>
      <c:catAx>
        <c:axId val="300624672"/>
        <c:scaling>
          <c:orientation val="minMax"/>
        </c:scaling>
        <c:delete val="0"/>
        <c:axPos val="b"/>
        <c:numFmt formatCode="General" sourceLinked="1"/>
        <c:majorTickMark val="out"/>
        <c:minorTickMark val="none"/>
        <c:tickLblPos val="nextTo"/>
        <c:crossAx val="282070712"/>
        <c:crosses val="autoZero"/>
        <c:auto val="1"/>
        <c:lblAlgn val="ctr"/>
        <c:lblOffset val="100"/>
        <c:noMultiLvlLbl val="0"/>
      </c:catAx>
      <c:valAx>
        <c:axId val="282070712"/>
        <c:scaling>
          <c:orientation val="minMax"/>
        </c:scaling>
        <c:delete val="0"/>
        <c:axPos val="l"/>
        <c:majorGridlines/>
        <c:numFmt formatCode="_-* #,##0\ [$€-C0A]_-;\-* #,##0\ [$€-C0A]_-;_-* &quot;-&quot;??\ [$€-C0A]_-;_-@_-" sourceLinked="1"/>
        <c:majorTickMark val="out"/>
        <c:minorTickMark val="none"/>
        <c:tickLblPos val="nextTo"/>
        <c:crossAx val="300624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extLst>
            <c:ext xmlns:c16="http://schemas.microsoft.com/office/drawing/2014/chart" uri="{C3380CC4-5D6E-409C-BE32-E72D297353CC}">
              <c16:uniqueId val="{00000000-1DED-4817-8725-28119235A817}"/>
            </c:ext>
          </c:extLst>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extLst>
            <c:ext xmlns:c16="http://schemas.microsoft.com/office/drawing/2014/chart" uri="{C3380CC4-5D6E-409C-BE32-E72D297353CC}">
              <c16:uniqueId val="{00000001-1DED-4817-8725-28119235A817}"/>
            </c:ext>
          </c:extLst>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extLst>
            <c:ext xmlns:c16="http://schemas.microsoft.com/office/drawing/2014/chart" uri="{C3380CC4-5D6E-409C-BE32-E72D297353CC}">
              <c16:uniqueId val="{00000002-1DED-4817-8725-28119235A817}"/>
            </c:ext>
          </c:extLst>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extLst>
            <c:ext xmlns:c16="http://schemas.microsoft.com/office/drawing/2014/chart" uri="{C3380CC4-5D6E-409C-BE32-E72D297353CC}">
              <c16:uniqueId val="{00000003-1DED-4817-8725-28119235A817}"/>
            </c:ext>
          </c:extLst>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extLst>
            <c:ext xmlns:c16="http://schemas.microsoft.com/office/drawing/2014/chart" uri="{C3380CC4-5D6E-409C-BE32-E72D297353CC}">
              <c16:uniqueId val="{00000004-1DED-4817-8725-28119235A817}"/>
            </c:ext>
          </c:extLst>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extLst>
            <c:ext xmlns:c16="http://schemas.microsoft.com/office/drawing/2014/chart" uri="{C3380CC4-5D6E-409C-BE32-E72D297353CC}">
              <c16:uniqueId val="{00000005-1DED-4817-8725-28119235A817}"/>
            </c:ext>
          </c:extLst>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extLst>
            <c:ext xmlns:c16="http://schemas.microsoft.com/office/drawing/2014/chart" uri="{C3380CC4-5D6E-409C-BE32-E72D297353CC}">
              <c16:uniqueId val="{00000006-1DED-4817-8725-28119235A817}"/>
            </c:ext>
          </c:extLst>
        </c:ser>
        <c:dLbls>
          <c:showLegendKey val="0"/>
          <c:showVal val="0"/>
          <c:showCatName val="0"/>
          <c:showSerName val="0"/>
          <c:showPercent val="0"/>
          <c:showBubbleSize val="0"/>
        </c:dLbls>
        <c:gapWidth val="150"/>
        <c:overlap val="100"/>
        <c:axId val="302766656"/>
        <c:axId val="302765872"/>
      </c:barChart>
      <c:catAx>
        <c:axId val="302766656"/>
        <c:scaling>
          <c:orientation val="minMax"/>
        </c:scaling>
        <c:delete val="0"/>
        <c:axPos val="b"/>
        <c:numFmt formatCode="General" sourceLinked="1"/>
        <c:majorTickMark val="out"/>
        <c:minorTickMark val="none"/>
        <c:tickLblPos val="nextTo"/>
        <c:crossAx val="302765872"/>
        <c:crosses val="autoZero"/>
        <c:auto val="1"/>
        <c:lblAlgn val="ctr"/>
        <c:lblOffset val="100"/>
        <c:noMultiLvlLbl val="0"/>
      </c:catAx>
      <c:valAx>
        <c:axId val="302765872"/>
        <c:scaling>
          <c:orientation val="minMax"/>
        </c:scaling>
        <c:delete val="0"/>
        <c:axPos val="l"/>
        <c:majorGridlines/>
        <c:numFmt formatCode="_-* #,##0\ [$€-C0A]_-;\-* #,##0\ [$€-C0A]_-;_-* &quot;-&quot;??\ [$€-C0A]_-;_-@_-" sourceLinked="1"/>
        <c:majorTickMark val="out"/>
        <c:minorTickMark val="none"/>
        <c:tickLblPos val="nextTo"/>
        <c:crossAx val="302766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extLst>
            <c:ext xmlns:c16="http://schemas.microsoft.com/office/drawing/2014/chart" uri="{C3380CC4-5D6E-409C-BE32-E72D297353CC}">
              <c16:uniqueId val="{00000000-7EC1-4B9F-A410-1823BB9DD949}"/>
            </c:ext>
          </c:extLst>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extLst>
            <c:ext xmlns:c16="http://schemas.microsoft.com/office/drawing/2014/chart" uri="{C3380CC4-5D6E-409C-BE32-E72D297353CC}">
              <c16:uniqueId val="{00000001-7EC1-4B9F-A410-1823BB9DD949}"/>
            </c:ext>
          </c:extLst>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extLst>
            <c:ext xmlns:c16="http://schemas.microsoft.com/office/drawing/2014/chart" uri="{C3380CC4-5D6E-409C-BE32-E72D297353CC}">
              <c16:uniqueId val="{00000002-7EC1-4B9F-A410-1823BB9DD949}"/>
            </c:ext>
          </c:extLst>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extLst>
            <c:ext xmlns:c16="http://schemas.microsoft.com/office/drawing/2014/chart" uri="{C3380CC4-5D6E-409C-BE32-E72D297353CC}">
              <c16:uniqueId val="{00000003-7EC1-4B9F-A410-1823BB9DD949}"/>
            </c:ext>
          </c:extLst>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extLst>
            <c:ext xmlns:c16="http://schemas.microsoft.com/office/drawing/2014/chart" uri="{C3380CC4-5D6E-409C-BE32-E72D297353CC}">
              <c16:uniqueId val="{00000004-7EC1-4B9F-A410-1823BB9DD949}"/>
            </c:ext>
          </c:extLst>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extLst>
            <c:ext xmlns:c16="http://schemas.microsoft.com/office/drawing/2014/chart" uri="{C3380CC4-5D6E-409C-BE32-E72D297353CC}">
              <c16:uniqueId val="{00000005-7EC1-4B9F-A410-1823BB9DD949}"/>
            </c:ext>
          </c:extLst>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extLst>
            <c:ext xmlns:c16="http://schemas.microsoft.com/office/drawing/2014/chart" uri="{C3380CC4-5D6E-409C-BE32-E72D297353CC}">
              <c16:uniqueId val="{00000006-7EC1-4B9F-A410-1823BB9DD949}"/>
            </c:ext>
          </c:extLst>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extLst>
            <c:ext xmlns:c16="http://schemas.microsoft.com/office/drawing/2014/chart" uri="{C3380CC4-5D6E-409C-BE32-E72D297353CC}">
              <c16:uniqueId val="{00000007-7EC1-4B9F-A410-1823BB9DD949}"/>
            </c:ext>
          </c:extLst>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extLst>
            <c:ext xmlns:c16="http://schemas.microsoft.com/office/drawing/2014/chart" uri="{C3380CC4-5D6E-409C-BE32-E72D297353CC}">
              <c16:uniqueId val="{00000008-7EC1-4B9F-A410-1823BB9DD949}"/>
            </c:ext>
          </c:extLst>
        </c:ser>
        <c:dLbls>
          <c:showLegendKey val="0"/>
          <c:showVal val="0"/>
          <c:showCatName val="0"/>
          <c:showSerName val="0"/>
          <c:showPercent val="0"/>
          <c:showBubbleSize val="0"/>
        </c:dLbls>
        <c:gapWidth val="150"/>
        <c:overlap val="100"/>
        <c:axId val="302764696"/>
        <c:axId val="302765088"/>
      </c:barChart>
      <c:catAx>
        <c:axId val="302764696"/>
        <c:scaling>
          <c:orientation val="minMax"/>
        </c:scaling>
        <c:delete val="0"/>
        <c:axPos val="b"/>
        <c:numFmt formatCode="General" sourceLinked="1"/>
        <c:majorTickMark val="out"/>
        <c:minorTickMark val="none"/>
        <c:tickLblPos val="nextTo"/>
        <c:crossAx val="302765088"/>
        <c:crosses val="autoZero"/>
        <c:auto val="1"/>
        <c:lblAlgn val="ctr"/>
        <c:lblOffset val="100"/>
        <c:noMultiLvlLbl val="0"/>
      </c:catAx>
      <c:valAx>
        <c:axId val="302765088"/>
        <c:scaling>
          <c:orientation val="minMax"/>
        </c:scaling>
        <c:delete val="0"/>
        <c:axPos val="l"/>
        <c:majorGridlines/>
        <c:numFmt formatCode="_-* #,##0\ [$€-C0A]_-;\-* #,##0\ [$€-C0A]_-;_-* &quot;-&quot;??\ [$€-C0A]_-;_-@_-" sourceLinked="1"/>
        <c:majorTickMark val="out"/>
        <c:minorTickMark val="none"/>
        <c:tickLblPos val="nextTo"/>
        <c:crossAx val="3027646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extLst>
            <c:ext xmlns:c16="http://schemas.microsoft.com/office/drawing/2014/chart" uri="{C3380CC4-5D6E-409C-BE32-E72D297353CC}">
              <c16:uniqueId val="{00000000-E985-4B9C-8E08-8CD9F9362E20}"/>
            </c:ext>
          </c:extLst>
        </c:ser>
        <c:dLbls>
          <c:showLegendKey val="0"/>
          <c:showVal val="0"/>
          <c:showCatName val="0"/>
          <c:showSerName val="0"/>
          <c:showPercent val="0"/>
          <c:showBubbleSize val="0"/>
        </c:dLbls>
        <c:marker val="1"/>
        <c:smooth val="0"/>
        <c:axId val="302763128"/>
        <c:axId val="302759992"/>
      </c:lineChart>
      <c:catAx>
        <c:axId val="302763128"/>
        <c:scaling>
          <c:orientation val="minMax"/>
        </c:scaling>
        <c:delete val="0"/>
        <c:axPos val="b"/>
        <c:numFmt formatCode="General" sourceLinked="0"/>
        <c:majorTickMark val="out"/>
        <c:minorTickMark val="none"/>
        <c:tickLblPos val="nextTo"/>
        <c:crossAx val="302759992"/>
        <c:crosses val="autoZero"/>
        <c:auto val="1"/>
        <c:lblAlgn val="ctr"/>
        <c:lblOffset val="100"/>
        <c:noMultiLvlLbl val="0"/>
      </c:catAx>
      <c:valAx>
        <c:axId val="302759992"/>
        <c:scaling>
          <c:orientation val="minMax"/>
          <c:min val="0"/>
        </c:scaling>
        <c:delete val="0"/>
        <c:axPos val="l"/>
        <c:majorGridlines/>
        <c:numFmt formatCode="General" sourceLinked="1"/>
        <c:majorTickMark val="out"/>
        <c:minorTickMark val="none"/>
        <c:tickLblPos val="nextTo"/>
        <c:crossAx val="3027631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a:extLst>
            <a:ext uri="{FF2B5EF4-FFF2-40B4-BE49-F238E27FC236}">
              <a16:creationId xmlns:a16="http://schemas.microsoft.com/office/drawing/2014/main" id="{00000000-0008-0000-2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U36"/>
  <sheetViews>
    <sheetView zoomScaleNormal="100" workbookViewId="0">
      <pane xSplit="6" ySplit="4" topLeftCell="G5" activePane="bottomRight" state="frozen"/>
      <selection pane="topRight" activeCell="T1" sqref="T1"/>
      <selection pane="bottomLeft" activeCell="A4" sqref="A4"/>
      <selection pane="bottomRight" activeCell="W7" sqref="W7"/>
    </sheetView>
  </sheetViews>
  <sheetFormatPr baseColWidth="10" defaultColWidth="11.42578125" defaultRowHeight="15" x14ac:dyDescent="0.25"/>
  <cols>
    <col min="1" max="1" width="4.7109375" bestFit="1" customWidth="1"/>
    <col min="2" max="2" width="5" bestFit="1" customWidth="1"/>
    <col min="3" max="3" width="13.7109375" style="163" bestFit="1" customWidth="1"/>
    <col min="4" max="4" width="4.5703125" bestFit="1" customWidth="1"/>
    <col min="5" max="5" width="10.7109375" bestFit="1" customWidth="1"/>
    <col min="6" max="6" width="5.5703125" style="450" bestFit="1" customWidth="1"/>
    <col min="7" max="7" width="4.5703125" bestFit="1" customWidth="1"/>
    <col min="8" max="8" width="5.5703125" style="450" bestFit="1" customWidth="1"/>
    <col min="9" max="9" width="5" bestFit="1" customWidth="1"/>
    <col min="10" max="10" width="4.5703125" bestFit="1" customWidth="1"/>
    <col min="11" max="11" width="10.7109375" bestFit="1" customWidth="1"/>
    <col min="12" max="12" width="8.42578125" style="450"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21" s="224" customFormat="1" x14ac:dyDescent="0.25">
      <c r="C1" s="449">
        <f ca="1">TODAY()</f>
        <v>43630</v>
      </c>
      <c r="D1" s="638">
        <v>41471</v>
      </c>
      <c r="E1" s="638"/>
      <c r="F1" s="638"/>
      <c r="H1" s="258"/>
    </row>
    <row r="2" spans="1:21" s="3" customFormat="1" x14ac:dyDescent="0.25">
      <c r="A2" s="3">
        <v>16</v>
      </c>
      <c r="B2" s="258"/>
      <c r="C2" s="286"/>
      <c r="D2" s="269"/>
      <c r="E2" s="269"/>
    </row>
    <row r="3" spans="1:21" s="228" customFormat="1" x14ac:dyDescent="0.25">
      <c r="A3" s="270"/>
      <c r="B3" s="270" t="s">
        <v>381</v>
      </c>
      <c r="C3" s="266" t="s">
        <v>459</v>
      </c>
      <c r="D3" s="235" t="s">
        <v>426</v>
      </c>
      <c r="F3" s="451"/>
      <c r="J3" s="463" t="s">
        <v>426</v>
      </c>
    </row>
    <row r="4" spans="1:21" x14ac:dyDescent="0.25">
      <c r="A4" s="271" t="s">
        <v>362</v>
      </c>
      <c r="B4" s="271" t="s">
        <v>251</v>
      </c>
      <c r="C4" s="273" t="s">
        <v>174</v>
      </c>
      <c r="D4" s="271" t="s">
        <v>177</v>
      </c>
      <c r="E4" s="366" t="s">
        <v>587</v>
      </c>
      <c r="F4" s="366" t="s">
        <v>586</v>
      </c>
      <c r="G4" s="366" t="s">
        <v>588</v>
      </c>
      <c r="H4" s="366" t="s">
        <v>560</v>
      </c>
      <c r="I4" s="366" t="s">
        <v>62</v>
      </c>
      <c r="J4" s="271" t="s">
        <v>177</v>
      </c>
      <c r="K4" s="464" t="s">
        <v>1</v>
      </c>
      <c r="L4" s="464" t="s">
        <v>2</v>
      </c>
      <c r="M4" s="464" t="s">
        <v>568</v>
      </c>
      <c r="N4" s="464" t="s">
        <v>467</v>
      </c>
      <c r="O4" s="464" t="s">
        <v>569</v>
      </c>
      <c r="P4" s="464" t="s">
        <v>470</v>
      </c>
      <c r="Q4" s="464" t="s">
        <v>0</v>
      </c>
    </row>
    <row r="5" spans="1:21" s="223" customFormat="1" x14ac:dyDescent="0.25">
      <c r="A5" s="335" t="s">
        <v>415</v>
      </c>
      <c r="B5" s="335" t="s">
        <v>1</v>
      </c>
      <c r="C5" s="395" t="s">
        <v>241</v>
      </c>
      <c r="D5" s="339" t="s">
        <v>169</v>
      </c>
      <c r="E5" s="455">
        <v>41400</v>
      </c>
      <c r="F5" s="534">
        <f ca="1">TODAY()-E5</f>
        <v>2230</v>
      </c>
      <c r="G5" s="535">
        <f ca="1">F5/112</f>
        <v>19.910714285714285</v>
      </c>
      <c r="H5" s="452">
        <v>19</v>
      </c>
      <c r="I5" s="452">
        <v>11</v>
      </c>
      <c r="J5" s="339" t="s">
        <v>169</v>
      </c>
      <c r="K5" s="465" t="s">
        <v>589</v>
      </c>
      <c r="L5" s="504" t="s">
        <v>368</v>
      </c>
      <c r="M5" s="465"/>
      <c r="N5" s="465"/>
      <c r="O5" s="465"/>
      <c r="P5" s="465"/>
      <c r="Q5" s="465"/>
    </row>
    <row r="6" spans="1:21" s="236" customFormat="1" x14ac:dyDescent="0.25">
      <c r="A6" s="335" t="s">
        <v>352</v>
      </c>
      <c r="B6" s="335" t="s">
        <v>1</v>
      </c>
      <c r="C6" s="395" t="s">
        <v>242</v>
      </c>
      <c r="D6" s="339" t="s">
        <v>426</v>
      </c>
      <c r="E6" s="455">
        <v>41400</v>
      </c>
      <c r="F6" s="534">
        <f t="shared" ref="F6:F20" ca="1" si="0">TODAY()-E6</f>
        <v>2230</v>
      </c>
      <c r="G6" s="535">
        <f t="shared" ref="G6:G20" ca="1" si="1">F6/112</f>
        <v>19.910714285714285</v>
      </c>
      <c r="H6" s="293">
        <v>20</v>
      </c>
      <c r="I6" s="293">
        <v>2</v>
      </c>
      <c r="J6" s="339" t="s">
        <v>426</v>
      </c>
      <c r="K6" s="465" t="s">
        <v>589</v>
      </c>
      <c r="L6" s="319" t="s">
        <v>368</v>
      </c>
      <c r="M6" s="466"/>
      <c r="N6" s="466"/>
      <c r="O6" s="466"/>
      <c r="P6" s="466"/>
      <c r="Q6" s="466"/>
    </row>
    <row r="7" spans="1:21" s="229" customFormat="1" x14ac:dyDescent="0.25">
      <c r="A7" s="277" t="s">
        <v>361</v>
      </c>
      <c r="B7" s="233" t="s">
        <v>2</v>
      </c>
      <c r="C7" s="396" t="s">
        <v>250</v>
      </c>
      <c r="D7" s="235" t="s">
        <v>426</v>
      </c>
      <c r="E7" s="456">
        <v>41519</v>
      </c>
      <c r="F7" s="534">
        <f t="shared" ca="1" si="0"/>
        <v>2111</v>
      </c>
      <c r="G7" s="535">
        <f t="shared" ca="1" si="1"/>
        <v>18.848214285714285</v>
      </c>
      <c r="H7" s="453">
        <f>24-7</f>
        <v>17</v>
      </c>
      <c r="I7" s="453">
        <f>102-(5*7+1)</f>
        <v>66</v>
      </c>
      <c r="J7" s="235" t="s">
        <v>426</v>
      </c>
      <c r="K7" s="465"/>
      <c r="L7" s="465" t="s">
        <v>367</v>
      </c>
      <c r="M7" s="465" t="s">
        <v>366</v>
      </c>
      <c r="N7" s="465"/>
      <c r="O7" s="465" t="s">
        <v>367</v>
      </c>
      <c r="P7" s="465" t="s">
        <v>366</v>
      </c>
      <c r="Q7" s="465"/>
      <c r="U7" s="631"/>
    </row>
    <row r="8" spans="1:21" s="221" customFormat="1" x14ac:dyDescent="0.25">
      <c r="A8" s="335" t="s">
        <v>354</v>
      </c>
      <c r="B8" s="233" t="s">
        <v>2</v>
      </c>
      <c r="C8" s="396" t="s">
        <v>248</v>
      </c>
      <c r="D8" s="235"/>
      <c r="E8" s="456">
        <v>41527</v>
      </c>
      <c r="F8" s="534">
        <f t="shared" ca="1" si="0"/>
        <v>2103</v>
      </c>
      <c r="G8" s="535">
        <f t="shared" ca="1" si="1"/>
        <v>18.776785714285715</v>
      </c>
      <c r="H8" s="453">
        <f>24-7</f>
        <v>17</v>
      </c>
      <c r="I8" s="453">
        <f>41-(4*7)</f>
        <v>13</v>
      </c>
      <c r="J8" s="235"/>
      <c r="K8" s="465"/>
      <c r="L8" s="465" t="s">
        <v>365</v>
      </c>
      <c r="M8" s="465"/>
      <c r="N8" s="465" t="s">
        <v>589</v>
      </c>
      <c r="O8" s="465" t="s">
        <v>365</v>
      </c>
      <c r="P8" s="465" t="s">
        <v>414</v>
      </c>
      <c r="Q8" s="465"/>
    </row>
    <row r="9" spans="1:21" s="222" customFormat="1" x14ac:dyDescent="0.25">
      <c r="A9" s="335" t="s">
        <v>428</v>
      </c>
      <c r="B9" s="335" t="s">
        <v>2</v>
      </c>
      <c r="C9" s="395" t="s">
        <v>244</v>
      </c>
      <c r="D9" s="339"/>
      <c r="E9" s="457">
        <v>41539</v>
      </c>
      <c r="F9" s="534">
        <f t="shared" ca="1" si="0"/>
        <v>2091</v>
      </c>
      <c r="G9" s="535">
        <f t="shared" ca="1" si="1"/>
        <v>18.669642857142858</v>
      </c>
      <c r="H9" s="391">
        <f>24-7</f>
        <v>17</v>
      </c>
      <c r="I9" s="391">
        <v>40</v>
      </c>
      <c r="J9" s="339"/>
      <c r="K9" s="465"/>
      <c r="L9" s="507" t="s">
        <v>213</v>
      </c>
      <c r="M9" s="465" t="s">
        <v>365</v>
      </c>
      <c r="N9" s="465" t="s">
        <v>367</v>
      </c>
      <c r="O9" s="465" t="s">
        <v>367</v>
      </c>
      <c r="P9" s="465" t="s">
        <v>366</v>
      </c>
      <c r="Q9" s="465"/>
    </row>
    <row r="10" spans="1:21" s="237" customFormat="1" x14ac:dyDescent="0.25">
      <c r="A10" s="335" t="s">
        <v>353</v>
      </c>
      <c r="B10" s="335" t="s">
        <v>64</v>
      </c>
      <c r="C10" s="395" t="s">
        <v>247</v>
      </c>
      <c r="D10" s="339"/>
      <c r="E10" s="459">
        <v>41552</v>
      </c>
      <c r="F10" s="534">
        <f t="shared" ca="1" si="0"/>
        <v>2078</v>
      </c>
      <c r="G10" s="535">
        <f t="shared" ca="1" si="1"/>
        <v>18.553571428571427</v>
      </c>
      <c r="H10" s="293">
        <f>24-7</f>
        <v>17</v>
      </c>
      <c r="I10" s="293">
        <v>2</v>
      </c>
      <c r="J10" s="339"/>
      <c r="K10" s="465"/>
      <c r="L10" s="465" t="s">
        <v>414</v>
      </c>
      <c r="M10" s="505" t="s">
        <v>368</v>
      </c>
      <c r="N10" s="465" t="s">
        <v>366</v>
      </c>
      <c r="O10" s="465" t="s">
        <v>366</v>
      </c>
      <c r="P10" s="465" t="s">
        <v>366</v>
      </c>
      <c r="Q10" s="465"/>
    </row>
    <row r="11" spans="1:21" s="237" customFormat="1" ht="15.75" x14ac:dyDescent="0.25">
      <c r="A11" s="335" t="s">
        <v>357</v>
      </c>
      <c r="B11" s="335" t="s">
        <v>65</v>
      </c>
      <c r="C11" s="395" t="s">
        <v>245</v>
      </c>
      <c r="D11" s="339" t="s">
        <v>246</v>
      </c>
      <c r="E11" s="458">
        <v>41583</v>
      </c>
      <c r="F11" s="534">
        <f t="shared" ca="1" si="0"/>
        <v>2047</v>
      </c>
      <c r="G11" s="535">
        <f t="shared" ca="1" si="1"/>
        <v>18.276785714285715</v>
      </c>
      <c r="H11" s="454">
        <f>23-6</f>
        <v>17</v>
      </c>
      <c r="I11" s="454">
        <v>46</v>
      </c>
      <c r="J11" s="339" t="s">
        <v>246</v>
      </c>
      <c r="K11" s="468"/>
      <c r="L11" s="506" t="s">
        <v>368</v>
      </c>
      <c r="M11" s="468" t="s">
        <v>366</v>
      </c>
      <c r="N11" s="468" t="s">
        <v>365</v>
      </c>
      <c r="O11" s="506" t="s">
        <v>368</v>
      </c>
      <c r="P11" s="506" t="s">
        <v>368</v>
      </c>
      <c r="Q11" s="468" t="s">
        <v>366</v>
      </c>
    </row>
    <row r="12" spans="1:21" s="229" customFormat="1" ht="15.75" x14ac:dyDescent="0.25">
      <c r="A12" s="277" t="s">
        <v>356</v>
      </c>
      <c r="B12" s="335" t="s">
        <v>64</v>
      </c>
      <c r="C12" s="395" t="s">
        <v>252</v>
      </c>
      <c r="D12" s="339" t="s">
        <v>243</v>
      </c>
      <c r="E12" s="459">
        <v>41653</v>
      </c>
      <c r="F12" s="534">
        <f t="shared" ca="1" si="0"/>
        <v>1977</v>
      </c>
      <c r="G12" s="535">
        <f t="shared" ca="1" si="1"/>
        <v>17.651785714285715</v>
      </c>
      <c r="H12" s="293">
        <v>18</v>
      </c>
      <c r="I12" s="293">
        <v>109</v>
      </c>
      <c r="J12" s="339" t="s">
        <v>243</v>
      </c>
      <c r="K12" s="468"/>
      <c r="L12" s="468" t="s">
        <v>366</v>
      </c>
      <c r="M12" s="509" t="s">
        <v>214</v>
      </c>
      <c r="N12" s="468" t="s">
        <v>365</v>
      </c>
      <c r="O12" s="468"/>
      <c r="P12" s="468" t="s">
        <v>367</v>
      </c>
      <c r="Q12" s="468" t="s">
        <v>365</v>
      </c>
    </row>
    <row r="13" spans="1:21" s="236" customFormat="1" ht="15.75" x14ac:dyDescent="0.25">
      <c r="A13" s="335" t="s">
        <v>430</v>
      </c>
      <c r="B13" s="335" t="s">
        <v>66</v>
      </c>
      <c r="C13" s="395" t="s">
        <v>253</v>
      </c>
      <c r="D13" s="339" t="s">
        <v>256</v>
      </c>
      <c r="E13" s="456">
        <v>41664</v>
      </c>
      <c r="F13" s="534">
        <f t="shared" ca="1" si="0"/>
        <v>1966</v>
      </c>
      <c r="G13" s="535">
        <f t="shared" ca="1" si="1"/>
        <v>17.553571428571427</v>
      </c>
      <c r="H13" s="453">
        <f>23-6</f>
        <v>17</v>
      </c>
      <c r="I13" s="453">
        <v>14</v>
      </c>
      <c r="J13" s="339" t="s">
        <v>256</v>
      </c>
      <c r="K13" s="468"/>
      <c r="L13" s="506" t="s">
        <v>368</v>
      </c>
      <c r="M13" s="468" t="s">
        <v>366</v>
      </c>
      <c r="N13" s="468" t="s">
        <v>366</v>
      </c>
      <c r="O13" s="508" t="s">
        <v>213</v>
      </c>
      <c r="P13" s="468" t="s">
        <v>366</v>
      </c>
      <c r="Q13" s="468" t="s">
        <v>214</v>
      </c>
    </row>
    <row r="14" spans="1:21" s="237" customFormat="1" ht="15.75" x14ac:dyDescent="0.25">
      <c r="A14" s="277" t="s">
        <v>360</v>
      </c>
      <c r="B14" s="233" t="s">
        <v>64</v>
      </c>
      <c r="C14" s="396" t="s">
        <v>349</v>
      </c>
      <c r="D14" s="235"/>
      <c r="E14" s="459">
        <v>41686</v>
      </c>
      <c r="F14" s="534">
        <f t="shared" ca="1" si="0"/>
        <v>1944</v>
      </c>
      <c r="G14" s="535">
        <f t="shared" ca="1" si="1"/>
        <v>17.357142857142858</v>
      </c>
      <c r="H14" s="293">
        <v>17</v>
      </c>
      <c r="I14" s="293">
        <v>111</v>
      </c>
      <c r="J14" s="235"/>
      <c r="K14" s="468"/>
      <c r="L14" s="468" t="s">
        <v>414</v>
      </c>
      <c r="M14" s="508" t="s">
        <v>213</v>
      </c>
      <c r="N14" s="469" t="s">
        <v>366</v>
      </c>
      <c r="O14" s="508" t="s">
        <v>213</v>
      </c>
      <c r="P14" s="468" t="s">
        <v>414</v>
      </c>
      <c r="Q14" s="469" t="s">
        <v>366</v>
      </c>
    </row>
    <row r="15" spans="1:21" ht="15.75" x14ac:dyDescent="0.25">
      <c r="A15" s="335" t="s">
        <v>359</v>
      </c>
      <c r="B15" s="335" t="s">
        <v>65</v>
      </c>
      <c r="C15" s="395" t="s">
        <v>258</v>
      </c>
      <c r="D15" s="339" t="s">
        <v>243</v>
      </c>
      <c r="E15" s="456">
        <v>41722</v>
      </c>
      <c r="F15" s="534">
        <f t="shared" ca="1" si="0"/>
        <v>1908</v>
      </c>
      <c r="G15" s="535">
        <f t="shared" ca="1" si="1"/>
        <v>17.035714285714285</v>
      </c>
      <c r="H15" s="453">
        <f>23-5</f>
        <v>18</v>
      </c>
      <c r="I15" s="453">
        <v>20</v>
      </c>
      <c r="J15" s="339" t="s">
        <v>243</v>
      </c>
      <c r="K15" s="468"/>
      <c r="L15" s="468" t="s">
        <v>367</v>
      </c>
      <c r="M15" s="468" t="s">
        <v>367</v>
      </c>
      <c r="N15" s="506" t="s">
        <v>368</v>
      </c>
      <c r="O15" s="468" t="s">
        <v>366</v>
      </c>
      <c r="P15" s="468" t="s">
        <v>365</v>
      </c>
      <c r="Q15" s="468" t="s">
        <v>365</v>
      </c>
    </row>
    <row r="16" spans="1:21" s="4" customFormat="1" ht="15.75" x14ac:dyDescent="0.25">
      <c r="A16" s="277" t="s">
        <v>429</v>
      </c>
      <c r="B16" s="233" t="s">
        <v>64</v>
      </c>
      <c r="C16" s="396" t="s">
        <v>363</v>
      </c>
      <c r="D16" s="235"/>
      <c r="E16" s="458">
        <v>41737</v>
      </c>
      <c r="F16" s="534">
        <f t="shared" ca="1" si="0"/>
        <v>1893</v>
      </c>
      <c r="G16" s="535">
        <f t="shared" ca="1" si="1"/>
        <v>16.901785714285715</v>
      </c>
      <c r="H16" s="454">
        <f>22-5</f>
        <v>17</v>
      </c>
      <c r="I16" s="454">
        <f>42-(7*6)</f>
        <v>0</v>
      </c>
      <c r="J16" s="235"/>
      <c r="K16" s="469"/>
      <c r="L16" s="468" t="s">
        <v>365</v>
      </c>
      <c r="M16" s="506" t="s">
        <v>368</v>
      </c>
      <c r="N16" s="468" t="s">
        <v>365</v>
      </c>
      <c r="O16" s="469"/>
      <c r="P16" s="468" t="s">
        <v>366</v>
      </c>
      <c r="Q16" s="468" t="s">
        <v>414</v>
      </c>
    </row>
    <row r="17" spans="1:17" s="236" customFormat="1" ht="15.75" x14ac:dyDescent="0.25">
      <c r="A17" s="335" t="s">
        <v>355</v>
      </c>
      <c r="B17" s="233" t="s">
        <v>64</v>
      </c>
      <c r="C17" s="396" t="s">
        <v>503</v>
      </c>
      <c r="D17" s="339" t="s">
        <v>243</v>
      </c>
      <c r="E17" s="458">
        <v>41747</v>
      </c>
      <c r="F17" s="534">
        <f t="shared" ca="1" si="0"/>
        <v>1883</v>
      </c>
      <c r="G17" s="535">
        <f t="shared" ca="1" si="1"/>
        <v>16.8125</v>
      </c>
      <c r="H17" s="454">
        <f>22-5</f>
        <v>17</v>
      </c>
      <c r="I17" s="454">
        <v>57</v>
      </c>
      <c r="J17" s="339" t="s">
        <v>243</v>
      </c>
      <c r="K17" s="468"/>
      <c r="L17" s="468" t="s">
        <v>365</v>
      </c>
      <c r="M17" s="506" t="s">
        <v>368</v>
      </c>
      <c r="N17" s="468" t="s">
        <v>365</v>
      </c>
      <c r="O17" s="468"/>
      <c r="P17" s="468" t="s">
        <v>366</v>
      </c>
      <c r="Q17" s="468" t="s">
        <v>367</v>
      </c>
    </row>
    <row r="18" spans="1:17" s="237" customFormat="1" ht="14.25" customHeight="1" x14ac:dyDescent="0.25">
      <c r="A18" s="335" t="s">
        <v>358</v>
      </c>
      <c r="B18" s="335" t="s">
        <v>65</v>
      </c>
      <c r="C18" s="395" t="s">
        <v>431</v>
      </c>
      <c r="D18" s="339" t="s">
        <v>426</v>
      </c>
      <c r="E18" s="459">
        <v>41911</v>
      </c>
      <c r="F18" s="534">
        <f t="shared" ca="1" si="0"/>
        <v>1719</v>
      </c>
      <c r="G18" s="535">
        <f t="shared" ca="1" si="1"/>
        <v>15.348214285714286</v>
      </c>
      <c r="H18" s="293">
        <f>20-3</f>
        <v>17</v>
      </c>
      <c r="I18" s="293">
        <v>0</v>
      </c>
      <c r="J18" s="339" t="s">
        <v>426</v>
      </c>
      <c r="K18" s="469"/>
      <c r="L18" s="468" t="s">
        <v>366</v>
      </c>
      <c r="M18" s="508" t="s">
        <v>213</v>
      </c>
      <c r="N18" s="468" t="s">
        <v>365</v>
      </c>
      <c r="O18" s="468" t="s">
        <v>365</v>
      </c>
      <c r="P18" s="506" t="s">
        <v>368</v>
      </c>
      <c r="Q18" s="469"/>
    </row>
    <row r="19" spans="1:17" s="229" customFormat="1" ht="15.75" x14ac:dyDescent="0.25">
      <c r="A19" s="335" t="s">
        <v>457</v>
      </c>
      <c r="B19" s="335" t="s">
        <v>66</v>
      </c>
      <c r="C19" s="396" t="s">
        <v>458</v>
      </c>
      <c r="D19" s="235"/>
      <c r="E19" s="458">
        <v>41973</v>
      </c>
      <c r="F19" s="534">
        <f t="shared" ca="1" si="0"/>
        <v>1657</v>
      </c>
      <c r="G19" s="535">
        <f t="shared" ca="1" si="1"/>
        <v>14.794642857142858</v>
      </c>
      <c r="H19" s="454">
        <f>20-3</f>
        <v>17</v>
      </c>
      <c r="I19" s="454">
        <v>0</v>
      </c>
      <c r="J19" s="235"/>
      <c r="K19" s="468"/>
      <c r="L19" s="468" t="s">
        <v>366</v>
      </c>
      <c r="M19" s="468" t="s">
        <v>367</v>
      </c>
      <c r="N19" s="468" t="s">
        <v>367</v>
      </c>
      <c r="O19" s="508" t="s">
        <v>213</v>
      </c>
      <c r="P19" s="468" t="s">
        <v>213</v>
      </c>
      <c r="Q19" s="467"/>
    </row>
    <row r="20" spans="1:17" s="237" customFormat="1" ht="15.75" x14ac:dyDescent="0.25">
      <c r="A20" s="276" t="s">
        <v>421</v>
      </c>
      <c r="B20" s="233" t="s">
        <v>2</v>
      </c>
      <c r="C20" s="396" t="s">
        <v>465</v>
      </c>
      <c r="D20" s="235"/>
      <c r="E20" s="458">
        <v>42106</v>
      </c>
      <c r="F20" s="534">
        <f t="shared" ca="1" si="0"/>
        <v>1524</v>
      </c>
      <c r="G20" s="535">
        <f t="shared" ca="1" si="1"/>
        <v>13.607142857142858</v>
      </c>
      <c r="H20" s="454">
        <v>18</v>
      </c>
      <c r="I20" s="454">
        <v>55</v>
      </c>
      <c r="J20" s="235"/>
      <c r="K20" s="467"/>
      <c r="L20" s="508" t="s">
        <v>213</v>
      </c>
      <c r="M20" s="509" t="s">
        <v>214</v>
      </c>
      <c r="N20" s="506" t="s">
        <v>368</v>
      </c>
      <c r="O20" s="468" t="s">
        <v>366</v>
      </c>
      <c r="P20" s="468" t="s">
        <v>367</v>
      </c>
      <c r="Q20" s="467" t="s">
        <v>366</v>
      </c>
    </row>
    <row r="21" spans="1:17" x14ac:dyDescent="0.25">
      <c r="D21" s="4"/>
      <c r="H21"/>
      <c r="J21" s="4"/>
      <c r="L21"/>
    </row>
    <row r="22" spans="1:17" x14ac:dyDescent="0.25">
      <c r="D22" s="450"/>
      <c r="H22"/>
      <c r="J22" s="450"/>
      <c r="L22"/>
    </row>
    <row r="23" spans="1:17" x14ac:dyDescent="0.25">
      <c r="D23" s="450"/>
      <c r="H23"/>
      <c r="J23" s="450"/>
      <c r="L23"/>
    </row>
    <row r="24" spans="1:17" s="232" customFormat="1" ht="15.75" x14ac:dyDescent="0.25">
      <c r="A24" s="335" t="s">
        <v>648</v>
      </c>
      <c r="B24" s="335" t="s">
        <v>66</v>
      </c>
      <c r="C24" s="337" t="s">
        <v>649</v>
      </c>
      <c r="D24" s="339" t="s">
        <v>426</v>
      </c>
      <c r="H24" s="454">
        <v>19</v>
      </c>
      <c r="I24" s="454">
        <v>0</v>
      </c>
      <c r="J24" s="339" t="s">
        <v>426</v>
      </c>
      <c r="K24" s="467"/>
      <c r="L24" s="468" t="s">
        <v>365</v>
      </c>
      <c r="M24" s="468" t="s">
        <v>367</v>
      </c>
      <c r="N24" s="508" t="s">
        <v>213</v>
      </c>
      <c r="O24" s="468" t="s">
        <v>365</v>
      </c>
      <c r="P24" s="508" t="s">
        <v>651</v>
      </c>
      <c r="Q24" s="467" t="s">
        <v>414</v>
      </c>
    </row>
    <row r="25" spans="1:17" s="229" customFormat="1" x14ac:dyDescent="0.25">
      <c r="A25" s="335" t="s">
        <v>513</v>
      </c>
      <c r="B25" s="233" t="s">
        <v>2</v>
      </c>
      <c r="C25" s="266" t="s">
        <v>249</v>
      </c>
      <c r="D25" s="235"/>
      <c r="E25" s="456"/>
      <c r="F25" s="453"/>
      <c r="G25" s="452"/>
      <c r="H25" s="453"/>
      <c r="I25" s="453"/>
      <c r="J25" s="235"/>
      <c r="K25" s="461"/>
      <c r="L25" s="461"/>
      <c r="M25" s="461"/>
      <c r="N25" s="461"/>
      <c r="O25" s="461"/>
      <c r="P25" s="461"/>
      <c r="Q25" s="461"/>
    </row>
    <row r="26" spans="1:17" s="222" customFormat="1" x14ac:dyDescent="0.25">
      <c r="A26" s="335" t="s">
        <v>473</v>
      </c>
      <c r="B26" s="335" t="s">
        <v>2</v>
      </c>
      <c r="C26" s="266" t="s">
        <v>469</v>
      </c>
      <c r="D26" s="235"/>
      <c r="E26" s="453"/>
      <c r="F26" s="453"/>
      <c r="G26" s="453"/>
      <c r="H26" s="453"/>
      <c r="I26" s="453"/>
      <c r="J26" s="235"/>
      <c r="K26" s="462"/>
      <c r="L26" s="462"/>
      <c r="M26" s="462"/>
      <c r="N26" s="462"/>
      <c r="O26" s="462"/>
      <c r="P26" s="462"/>
      <c r="Q26" s="462"/>
    </row>
    <row r="27" spans="1:17" s="232" customFormat="1" x14ac:dyDescent="0.25">
      <c r="A27" s="277" t="s">
        <v>512</v>
      </c>
      <c r="B27" s="233" t="s">
        <v>64</v>
      </c>
      <c r="C27" s="266" t="s">
        <v>506</v>
      </c>
      <c r="D27" s="339" t="s">
        <v>426</v>
      </c>
      <c r="E27" s="454"/>
      <c r="F27" s="454"/>
      <c r="G27" s="454"/>
      <c r="H27" s="454"/>
      <c r="I27" s="454"/>
      <c r="J27" s="339" t="s">
        <v>426</v>
      </c>
      <c r="K27" s="461"/>
      <c r="L27" s="461"/>
      <c r="M27" s="461"/>
      <c r="N27" s="461"/>
      <c r="O27" s="461"/>
      <c r="P27" s="461"/>
      <c r="Q27" s="461"/>
    </row>
    <row r="28" spans="1:17" s="236" customFormat="1" x14ac:dyDescent="0.25">
      <c r="A28" s="276" t="s">
        <v>474</v>
      </c>
      <c r="B28" s="233" t="s">
        <v>64</v>
      </c>
      <c r="C28" s="266" t="s">
        <v>350</v>
      </c>
      <c r="D28" s="235" t="s">
        <v>246</v>
      </c>
      <c r="E28" s="293"/>
      <c r="F28" s="293"/>
      <c r="G28" s="293"/>
      <c r="H28" s="293"/>
      <c r="I28" s="293"/>
      <c r="J28" s="235" t="s">
        <v>246</v>
      </c>
      <c r="K28" s="460"/>
      <c r="L28" s="460"/>
      <c r="M28" s="460"/>
      <c r="N28" s="460"/>
      <c r="O28" s="460"/>
      <c r="P28" s="460"/>
      <c r="Q28" s="460"/>
    </row>
    <row r="29" spans="1:17" s="232" customFormat="1" x14ac:dyDescent="0.25">
      <c r="A29" s="335" t="s">
        <v>582</v>
      </c>
      <c r="B29" s="335" t="s">
        <v>66</v>
      </c>
      <c r="C29" s="337" t="s">
        <v>581</v>
      </c>
      <c r="D29" s="339" t="s">
        <v>256</v>
      </c>
      <c r="E29" s="454"/>
      <c r="F29" s="454"/>
      <c r="G29" s="454"/>
      <c r="H29" s="454"/>
      <c r="I29" s="454"/>
      <c r="J29" s="339" t="s">
        <v>256</v>
      </c>
      <c r="K29" s="461"/>
      <c r="L29" s="461"/>
      <c r="M29" s="461"/>
      <c r="N29" s="461"/>
      <c r="O29" s="461"/>
      <c r="P29" s="461"/>
      <c r="Q29" s="461"/>
    </row>
    <row r="30" spans="1:17" x14ac:dyDescent="0.25">
      <c r="D30" s="450"/>
      <c r="H30"/>
      <c r="J30" s="450"/>
      <c r="L30"/>
    </row>
    <row r="31" spans="1:17" x14ac:dyDescent="0.25">
      <c r="C31" s="161"/>
      <c r="D31" s="450"/>
      <c r="H31"/>
      <c r="J31" s="450"/>
      <c r="L31"/>
    </row>
    <row r="32" spans="1:17" x14ac:dyDescent="0.25">
      <c r="C32" s="161"/>
      <c r="D32" s="450"/>
      <c r="H32"/>
      <c r="J32" s="450"/>
      <c r="L32"/>
    </row>
    <row r="33" spans="3:17" x14ac:dyDescent="0.25">
      <c r="C33" s="446"/>
      <c r="D33" s="450"/>
      <c r="H33"/>
      <c r="J33" s="450"/>
      <c r="K33" s="428">
        <v>0</v>
      </c>
      <c r="L33" s="429">
        <v>4</v>
      </c>
      <c r="M33" s="428">
        <v>3</v>
      </c>
      <c r="N33" s="429">
        <v>6</v>
      </c>
      <c r="O33" s="428">
        <v>4</v>
      </c>
      <c r="P33" s="429">
        <v>6.8</v>
      </c>
      <c r="Q33" s="428">
        <v>1</v>
      </c>
    </row>
    <row r="34" spans="3:17" x14ac:dyDescent="0.25">
      <c r="C34" s="447"/>
      <c r="F34" s="354"/>
      <c r="L34" s="354"/>
    </row>
    <row r="36" spans="3:17" x14ac:dyDescent="0.25">
      <c r="F36" s="354"/>
      <c r="L36" s="354"/>
    </row>
  </sheetData>
  <mergeCells count="1">
    <mergeCell ref="D1:F1"/>
  </mergeCells>
  <conditionalFormatting sqref="K33:Q33">
    <cfRule type="colorScale" priority="1">
      <colorScale>
        <cfvo type="min"/>
        <cfvo type="max"/>
        <color rgb="FFFFEF9C"/>
        <color rgb="FF63BE7B"/>
      </colorScale>
    </cfRule>
    <cfRule type="cellIs" dxfId="170"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63"/>
      <c r="B1" s="263"/>
      <c r="E1" s="573"/>
      <c r="V1" t="s">
        <v>553</v>
      </c>
      <c r="Y1" t="s">
        <v>554</v>
      </c>
      <c r="AC1" t="s">
        <v>555</v>
      </c>
      <c r="AG1" s="4" t="s">
        <v>556</v>
      </c>
      <c r="AK1" t="s">
        <v>557</v>
      </c>
      <c r="AO1" t="s">
        <v>552</v>
      </c>
      <c r="AV1" t="s">
        <v>558</v>
      </c>
      <c r="BC1" t="s">
        <v>427</v>
      </c>
      <c r="BH1" t="s">
        <v>559</v>
      </c>
      <c r="BM1" t="s">
        <v>511</v>
      </c>
      <c r="BR1" t="s">
        <v>676</v>
      </c>
      <c r="BW1" t="s">
        <v>507</v>
      </c>
      <c r="CB1" t="s">
        <v>489</v>
      </c>
      <c r="CF1" t="s">
        <v>66</v>
      </c>
    </row>
    <row r="2" spans="1:87" x14ac:dyDescent="0.25">
      <c r="A2" s="431" t="s">
        <v>174</v>
      </c>
      <c r="B2" s="431" t="s">
        <v>721</v>
      </c>
      <c r="C2" s="431" t="s">
        <v>560</v>
      </c>
      <c r="D2" s="431" t="s">
        <v>62</v>
      </c>
      <c r="E2" s="432" t="s">
        <v>561</v>
      </c>
      <c r="F2" s="431" t="s">
        <v>562</v>
      </c>
      <c r="G2" s="434" t="s">
        <v>566</v>
      </c>
      <c r="H2" s="435" t="s">
        <v>567</v>
      </c>
      <c r="I2" s="435" t="s">
        <v>723</v>
      </c>
      <c r="J2" s="435" t="s">
        <v>1</v>
      </c>
      <c r="K2" s="435" t="s">
        <v>2</v>
      </c>
      <c r="L2" s="435" t="s">
        <v>568</v>
      </c>
      <c r="M2" s="435" t="s">
        <v>65</v>
      </c>
      <c r="N2" s="435" t="s">
        <v>470</v>
      </c>
      <c r="O2" s="435" t="s">
        <v>569</v>
      </c>
      <c r="P2" s="435" t="s">
        <v>0</v>
      </c>
      <c r="Q2" s="436" t="s">
        <v>464</v>
      </c>
      <c r="R2" s="436" t="s">
        <v>696</v>
      </c>
      <c r="S2" s="436" t="s">
        <v>570</v>
      </c>
      <c r="T2" s="436" t="s">
        <v>571</v>
      </c>
      <c r="U2" s="436" t="s">
        <v>477</v>
      </c>
      <c r="V2" s="437" t="s">
        <v>572</v>
      </c>
      <c r="W2" s="437" t="s">
        <v>573</v>
      </c>
      <c r="X2" s="437" t="s">
        <v>572</v>
      </c>
      <c r="Y2" s="438" t="s">
        <v>572</v>
      </c>
      <c r="Z2" s="438" t="s">
        <v>573</v>
      </c>
      <c r="AA2" s="438" t="s">
        <v>572</v>
      </c>
      <c r="AB2" s="438" t="s">
        <v>64</v>
      </c>
      <c r="AC2" s="438" t="s">
        <v>572</v>
      </c>
      <c r="AD2" s="438" t="s">
        <v>573</v>
      </c>
      <c r="AE2" s="438" t="s">
        <v>572</v>
      </c>
      <c r="AF2" s="438" t="s">
        <v>64</v>
      </c>
      <c r="AG2" s="437" t="s">
        <v>572</v>
      </c>
      <c r="AH2" s="437" t="s">
        <v>573</v>
      </c>
      <c r="AI2" s="437" t="s">
        <v>64</v>
      </c>
      <c r="AJ2" s="437" t="s">
        <v>574</v>
      </c>
      <c r="AK2" s="437" t="s">
        <v>572</v>
      </c>
      <c r="AL2" s="437" t="s">
        <v>573</v>
      </c>
      <c r="AM2" s="437" t="s">
        <v>64</v>
      </c>
      <c r="AN2" s="437" t="s">
        <v>574</v>
      </c>
      <c r="AO2" s="437" t="s">
        <v>572</v>
      </c>
      <c r="AP2" s="437" t="s">
        <v>573</v>
      </c>
      <c r="AQ2" s="437" t="s">
        <v>572</v>
      </c>
      <c r="AR2" s="437" t="s">
        <v>64</v>
      </c>
      <c r="AS2" s="437" t="s">
        <v>574</v>
      </c>
      <c r="AT2" s="437" t="s">
        <v>575</v>
      </c>
      <c r="AU2" s="437" t="s">
        <v>574</v>
      </c>
      <c r="AV2" s="437" t="s">
        <v>572</v>
      </c>
      <c r="AW2" s="437" t="s">
        <v>573</v>
      </c>
      <c r="AX2" s="437" t="s">
        <v>572</v>
      </c>
      <c r="AY2" s="437" t="s">
        <v>64</v>
      </c>
      <c r="AZ2" s="437" t="s">
        <v>574</v>
      </c>
      <c r="BA2" s="437" t="s">
        <v>575</v>
      </c>
      <c r="BB2" s="437" t="s">
        <v>574</v>
      </c>
      <c r="BC2" s="438" t="s">
        <v>572</v>
      </c>
      <c r="BD2" s="438" t="s">
        <v>573</v>
      </c>
      <c r="BE2" s="438" t="s">
        <v>64</v>
      </c>
      <c r="BF2" s="438" t="s">
        <v>574</v>
      </c>
      <c r="BG2" s="438" t="s">
        <v>575</v>
      </c>
      <c r="BH2" s="438" t="s">
        <v>572</v>
      </c>
      <c r="BI2" s="438" t="s">
        <v>573</v>
      </c>
      <c r="BJ2" s="438" t="s">
        <v>64</v>
      </c>
      <c r="BK2" s="438" t="s">
        <v>574</v>
      </c>
      <c r="BL2" s="438" t="s">
        <v>575</v>
      </c>
      <c r="BM2" s="437" t="s">
        <v>572</v>
      </c>
      <c r="BN2" s="437" t="s">
        <v>573</v>
      </c>
      <c r="BO2" s="437" t="s">
        <v>64</v>
      </c>
      <c r="BP2" s="437" t="s">
        <v>574</v>
      </c>
      <c r="BQ2" s="437" t="s">
        <v>575</v>
      </c>
      <c r="BR2" s="437" t="s">
        <v>572</v>
      </c>
      <c r="BS2" s="437" t="s">
        <v>573</v>
      </c>
      <c r="BT2" s="437" t="s">
        <v>64</v>
      </c>
      <c r="BU2" s="437" t="s">
        <v>574</v>
      </c>
      <c r="BV2" s="437" t="s">
        <v>575</v>
      </c>
      <c r="BW2" s="437" t="s">
        <v>572</v>
      </c>
      <c r="BX2" s="437" t="s">
        <v>573</v>
      </c>
      <c r="BY2" s="437" t="s">
        <v>64</v>
      </c>
      <c r="BZ2" s="437" t="s">
        <v>574</v>
      </c>
      <c r="CA2" s="437" t="s">
        <v>575</v>
      </c>
      <c r="CB2" s="438" t="s">
        <v>64</v>
      </c>
      <c r="CC2" s="438" t="s">
        <v>574</v>
      </c>
      <c r="CD2" s="438" t="s">
        <v>575</v>
      </c>
      <c r="CE2" s="438" t="s">
        <v>574</v>
      </c>
      <c r="CF2" s="437" t="s">
        <v>574</v>
      </c>
      <c r="CG2" s="437" t="s">
        <v>575</v>
      </c>
      <c r="CH2" s="437" t="s">
        <v>574</v>
      </c>
      <c r="CI2" s="437" t="s">
        <v>64</v>
      </c>
    </row>
    <row r="3" spans="1:87" x14ac:dyDescent="0.25">
      <c r="A3" t="str">
        <f>PLANTILLA!D5</f>
        <v>D. Gehmacher</v>
      </c>
      <c r="C3" s="573">
        <f>PLANTILLA!E5</f>
        <v>34</v>
      </c>
      <c r="D3" s="303">
        <f ca="1">PLANTILLA!F5</f>
        <v>104</v>
      </c>
      <c r="E3" s="573"/>
      <c r="F3" s="263">
        <v>42468</v>
      </c>
      <c r="G3" s="439">
        <v>1</v>
      </c>
      <c r="H3" s="440">
        <f>PLANTILLA!I5</f>
        <v>23.7</v>
      </c>
      <c r="I3" s="440"/>
      <c r="J3" s="152">
        <f>PLANTILLA!X5</f>
        <v>16.666666666666668</v>
      </c>
      <c r="K3" s="152">
        <f>PLANTILLA!Y5</f>
        <v>11.95</v>
      </c>
      <c r="L3" s="152">
        <f>PLANTILLA!Z5</f>
        <v>2.0699999999999985</v>
      </c>
      <c r="M3" s="152">
        <f>PLANTILLA!AA5</f>
        <v>2.149999999999999</v>
      </c>
      <c r="N3" s="152">
        <f>PLANTILLA!AB5</f>
        <v>0.95</v>
      </c>
      <c r="O3" s="152">
        <f>PLANTILLA!AC5</f>
        <v>0</v>
      </c>
      <c r="P3" s="152">
        <f>PLANTILLA!AD5</f>
        <v>18.2</v>
      </c>
      <c r="Q3" s="152">
        <f>((2*(N3+1))+(K3+1))/8</f>
        <v>2.1062499999999997</v>
      </c>
      <c r="R3" s="152">
        <f>1.66*(O3+(LOG(H3)*4/3)+G3)+0.55*(P3+(LOG(H3)*4/3)+G3)-7.6</f>
        <v>8.6709251262431071</v>
      </c>
      <c r="S3" s="152">
        <f>(0.5*O3+ 0.3*P3)/10</f>
        <v>0.54600000000000004</v>
      </c>
      <c r="T3" s="152">
        <f>(0.4*K3+0.3*P3)/10</f>
        <v>1.024</v>
      </c>
      <c r="U3" s="152">
        <f t="shared" ref="U3:U22" ca="1" si="0">IF(TODAY()-F3&gt;335,(P3+1+(LOG(H3)*4/3)),(P3+((TODAY()-F3)^0.5)/(336^0.5)+(LOG(H3)*4/3)))</f>
        <v>21.032997794680139</v>
      </c>
      <c r="V3" s="148">
        <f t="shared" ref="V3:V22" si="1">((J3+G3+(LOG(H3)*4/3))*0.597)+((K3+G3+(LOG(H3)*4/3))*0.276)</f>
        <v>15.721407074755762</v>
      </c>
      <c r="W3" s="148">
        <f t="shared" ref="W3:W22" si="2">((J3+G3+(LOG(H3)*4/3))*0.866)+((K3+G3+(LOG(H3)*4/3))*0.425)</f>
        <v>23.169483486265392</v>
      </c>
      <c r="X3" s="148">
        <f>V3</f>
        <v>15.721407074755762</v>
      </c>
      <c r="Y3" s="148">
        <f t="shared" ref="Y3:Y22" si="3">((K3+G3+(LOG(H3)*4/3))*0.516)</f>
        <v>7.6280268620549521</v>
      </c>
      <c r="Z3" s="148">
        <f t="shared" ref="Z3:Z22" si="4">(K3+G3+(LOG(H3)*4/3))*1</f>
        <v>14.782997794680139</v>
      </c>
      <c r="AA3" s="148">
        <f>Y3/2</f>
        <v>3.814013431027476</v>
      </c>
      <c r="AB3" s="148">
        <f t="shared" ref="AB3:AB22" si="5">(L3+G3+(LOG(H3)*4/3))*0.238</f>
        <v>1.1669134751338726</v>
      </c>
      <c r="AC3" s="148">
        <f t="shared" ref="AC3:AC22" si="6">((K3+G3+(LOG(H3)*4/3))*0.378)</f>
        <v>5.5879731663890926</v>
      </c>
      <c r="AD3" s="148">
        <f t="shared" ref="AD3:AD22" si="7">(K3+G3+(LOG(H3)*4/3))*0.723</f>
        <v>10.68810740555374</v>
      </c>
      <c r="AE3" s="148">
        <f>AC3/2</f>
        <v>2.7939865831945463</v>
      </c>
      <c r="AF3" s="148">
        <f t="shared" ref="AF3:AF22" si="8">(L3+G3+(LOG(H3)*4/3))*0.385</f>
        <v>1.8876541509518527</v>
      </c>
      <c r="AG3" s="318">
        <f t="shared" ref="AG3:AG22" si="9">((K3+G3+(LOG(H3)*4/3))*0.92)</f>
        <v>13.600357971105728</v>
      </c>
      <c r="AH3" s="148">
        <f t="shared" ref="AH3:AH22" si="10">(K3+G3+(LOG(H3)*4/3))*0.414</f>
        <v>6.1201610869975767</v>
      </c>
      <c r="AI3" s="148">
        <f t="shared" ref="AI3:AI22" si="11">((L3+G3+(LOG(H3)*4/3))*0.167)</f>
        <v>0.8188006317115829</v>
      </c>
      <c r="AJ3" s="318">
        <f t="shared" ref="AJ3:AJ22" si="12">(M3+G3+(LOG(H3)*4/3))*0.588</f>
        <v>2.9300027032719207</v>
      </c>
      <c r="AK3" s="148">
        <f t="shared" ref="AK3:AK22" si="13">((K3+G3+(LOG(H3)*4/3))*0.754)</f>
        <v>11.146380337188825</v>
      </c>
      <c r="AL3" s="148">
        <f t="shared" ref="AL3:AL22" si="14">((K3+G3+(LOG(H3)*4/3))*0.708)</f>
        <v>10.466362438633537</v>
      </c>
      <c r="AM3" s="148">
        <f t="shared" ref="AM3:AM22" si="15">((P3+G3+(LOG(H3)*4/3))*0.167)</f>
        <v>3.5125106317115833</v>
      </c>
      <c r="AN3" s="148">
        <f t="shared" ref="AN3:AN22" si="16">((Q3+G3+(LOG(H3)*4/3))*0.288)</f>
        <v>1.4225033648678798</v>
      </c>
      <c r="AO3" s="148">
        <f t="shared" ref="AO3:AO22" si="17">((K3+G3+(LOG(H3)*4/3))*0.27)</f>
        <v>3.9914094045636377</v>
      </c>
      <c r="AP3" s="148">
        <f t="shared" ref="AP3:AP22" si="18">((K3+G3+(LOG(H3)*4/3))*0.594)</f>
        <v>8.7811006900400024</v>
      </c>
      <c r="AQ3" s="148">
        <f>AO3/2</f>
        <v>1.9957047022818188</v>
      </c>
      <c r="AR3" s="148">
        <f t="shared" ref="AR3:AR22" si="19">((L3+G3+(LOG(H3)*4/3))*0.944)</f>
        <v>4.6284299181780488</v>
      </c>
      <c r="AS3" s="148">
        <f t="shared" ref="AS3:AS22" si="20">((N3+G3+(LOG(H3)*4/3))*0.13)</f>
        <v>0.49178971330841803</v>
      </c>
      <c r="AT3" s="148">
        <f t="shared" ref="AT3:AT22" si="21">((O3+G3+(LOG(H3)*4/3))*0.173)+((N3+G3+(LOG(H3)*4/3))*0.12)</f>
        <v>0.94406835384128052</v>
      </c>
      <c r="AU3" s="148">
        <f>AS3/2</f>
        <v>0.24589485665420902</v>
      </c>
      <c r="AV3" s="148">
        <f t="shared" ref="AV3:AV22" si="22">((K3+G3+(LOG(H3)*4/3))*0.189)</f>
        <v>2.7939865831945463</v>
      </c>
      <c r="AW3" s="148">
        <f t="shared" ref="AW3:AW22" si="23">((K3+G3+(LOG(H3)*4/3))*0.4)</f>
        <v>5.9131991178720558</v>
      </c>
      <c r="AX3" s="148">
        <f>AV3/2</f>
        <v>1.3969932915972731</v>
      </c>
      <c r="AY3" s="148">
        <f t="shared" ref="AY3:AY22" si="24">((L3+G3+(LOG(H3)*4/3))*1)</f>
        <v>4.9029977946801369</v>
      </c>
      <c r="AZ3" s="148">
        <f t="shared" ref="AZ3:AZ22" si="25">((N3+G3+(LOG(H3)*4/3))*0.253)</f>
        <v>0.95709844205407502</v>
      </c>
      <c r="BA3" s="148">
        <f t="shared" ref="BA3:BA22" si="26">((O3+G3+(LOG(H3)*4/3))*0.21)+((N3+G3+(LOG(H3)*4/3))*0.341)</f>
        <v>1.8849317848687566</v>
      </c>
      <c r="BB3" s="148">
        <f>AZ3/2</f>
        <v>0.47854922102703751</v>
      </c>
      <c r="BC3" s="148">
        <f t="shared" ref="BC3:BC22" si="27">((K3+G3+(LOG(H3)*4/3))*0.291)</f>
        <v>4.3018523582519199</v>
      </c>
      <c r="BD3" s="148">
        <f t="shared" ref="BD3:BD22" si="28">((K3+G3+(LOG(H3)*4/3))*0.348)</f>
        <v>5.144483232548688</v>
      </c>
      <c r="BE3" s="148">
        <f t="shared" ref="BE3:BE22" si="29">((L3+G3+(LOG(H3)*4/3))*0.881)</f>
        <v>4.3195410571132005</v>
      </c>
      <c r="BF3" s="148">
        <f t="shared" ref="BF3:BF22" si="30">((M3+G3+(LOG(H3)*4/3))*0.574)+((N3+G3+(LOG(H3)*4/3))*0.315)</f>
        <v>4.0518850394706423</v>
      </c>
      <c r="BG3" s="148">
        <f t="shared" ref="BG3:BG22" si="31">((N3+G3+(LOG(H3)*4/3))*0.241)</f>
        <v>0.91170246851791337</v>
      </c>
      <c r="BH3" s="148">
        <f t="shared" ref="BH3:BH22" si="32">((K3+G3+(LOG(H3)*4/3))*0.485)</f>
        <v>7.1697539304198674</v>
      </c>
      <c r="BI3" s="148">
        <f t="shared" ref="BI3:BI22" si="33">((K3+G3+(LOG(H3)*4/3))*0.264)</f>
        <v>3.9027114177955569</v>
      </c>
      <c r="BJ3" s="148">
        <f t="shared" ref="BJ3:BJ22" si="34">((L3+G3+(LOG(H3)*4/3))*0.381)</f>
        <v>1.8680421597731323</v>
      </c>
      <c r="BK3" s="148">
        <f t="shared" ref="BK3:BK22" si="35">((M3+G3+(LOG(H3)*4/3))*0.673)+((N3+G3+(LOG(H3)*4/3))*0.201)</f>
        <v>4.1139400725504407</v>
      </c>
      <c r="BL3" s="148">
        <f t="shared" ref="BL3:BL22" si="36">((N3+G3+(LOG(H3)*4/3))*0.052)</f>
        <v>0.1967158853233672</v>
      </c>
      <c r="BM3" s="148">
        <f t="shared" ref="BM3:BM22" si="37">((K3+G3+(LOG(H3)*4/3))*0.18)</f>
        <v>2.6609396030424248</v>
      </c>
      <c r="BN3" s="148">
        <f t="shared" ref="BN3:BN22" si="38">(K3+G3+(LOG(H3)*4/3))*0.068</f>
        <v>1.0052438500382495</v>
      </c>
      <c r="BO3" s="148">
        <f t="shared" ref="BO3:BO22" si="39">((L3+G3+(LOG(H3)*4/3))*0.305)</f>
        <v>1.4954143273774416</v>
      </c>
      <c r="BP3" s="148">
        <f t="shared" ref="BP3:BP22" si="40">((M3+G3+(LOG(H3)*4/3))*1)+((N3+G3+(LOG(H3)*4/3))*0.286)</f>
        <v>6.0649351639586575</v>
      </c>
      <c r="BQ3" s="148">
        <f t="shared" ref="BQ3:BQ22" si="41">((N3+G3+(LOG(H3)*4/3))*0.135)</f>
        <v>0.51070470228181875</v>
      </c>
      <c r="BR3" s="148">
        <f t="shared" ref="BR3:BR22" si="42">((K3+G3+(LOG(H3)*4/3))*0.284)</f>
        <v>4.1983713736891586</v>
      </c>
      <c r="BS3" s="148">
        <f t="shared" ref="BS3:BS22" si="43">(K3+G3+(LOG(H3)*4/3))*0.244</f>
        <v>3.6070514619019538</v>
      </c>
      <c r="BT3" s="148">
        <f t="shared" ref="BT3:BT22" si="44">((L3+G3+(LOG(H3)*4/3))*0.455)</f>
        <v>2.2308639965794623</v>
      </c>
      <c r="BU3" s="148">
        <f t="shared" ref="BU3:BU22" si="45">((M3+G3+(LOG(H3)*4/3))*0.864)+((N3+G3+(LOG(H3)*4/3))*0.244)</f>
        <v>5.2283615565055932</v>
      </c>
      <c r="BV3" s="148">
        <f t="shared" ref="BV3:BV22" si="46">((N3+G3+(LOG(H3)*4/3))*0.121)</f>
        <v>0.45774273315629677</v>
      </c>
      <c r="BW3" s="148">
        <f t="shared" ref="BW3:BW22" si="47">((K3+G3+(LOG(H3)*4/3))*0.284)</f>
        <v>4.1983713736891586</v>
      </c>
      <c r="BX3" s="148">
        <f t="shared" ref="BX3:BX22" si="48">((K3+G3+(LOG(H3)*4/3))*0.244)</f>
        <v>3.6070514619019538</v>
      </c>
      <c r="BY3" s="148">
        <f t="shared" ref="BY3:BY22" si="49">((L3+G3+(LOG(H3)*4/3))*0.631)</f>
        <v>3.0937916084431665</v>
      </c>
      <c r="BZ3" s="148">
        <f t="shared" ref="BZ3:BZ22" si="50">((M3+G3+(LOG(H3)*4/3))*0.702)+((N3+G3+(LOG(H3)*4/3))*0.193)</f>
        <v>4.2281830262387228</v>
      </c>
      <c r="CA3" s="148">
        <f t="shared" ref="CA3:CA22" si="51">((N3+G3+(LOG(H3)*4/3))*0.148)</f>
        <v>0.55988367361266045</v>
      </c>
      <c r="CB3" s="148">
        <f t="shared" ref="CB3:CB22" si="52">((L3+G3+(LOG(H3)*4/3))*0.406)</f>
        <v>1.9906171046401357</v>
      </c>
      <c r="CC3" s="148">
        <f t="shared" ref="CC3:CC22" si="53">IF(E3="TEC",((M3+G3+(LOG(H3)*4/3))*0.15)+((N3+G3+(LOG(H3)*4/3))*0.324)+((O3+G3+(LOG(H3)*4/3))*0.127),(((M3+G3+(LOG(H3)*4/3))*0.144)+((N3+G3+(LOG(H3)*4/3))*0.25)+((O3+G3+(LOG(H3)*4/3))*0.127)))</f>
        <v>2.0230918510283522</v>
      </c>
      <c r="CD3" s="148">
        <f t="shared" ref="CD3:CD22" si="54">((N3+G3+(LOG(H3)*4/3))*0.543)+((O3+G3+(LOG(H3)*4/3))*0.583)</f>
        <v>3.7058055168098356</v>
      </c>
      <c r="CE3" s="148">
        <f>CC3</f>
        <v>2.0230918510283522</v>
      </c>
      <c r="CF3" s="148">
        <f t="shared" ref="CF3:CF22" si="55">((O3+1+(LOG(H3)*4/3))*0.26)+((M3+G3+(LOG(H3)*4/3))*0.221)+((N3+G3+(LOG(H3)*4/3))*0.142)</f>
        <v>2.375007626085726</v>
      </c>
      <c r="CG3" s="148">
        <f t="shared" ref="CG3:CG22" si="56">((O3+G3+(LOG(H3)*4/3))*1)+((N3+G3+(LOG(H3)*4/3))*0.369)</f>
        <v>4.2289239809171093</v>
      </c>
      <c r="CH3" s="148">
        <f>CF3</f>
        <v>2.375007626085726</v>
      </c>
      <c r="CI3" s="148">
        <f>((L3+G3+(LOG(H3)*4/3))*0.25)</f>
        <v>1.2257494486700342</v>
      </c>
    </row>
    <row r="4" spans="1:87" x14ac:dyDescent="0.25">
      <c r="A4" t="str">
        <f>PLANTILLA!D6</f>
        <v>T. Hammond</v>
      </c>
      <c r="B4" t="s">
        <v>722</v>
      </c>
      <c r="C4" s="573">
        <f>PLANTILLA!E6</f>
        <v>39</v>
      </c>
      <c r="D4" s="573">
        <f ca="1">PLANTILLA!F6</f>
        <v>1</v>
      </c>
      <c r="E4" s="573" t="str">
        <f>PLANTILLA!G6</f>
        <v>CAB</v>
      </c>
      <c r="F4" s="263">
        <v>41400</v>
      </c>
      <c r="G4" s="439">
        <v>1.5</v>
      </c>
      <c r="H4" s="440">
        <f>PLANTILLA!I6</f>
        <v>8.4</v>
      </c>
      <c r="I4" s="440"/>
      <c r="J4" s="152">
        <f>PLANTILLA!X6</f>
        <v>7.95</v>
      </c>
      <c r="K4" s="152">
        <f>PLANTILLA!Y6</f>
        <v>7.95</v>
      </c>
      <c r="L4" s="152">
        <f>PLANTILLA!Z6</f>
        <v>0.95</v>
      </c>
      <c r="M4" s="152">
        <f>PLANTILLA!AA6</f>
        <v>0.95</v>
      </c>
      <c r="N4" s="152">
        <f>PLANTILLA!AB6</f>
        <v>1.95</v>
      </c>
      <c r="O4" s="152">
        <f>PLANTILLA!AC6</f>
        <v>0</v>
      </c>
      <c r="P4" s="152">
        <f>PLANTILLA!AD6</f>
        <v>14.95</v>
      </c>
      <c r="Q4" s="152">
        <f t="shared" ref="Q4:Q22" si="57">((2*(N4+1))+(K4+1))/8</f>
        <v>1.85625</v>
      </c>
      <c r="R4" s="152">
        <f t="shared" ref="R4:R22" si="58">1.66*(O4+(LOG(H4)*4/3)+G4)+0.55*(P4+(LOG(H4)*4/3)+G4)-7.6</f>
        <v>6.6610429629290131</v>
      </c>
      <c r="S4" s="152">
        <f t="shared" ref="S4:S22" si="59">(0.5*O4+ 0.3*P4)/10</f>
        <v>0.44849999999999995</v>
      </c>
      <c r="T4" s="152">
        <f t="shared" ref="T4:T22" si="60">(0.4*K4+0.3*P4)/10</f>
        <v>0.76649999999999996</v>
      </c>
      <c r="U4" s="152">
        <f t="shared" ca="1" si="0"/>
        <v>17.182372381415842</v>
      </c>
      <c r="V4" s="148">
        <f t="shared" si="1"/>
        <v>9.3257110889760302</v>
      </c>
      <c r="W4" s="148">
        <f t="shared" si="2"/>
        <v>13.790942744407852</v>
      </c>
      <c r="X4" s="148">
        <f t="shared" ref="X4:X22" si="61">V4</f>
        <v>9.3257110889760302</v>
      </c>
      <c r="Y4" s="148">
        <f t="shared" si="3"/>
        <v>5.5121041488105744</v>
      </c>
      <c r="Z4" s="148">
        <f t="shared" si="4"/>
        <v>10.682372381415842</v>
      </c>
      <c r="AA4" s="148">
        <f t="shared" ref="AA4:AA22" si="62">Y4/2</f>
        <v>2.7560520744052872</v>
      </c>
      <c r="AB4" s="148">
        <f t="shared" si="5"/>
        <v>0.87640462677697051</v>
      </c>
      <c r="AC4" s="148">
        <f t="shared" si="6"/>
        <v>4.0379367601751879</v>
      </c>
      <c r="AD4" s="148">
        <f t="shared" si="7"/>
        <v>7.7233552317636534</v>
      </c>
      <c r="AE4" s="148">
        <f t="shared" ref="AE4:AE22" si="63">AC4/2</f>
        <v>2.0189683800875939</v>
      </c>
      <c r="AF4" s="148">
        <f t="shared" si="8"/>
        <v>1.4177133668450994</v>
      </c>
      <c r="AG4" s="318">
        <f t="shared" si="9"/>
        <v>9.8277825909025758</v>
      </c>
      <c r="AH4" s="148">
        <f t="shared" si="10"/>
        <v>4.4225021659061587</v>
      </c>
      <c r="AI4" s="148">
        <f t="shared" si="11"/>
        <v>0.61495618769644578</v>
      </c>
      <c r="AJ4" s="318">
        <f t="shared" si="12"/>
        <v>2.1652349602725152</v>
      </c>
      <c r="AK4" s="148">
        <f t="shared" si="13"/>
        <v>8.0545087755875446</v>
      </c>
      <c r="AL4" s="148">
        <f t="shared" si="14"/>
        <v>7.5631196460424155</v>
      </c>
      <c r="AM4" s="148">
        <f t="shared" si="15"/>
        <v>2.9529561876964459</v>
      </c>
      <c r="AN4" s="148">
        <f t="shared" si="16"/>
        <v>1.3215232458477624</v>
      </c>
      <c r="AO4" s="148">
        <f t="shared" si="17"/>
        <v>2.8842405429822775</v>
      </c>
      <c r="AP4" s="148">
        <f t="shared" si="18"/>
        <v>6.3453291945610095</v>
      </c>
      <c r="AQ4" s="148">
        <f t="shared" ref="AQ4:AQ22" si="64">AO4/2</f>
        <v>1.4421202714911387</v>
      </c>
      <c r="AR4" s="148">
        <f t="shared" si="19"/>
        <v>3.4761595280565549</v>
      </c>
      <c r="AS4" s="148">
        <f t="shared" si="20"/>
        <v>0.60870840958405947</v>
      </c>
      <c r="AT4" s="148">
        <f t="shared" si="21"/>
        <v>1.0345851077548418</v>
      </c>
      <c r="AU4" s="148">
        <f t="shared" ref="AU4:AU22" si="65">AS4/2</f>
        <v>0.30435420479202974</v>
      </c>
      <c r="AV4" s="148">
        <f t="shared" si="22"/>
        <v>2.0189683800875939</v>
      </c>
      <c r="AW4" s="148">
        <f t="shared" si="23"/>
        <v>4.2729489525663373</v>
      </c>
      <c r="AX4" s="148">
        <f t="shared" ref="AX4:AX22" si="66">AV4/2</f>
        <v>1.009484190043797</v>
      </c>
      <c r="AY4" s="148">
        <f t="shared" si="24"/>
        <v>3.6823723814158424</v>
      </c>
      <c r="AZ4" s="148">
        <f t="shared" si="25"/>
        <v>1.1846402124982081</v>
      </c>
      <c r="BA4" s="148">
        <f t="shared" si="26"/>
        <v>2.1704871821601293</v>
      </c>
      <c r="BB4" s="148">
        <f t="shared" ref="BB4:BB22" si="67">AZ4/2</f>
        <v>0.59232010624910403</v>
      </c>
      <c r="BC4" s="148">
        <f t="shared" si="27"/>
        <v>3.1085703629920096</v>
      </c>
      <c r="BD4" s="148">
        <f t="shared" si="28"/>
        <v>3.7174655887327126</v>
      </c>
      <c r="BE4" s="148">
        <f t="shared" si="29"/>
        <v>3.2441700680273571</v>
      </c>
      <c r="BF4" s="148">
        <f t="shared" si="30"/>
        <v>3.5886290470786841</v>
      </c>
      <c r="BG4" s="148">
        <f t="shared" si="31"/>
        <v>1.1284517439212178</v>
      </c>
      <c r="BH4" s="148">
        <f t="shared" si="32"/>
        <v>5.1809506049866831</v>
      </c>
      <c r="BI4" s="148">
        <f t="shared" si="33"/>
        <v>2.8201463086937824</v>
      </c>
      <c r="BJ4" s="148">
        <f t="shared" si="34"/>
        <v>1.4029838773194361</v>
      </c>
      <c r="BK4" s="148">
        <f t="shared" si="35"/>
        <v>3.4193934613574464</v>
      </c>
      <c r="BL4" s="148">
        <f t="shared" si="36"/>
        <v>0.24348336383362376</v>
      </c>
      <c r="BM4" s="148">
        <f t="shared" si="37"/>
        <v>1.9228270286548514</v>
      </c>
      <c r="BN4" s="148">
        <f t="shared" si="38"/>
        <v>0.72640132193627727</v>
      </c>
      <c r="BO4" s="148">
        <f t="shared" si="39"/>
        <v>1.1231235763318319</v>
      </c>
      <c r="BP4" s="148">
        <f t="shared" si="40"/>
        <v>5.0215308825007732</v>
      </c>
      <c r="BQ4" s="148">
        <f t="shared" si="41"/>
        <v>0.6321202714911387</v>
      </c>
      <c r="BR4" s="148">
        <f t="shared" si="42"/>
        <v>3.0337937563220989</v>
      </c>
      <c r="BS4" s="148">
        <f t="shared" si="43"/>
        <v>2.6064988610654654</v>
      </c>
      <c r="BT4" s="148">
        <f t="shared" si="44"/>
        <v>1.6754794335442085</v>
      </c>
      <c r="BU4" s="148">
        <f t="shared" si="45"/>
        <v>4.3240685986087533</v>
      </c>
      <c r="BV4" s="148">
        <f t="shared" si="46"/>
        <v>0.56656705815131692</v>
      </c>
      <c r="BW4" s="148">
        <f t="shared" si="47"/>
        <v>3.0337937563220989</v>
      </c>
      <c r="BX4" s="148">
        <f t="shared" si="48"/>
        <v>2.6064988610654654</v>
      </c>
      <c r="BY4" s="148">
        <f t="shared" si="49"/>
        <v>2.3235769726733966</v>
      </c>
      <c r="BZ4" s="148">
        <f t="shared" si="50"/>
        <v>3.4887232813671787</v>
      </c>
      <c r="CA4" s="148">
        <f t="shared" si="51"/>
        <v>0.69299111244954459</v>
      </c>
      <c r="CB4" s="148">
        <f t="shared" si="52"/>
        <v>1.4950431868548322</v>
      </c>
      <c r="CC4" s="148">
        <f t="shared" si="53"/>
        <v>2.0478660107176538</v>
      </c>
      <c r="CD4" s="148">
        <f t="shared" si="54"/>
        <v>4.135501301474239</v>
      </c>
      <c r="CE4" s="148">
        <f t="shared" ref="CE4:CE22" si="68">CC4</f>
        <v>2.0478660107176538</v>
      </c>
      <c r="CF4" s="148">
        <f t="shared" si="55"/>
        <v>2.0591179936220696</v>
      </c>
      <c r="CG4" s="148">
        <f t="shared" si="56"/>
        <v>4.4601677901582875</v>
      </c>
      <c r="CH4" s="148">
        <f t="shared" ref="CH4:CH22" si="69">CF4</f>
        <v>2.0591179936220696</v>
      </c>
      <c r="CI4" s="148">
        <f t="shared" ref="CI4:CI22" si="70">((L4+G4+(LOG(H4)*4/3))*0.25)</f>
        <v>0.92059309535396061</v>
      </c>
    </row>
    <row r="5" spans="1:87" x14ac:dyDescent="0.25">
      <c r="A5" t="e">
        <f>PLANTILLA!#REF!</f>
        <v>#REF!</v>
      </c>
      <c r="B5" t="s">
        <v>722</v>
      </c>
      <c r="C5" s="573" t="e">
        <f>PLANTILLA!#REF!</f>
        <v>#REF!</v>
      </c>
      <c r="D5" s="573" t="e">
        <f>PLANTILLA!#REF!</f>
        <v>#REF!</v>
      </c>
      <c r="E5" s="573" t="e">
        <f>PLANTILLA!#REF!</f>
        <v>#REF!</v>
      </c>
      <c r="F5" s="263">
        <v>41519</v>
      </c>
      <c r="G5" s="439">
        <v>1.5</v>
      </c>
      <c r="H5" s="440" t="e">
        <f>PLANTILLA!#REF!</f>
        <v>#REF!</v>
      </c>
      <c r="I5" s="303"/>
      <c r="J5" s="152" t="e">
        <f>PLANTILLA!#REF!</f>
        <v>#REF!</v>
      </c>
      <c r="K5" s="152" t="e">
        <f>PLANTILLA!#REF!</f>
        <v>#REF!</v>
      </c>
      <c r="L5" s="152" t="e">
        <f>PLANTILLA!#REF!</f>
        <v>#REF!</v>
      </c>
      <c r="M5" s="152" t="e">
        <f>PLANTILLA!#REF!</f>
        <v>#REF!</v>
      </c>
      <c r="N5" s="152" t="e">
        <f>PLANTILLA!#REF!</f>
        <v>#REF!</v>
      </c>
      <c r="O5" s="152" t="e">
        <f>PLANTILLA!#REF!</f>
        <v>#REF!</v>
      </c>
      <c r="P5" s="152" t="e">
        <f>PLANTILLA!#REF!</f>
        <v>#REF!</v>
      </c>
      <c r="Q5" s="152" t="e">
        <f t="shared" si="57"/>
        <v>#REF!</v>
      </c>
      <c r="R5" s="152" t="e">
        <f t="shared" si="58"/>
        <v>#REF!</v>
      </c>
      <c r="S5" s="152" t="e">
        <f t="shared" si="59"/>
        <v>#REF!</v>
      </c>
      <c r="T5" s="152" t="e">
        <f t="shared" si="60"/>
        <v>#REF!</v>
      </c>
      <c r="U5" s="152" t="e">
        <f t="shared" ca="1" si="0"/>
        <v>#REF!</v>
      </c>
      <c r="V5" s="148" t="e">
        <f t="shared" si="1"/>
        <v>#REF!</v>
      </c>
      <c r="W5" s="148" t="e">
        <f t="shared" si="2"/>
        <v>#REF!</v>
      </c>
      <c r="X5" s="148" t="e">
        <f t="shared" si="61"/>
        <v>#REF!</v>
      </c>
      <c r="Y5" s="148" t="e">
        <f t="shared" si="3"/>
        <v>#REF!</v>
      </c>
      <c r="Z5" s="148" t="e">
        <f t="shared" si="4"/>
        <v>#REF!</v>
      </c>
      <c r="AA5" s="148" t="e">
        <f t="shared" si="62"/>
        <v>#REF!</v>
      </c>
      <c r="AB5" s="148" t="e">
        <f t="shared" si="5"/>
        <v>#REF!</v>
      </c>
      <c r="AC5" s="148" t="e">
        <f t="shared" si="6"/>
        <v>#REF!</v>
      </c>
      <c r="AD5" s="148" t="e">
        <f t="shared" si="7"/>
        <v>#REF!</v>
      </c>
      <c r="AE5" s="148" t="e">
        <f t="shared" si="63"/>
        <v>#REF!</v>
      </c>
      <c r="AF5" s="148" t="e">
        <f t="shared" si="8"/>
        <v>#REF!</v>
      </c>
      <c r="AG5" s="318" t="e">
        <f t="shared" si="9"/>
        <v>#REF!</v>
      </c>
      <c r="AH5" s="148" t="e">
        <f t="shared" si="10"/>
        <v>#REF!</v>
      </c>
      <c r="AI5" s="148" t="e">
        <f t="shared" si="11"/>
        <v>#REF!</v>
      </c>
      <c r="AJ5" s="318" t="e">
        <f t="shared" si="12"/>
        <v>#REF!</v>
      </c>
      <c r="AK5" s="148" t="e">
        <f t="shared" si="13"/>
        <v>#REF!</v>
      </c>
      <c r="AL5" s="148" t="e">
        <f t="shared" si="14"/>
        <v>#REF!</v>
      </c>
      <c r="AM5" s="148" t="e">
        <f t="shared" si="15"/>
        <v>#REF!</v>
      </c>
      <c r="AN5" s="148" t="e">
        <f t="shared" si="16"/>
        <v>#REF!</v>
      </c>
      <c r="AO5" s="148" t="e">
        <f t="shared" si="17"/>
        <v>#REF!</v>
      </c>
      <c r="AP5" s="148" t="e">
        <f t="shared" si="18"/>
        <v>#REF!</v>
      </c>
      <c r="AQ5" s="148" t="e">
        <f t="shared" si="64"/>
        <v>#REF!</v>
      </c>
      <c r="AR5" s="148" t="e">
        <f t="shared" si="19"/>
        <v>#REF!</v>
      </c>
      <c r="AS5" s="148" t="e">
        <f t="shared" si="20"/>
        <v>#REF!</v>
      </c>
      <c r="AT5" s="148" t="e">
        <f t="shared" si="21"/>
        <v>#REF!</v>
      </c>
      <c r="AU5" s="148" t="e">
        <f t="shared" si="65"/>
        <v>#REF!</v>
      </c>
      <c r="AV5" s="148" t="e">
        <f t="shared" si="22"/>
        <v>#REF!</v>
      </c>
      <c r="AW5" s="148" t="e">
        <f t="shared" si="23"/>
        <v>#REF!</v>
      </c>
      <c r="AX5" s="148" t="e">
        <f t="shared" si="66"/>
        <v>#REF!</v>
      </c>
      <c r="AY5" s="148" t="e">
        <f t="shared" si="24"/>
        <v>#REF!</v>
      </c>
      <c r="AZ5" s="148" t="e">
        <f t="shared" si="25"/>
        <v>#REF!</v>
      </c>
      <c r="BA5" s="148" t="e">
        <f t="shared" si="26"/>
        <v>#REF!</v>
      </c>
      <c r="BB5" s="148" t="e">
        <f t="shared" si="67"/>
        <v>#REF!</v>
      </c>
      <c r="BC5" s="148" t="e">
        <f t="shared" si="27"/>
        <v>#REF!</v>
      </c>
      <c r="BD5" s="148" t="e">
        <f t="shared" si="28"/>
        <v>#REF!</v>
      </c>
      <c r="BE5" s="148" t="e">
        <f t="shared" si="29"/>
        <v>#REF!</v>
      </c>
      <c r="BF5" s="148" t="e">
        <f t="shared" si="30"/>
        <v>#REF!</v>
      </c>
      <c r="BG5" s="148" t="e">
        <f t="shared" si="31"/>
        <v>#REF!</v>
      </c>
      <c r="BH5" s="148" t="e">
        <f t="shared" si="32"/>
        <v>#REF!</v>
      </c>
      <c r="BI5" s="148" t="e">
        <f t="shared" si="33"/>
        <v>#REF!</v>
      </c>
      <c r="BJ5" s="148" t="e">
        <f t="shared" si="34"/>
        <v>#REF!</v>
      </c>
      <c r="BK5" s="148" t="e">
        <f t="shared" si="35"/>
        <v>#REF!</v>
      </c>
      <c r="BL5" s="148" t="e">
        <f t="shared" si="36"/>
        <v>#REF!</v>
      </c>
      <c r="BM5" s="148" t="e">
        <f t="shared" si="37"/>
        <v>#REF!</v>
      </c>
      <c r="BN5" s="148" t="e">
        <f t="shared" si="38"/>
        <v>#REF!</v>
      </c>
      <c r="BO5" s="148" t="e">
        <f t="shared" si="39"/>
        <v>#REF!</v>
      </c>
      <c r="BP5" s="148" t="e">
        <f t="shared" si="40"/>
        <v>#REF!</v>
      </c>
      <c r="BQ5" s="148" t="e">
        <f t="shared" si="41"/>
        <v>#REF!</v>
      </c>
      <c r="BR5" s="148" t="e">
        <f t="shared" si="42"/>
        <v>#REF!</v>
      </c>
      <c r="BS5" s="148" t="e">
        <f t="shared" si="43"/>
        <v>#REF!</v>
      </c>
      <c r="BT5" s="148" t="e">
        <f t="shared" si="44"/>
        <v>#REF!</v>
      </c>
      <c r="BU5" s="148" t="e">
        <f t="shared" si="45"/>
        <v>#REF!</v>
      </c>
      <c r="BV5" s="148" t="e">
        <f t="shared" si="46"/>
        <v>#REF!</v>
      </c>
      <c r="BW5" s="148" t="e">
        <f t="shared" si="47"/>
        <v>#REF!</v>
      </c>
      <c r="BX5" s="148" t="e">
        <f t="shared" si="48"/>
        <v>#REF!</v>
      </c>
      <c r="BY5" s="148" t="e">
        <f t="shared" si="49"/>
        <v>#REF!</v>
      </c>
      <c r="BZ5" s="148" t="e">
        <f t="shared" si="50"/>
        <v>#REF!</v>
      </c>
      <c r="CA5" s="148" t="e">
        <f t="shared" si="51"/>
        <v>#REF!</v>
      </c>
      <c r="CB5" s="148" t="e">
        <f t="shared" si="52"/>
        <v>#REF!</v>
      </c>
      <c r="CC5" s="148" t="e">
        <f t="shared" si="53"/>
        <v>#REF!</v>
      </c>
      <c r="CD5" s="148" t="e">
        <f t="shared" si="54"/>
        <v>#REF!</v>
      </c>
      <c r="CE5" s="148" t="e">
        <f t="shared" si="68"/>
        <v>#REF!</v>
      </c>
      <c r="CF5" s="148" t="e">
        <f t="shared" si="55"/>
        <v>#REF!</v>
      </c>
      <c r="CG5" s="148" t="e">
        <f t="shared" si="56"/>
        <v>#REF!</v>
      </c>
      <c r="CH5" s="148" t="e">
        <f t="shared" si="69"/>
        <v>#REF!</v>
      </c>
      <c r="CI5" s="148" t="e">
        <f t="shared" si="70"/>
        <v>#REF!</v>
      </c>
    </row>
    <row r="6" spans="1:87" x14ac:dyDescent="0.25">
      <c r="A6" t="str">
        <f>PLANTILLA!D8</f>
        <v>E. Toney</v>
      </c>
      <c r="B6" t="s">
        <v>722</v>
      </c>
      <c r="C6" s="573">
        <f>PLANTILLA!E8</f>
        <v>36</v>
      </c>
      <c r="D6" s="573">
        <f ca="1">PLANTILLA!F8</f>
        <v>3</v>
      </c>
      <c r="E6" s="573"/>
      <c r="F6" s="263">
        <v>41539</v>
      </c>
      <c r="G6" s="439">
        <v>1.5</v>
      </c>
      <c r="H6" s="440">
        <f>PLANTILLA!I8</f>
        <v>18</v>
      </c>
      <c r="I6" s="303"/>
      <c r="J6" s="152">
        <f>PLANTILLA!X8</f>
        <v>0</v>
      </c>
      <c r="K6" s="152">
        <f>PLANTILLA!Y8</f>
        <v>11.95</v>
      </c>
      <c r="L6" s="152">
        <f>PLANTILLA!Z8</f>
        <v>12.95</v>
      </c>
      <c r="M6" s="152">
        <f>PLANTILLA!AA8</f>
        <v>8.9499999999999993</v>
      </c>
      <c r="N6" s="152">
        <f>PLANTILLA!AB8</f>
        <v>8.9499999999999993</v>
      </c>
      <c r="O6" s="152">
        <f>PLANTILLA!AC8</f>
        <v>1.95</v>
      </c>
      <c r="P6" s="152">
        <f>PLANTILLA!AD8</f>
        <v>17.177777777777774</v>
      </c>
      <c r="Q6" s="152">
        <f t="shared" si="57"/>
        <v>4.1062499999999993</v>
      </c>
      <c r="R6" s="152">
        <f t="shared" si="58"/>
        <v>12.098647426148853</v>
      </c>
      <c r="S6" s="152">
        <f t="shared" si="59"/>
        <v>0.61283333333333312</v>
      </c>
      <c r="T6" s="152">
        <f t="shared" si="60"/>
        <v>0.99333333333333318</v>
      </c>
      <c r="U6" s="152">
        <f t="shared" ca="1" si="0"/>
        <v>19.851474451248848</v>
      </c>
      <c r="V6" s="148">
        <f t="shared" si="1"/>
        <v>6.0688371959402483</v>
      </c>
      <c r="W6" s="148">
        <f t="shared" si="2"/>
        <v>9.1759924054511579</v>
      </c>
      <c r="X6" s="148">
        <f t="shared" si="61"/>
        <v>6.0688371959402483</v>
      </c>
      <c r="Y6" s="148">
        <f t="shared" si="3"/>
        <v>7.8038274835110739</v>
      </c>
      <c r="Z6" s="148">
        <f t="shared" si="4"/>
        <v>15.123696673471073</v>
      </c>
      <c r="AA6" s="148">
        <f t="shared" si="62"/>
        <v>3.901913741755537</v>
      </c>
      <c r="AB6" s="148">
        <f t="shared" si="5"/>
        <v>3.8374398082861152</v>
      </c>
      <c r="AC6" s="148">
        <f t="shared" si="6"/>
        <v>5.7167573425720661</v>
      </c>
      <c r="AD6" s="148">
        <f t="shared" si="7"/>
        <v>10.934432694919586</v>
      </c>
      <c r="AE6" s="148">
        <f t="shared" si="63"/>
        <v>2.8583786712860331</v>
      </c>
      <c r="AF6" s="148">
        <f t="shared" si="8"/>
        <v>6.2076232192863632</v>
      </c>
      <c r="AG6" s="318">
        <f t="shared" si="9"/>
        <v>13.913800939593388</v>
      </c>
      <c r="AH6" s="148">
        <f t="shared" si="10"/>
        <v>6.2612104228170242</v>
      </c>
      <c r="AI6" s="148">
        <f t="shared" si="11"/>
        <v>2.6926573444696693</v>
      </c>
      <c r="AJ6" s="318">
        <f t="shared" si="12"/>
        <v>7.1287336440009907</v>
      </c>
      <c r="AK6" s="148">
        <f t="shared" si="13"/>
        <v>11.403267291797189</v>
      </c>
      <c r="AL6" s="148">
        <f t="shared" si="14"/>
        <v>10.70757724481752</v>
      </c>
      <c r="AM6" s="148">
        <f t="shared" si="15"/>
        <v>3.398696233358558</v>
      </c>
      <c r="AN6" s="148">
        <f t="shared" si="16"/>
        <v>2.0966246419596692</v>
      </c>
      <c r="AO6" s="148">
        <f t="shared" si="17"/>
        <v>4.0833981018371901</v>
      </c>
      <c r="AP6" s="148">
        <f t="shared" si="18"/>
        <v>8.9834758240418164</v>
      </c>
      <c r="AQ6" s="148">
        <f t="shared" si="64"/>
        <v>2.041699050918595</v>
      </c>
      <c r="AR6" s="148">
        <f t="shared" si="19"/>
        <v>15.220769659756693</v>
      </c>
      <c r="AS6" s="148">
        <f t="shared" si="20"/>
        <v>1.5760805675512395</v>
      </c>
      <c r="AT6" s="148">
        <f t="shared" si="21"/>
        <v>2.3412431253270247</v>
      </c>
      <c r="AU6" s="148">
        <f t="shared" si="65"/>
        <v>0.78804028377561974</v>
      </c>
      <c r="AV6" s="148">
        <f t="shared" si="22"/>
        <v>2.8583786712860331</v>
      </c>
      <c r="AW6" s="148">
        <f t="shared" si="23"/>
        <v>6.0494786693884297</v>
      </c>
      <c r="AX6" s="148">
        <f t="shared" si="66"/>
        <v>1.4291893356430165</v>
      </c>
      <c r="AY6" s="148">
        <f t="shared" si="24"/>
        <v>16.123696673471073</v>
      </c>
      <c r="AZ6" s="148">
        <f t="shared" si="25"/>
        <v>3.0672952583881816</v>
      </c>
      <c r="BA6" s="148">
        <f t="shared" si="26"/>
        <v>5.2101568670825618</v>
      </c>
      <c r="BB6" s="148">
        <f t="shared" si="67"/>
        <v>1.5336476291940908</v>
      </c>
      <c r="BC6" s="148">
        <f t="shared" si="27"/>
        <v>4.4009957319800819</v>
      </c>
      <c r="BD6" s="148">
        <f t="shared" si="28"/>
        <v>5.2630464423679335</v>
      </c>
      <c r="BE6" s="148">
        <f t="shared" si="29"/>
        <v>14.204976769328015</v>
      </c>
      <c r="BF6" s="148">
        <f t="shared" si="30"/>
        <v>10.777966342715784</v>
      </c>
      <c r="BG6" s="148">
        <f t="shared" si="31"/>
        <v>2.9218108983065285</v>
      </c>
      <c r="BH6" s="148">
        <f t="shared" si="32"/>
        <v>7.3349928866334704</v>
      </c>
      <c r="BI6" s="148">
        <f t="shared" si="33"/>
        <v>3.9926559217963637</v>
      </c>
      <c r="BJ6" s="148">
        <f t="shared" si="34"/>
        <v>6.1431284325924791</v>
      </c>
      <c r="BK6" s="148">
        <f t="shared" si="35"/>
        <v>10.596110892613719</v>
      </c>
      <c r="BL6" s="148">
        <f t="shared" si="36"/>
        <v>0.63043222702049584</v>
      </c>
      <c r="BM6" s="148">
        <f t="shared" si="37"/>
        <v>2.7222654012247931</v>
      </c>
      <c r="BN6" s="148">
        <f t="shared" si="38"/>
        <v>1.028411373796033</v>
      </c>
      <c r="BO6" s="148">
        <f t="shared" si="39"/>
        <v>4.917727485408677</v>
      </c>
      <c r="BP6" s="148">
        <f t="shared" si="40"/>
        <v>15.591073922083801</v>
      </c>
      <c r="BQ6" s="148">
        <f t="shared" si="41"/>
        <v>1.636699050918595</v>
      </c>
      <c r="BR6" s="148">
        <f t="shared" si="42"/>
        <v>4.2951298552657846</v>
      </c>
      <c r="BS6" s="148">
        <f t="shared" si="43"/>
        <v>3.690181988326942</v>
      </c>
      <c r="BT6" s="148">
        <f t="shared" si="44"/>
        <v>7.3362819864293387</v>
      </c>
      <c r="BU6" s="148">
        <f t="shared" si="45"/>
        <v>13.43305591420595</v>
      </c>
      <c r="BV6" s="148">
        <f t="shared" si="46"/>
        <v>1.4669672974899999</v>
      </c>
      <c r="BW6" s="148">
        <f t="shared" si="47"/>
        <v>4.2951298552657846</v>
      </c>
      <c r="BX6" s="148">
        <f t="shared" si="48"/>
        <v>3.690181988326942</v>
      </c>
      <c r="BY6" s="148">
        <f t="shared" si="49"/>
        <v>10.174052600960247</v>
      </c>
      <c r="BZ6" s="148">
        <f t="shared" si="50"/>
        <v>10.85070852275661</v>
      </c>
      <c r="CA6" s="148">
        <f t="shared" si="51"/>
        <v>1.7943071076737187</v>
      </c>
      <c r="CB6" s="148">
        <f t="shared" si="52"/>
        <v>6.5462208494292566</v>
      </c>
      <c r="CC6" s="148">
        <f t="shared" si="53"/>
        <v>5.4274459668784294</v>
      </c>
      <c r="CD6" s="148">
        <f t="shared" si="54"/>
        <v>9.5702824543284297</v>
      </c>
      <c r="CE6" s="148">
        <f t="shared" si="68"/>
        <v>5.4274459668784294</v>
      </c>
      <c r="CF6" s="148">
        <f t="shared" si="55"/>
        <v>5.6030630275724791</v>
      </c>
      <c r="CG6" s="148">
        <f t="shared" si="56"/>
        <v>9.5973407459819011</v>
      </c>
      <c r="CH6" s="148">
        <f t="shared" si="69"/>
        <v>5.6030630275724791</v>
      </c>
      <c r="CI6" s="148">
        <f t="shared" si="70"/>
        <v>4.0309241683677683</v>
      </c>
    </row>
    <row r="7" spans="1:87" x14ac:dyDescent="0.25">
      <c r="A7" t="str">
        <f>PLANTILLA!D9</f>
        <v>B. Bartolache</v>
      </c>
      <c r="B7" t="s">
        <v>722</v>
      </c>
      <c r="C7" s="573">
        <f>PLANTILLA!E9</f>
        <v>35</v>
      </c>
      <c r="D7" s="573">
        <f ca="1">PLANTILLA!F9</f>
        <v>100</v>
      </c>
      <c r="E7" s="573"/>
      <c r="F7" s="263">
        <v>41527</v>
      </c>
      <c r="G7" s="439">
        <v>1.5</v>
      </c>
      <c r="H7" s="440">
        <f>PLANTILLA!I9</f>
        <v>11.8</v>
      </c>
      <c r="I7" s="303"/>
      <c r="J7" s="152">
        <f>PLANTILLA!X9</f>
        <v>0</v>
      </c>
      <c r="K7" s="152">
        <f>PLANTILLA!Y9</f>
        <v>11.95</v>
      </c>
      <c r="L7" s="152">
        <f>PLANTILLA!Z9</f>
        <v>5.95</v>
      </c>
      <c r="M7" s="152">
        <f>PLANTILLA!AA9</f>
        <v>6.95</v>
      </c>
      <c r="N7" s="152">
        <f>PLANTILLA!AB9</f>
        <v>7.95</v>
      </c>
      <c r="O7" s="152">
        <f>PLANTILLA!AC9</f>
        <v>2.95</v>
      </c>
      <c r="P7" s="152">
        <f>PLANTILLA!AD9</f>
        <v>16</v>
      </c>
      <c r="Q7" s="152">
        <f t="shared" si="57"/>
        <v>3.8562499999999997</v>
      </c>
      <c r="R7" s="152">
        <f t="shared" si="58"/>
        <v>12.570478981528717</v>
      </c>
      <c r="S7" s="152">
        <f t="shared" si="59"/>
        <v>0.62750000000000006</v>
      </c>
      <c r="T7" s="152">
        <f t="shared" si="60"/>
        <v>0.95799999999999996</v>
      </c>
      <c r="U7" s="152">
        <f t="shared" ca="1" si="0"/>
        <v>18.4291760097415</v>
      </c>
      <c r="V7" s="148">
        <f t="shared" si="1"/>
        <v>5.8553706565043298</v>
      </c>
      <c r="W7" s="148">
        <f t="shared" si="2"/>
        <v>8.8603162285762771</v>
      </c>
      <c r="X7" s="148">
        <f t="shared" si="61"/>
        <v>5.8553706565043298</v>
      </c>
      <c r="Y7" s="148">
        <f t="shared" si="3"/>
        <v>7.6776548210266142</v>
      </c>
      <c r="Z7" s="148">
        <f t="shared" si="4"/>
        <v>14.879176009741499</v>
      </c>
      <c r="AA7" s="148">
        <f t="shared" si="62"/>
        <v>3.8388274105133071</v>
      </c>
      <c r="AB7" s="148">
        <f t="shared" si="5"/>
        <v>2.1132438903184774</v>
      </c>
      <c r="AC7" s="148">
        <f t="shared" si="6"/>
        <v>5.6243285316822869</v>
      </c>
      <c r="AD7" s="148">
        <f t="shared" si="7"/>
        <v>10.757644255043104</v>
      </c>
      <c r="AE7" s="148">
        <f t="shared" si="63"/>
        <v>2.8121642658411434</v>
      </c>
      <c r="AF7" s="148">
        <f t="shared" si="8"/>
        <v>3.418482763750478</v>
      </c>
      <c r="AG7" s="318">
        <f t="shared" si="9"/>
        <v>13.68884192896218</v>
      </c>
      <c r="AH7" s="148">
        <f t="shared" si="10"/>
        <v>6.1599788680329803</v>
      </c>
      <c r="AI7" s="148">
        <f t="shared" si="11"/>
        <v>1.4828223936268308</v>
      </c>
      <c r="AJ7" s="318">
        <f t="shared" si="12"/>
        <v>5.8089554937280017</v>
      </c>
      <c r="AK7" s="148">
        <f t="shared" si="13"/>
        <v>11.218898711345091</v>
      </c>
      <c r="AL7" s="148">
        <f t="shared" si="14"/>
        <v>10.534456614896982</v>
      </c>
      <c r="AM7" s="148">
        <f t="shared" si="15"/>
        <v>3.1611723936268308</v>
      </c>
      <c r="AN7" s="148">
        <f t="shared" si="16"/>
        <v>1.9542026908055519</v>
      </c>
      <c r="AO7" s="148">
        <f t="shared" si="17"/>
        <v>4.0173775226302046</v>
      </c>
      <c r="AP7" s="148">
        <f t="shared" si="18"/>
        <v>8.8382305497864504</v>
      </c>
      <c r="AQ7" s="148">
        <f t="shared" si="64"/>
        <v>2.0086887613151023</v>
      </c>
      <c r="AR7" s="148">
        <f t="shared" si="19"/>
        <v>8.3819421531959772</v>
      </c>
      <c r="AS7" s="148">
        <f t="shared" si="20"/>
        <v>1.4142928812663949</v>
      </c>
      <c r="AT7" s="148">
        <f t="shared" si="21"/>
        <v>2.3225985708542596</v>
      </c>
      <c r="AU7" s="148">
        <f t="shared" si="65"/>
        <v>0.70714644063319743</v>
      </c>
      <c r="AV7" s="148">
        <f t="shared" si="22"/>
        <v>2.8121642658411434</v>
      </c>
      <c r="AW7" s="148">
        <f t="shared" si="23"/>
        <v>5.9516704038965997</v>
      </c>
      <c r="AX7" s="148">
        <f t="shared" si="66"/>
        <v>1.4060821329205717</v>
      </c>
      <c r="AY7" s="148">
        <f t="shared" si="24"/>
        <v>8.8791760097415011</v>
      </c>
      <c r="AZ7" s="148">
        <f t="shared" si="25"/>
        <v>2.7524315304645994</v>
      </c>
      <c r="BA7" s="148">
        <f t="shared" si="26"/>
        <v>4.9444259813675666</v>
      </c>
      <c r="BB7" s="148">
        <f t="shared" si="67"/>
        <v>1.3762157652322997</v>
      </c>
      <c r="BC7" s="148">
        <f t="shared" si="27"/>
        <v>4.329840218834776</v>
      </c>
      <c r="BD7" s="148">
        <f t="shared" si="28"/>
        <v>5.1779532513900417</v>
      </c>
      <c r="BE7" s="148">
        <f t="shared" si="29"/>
        <v>7.8225540645822624</v>
      </c>
      <c r="BF7" s="148">
        <f t="shared" si="30"/>
        <v>9.0975874726601926</v>
      </c>
      <c r="BG7" s="148">
        <f t="shared" si="31"/>
        <v>2.6218814183477011</v>
      </c>
      <c r="BH7" s="148">
        <f t="shared" si="32"/>
        <v>7.2164003647246266</v>
      </c>
      <c r="BI7" s="148">
        <f t="shared" si="33"/>
        <v>3.9281024665717559</v>
      </c>
      <c r="BJ7" s="148">
        <f t="shared" si="34"/>
        <v>3.3829660597115119</v>
      </c>
      <c r="BK7" s="148">
        <f t="shared" si="35"/>
        <v>8.8353998325140708</v>
      </c>
      <c r="BL7" s="148">
        <f t="shared" si="36"/>
        <v>0.56571715250655796</v>
      </c>
      <c r="BM7" s="148">
        <f t="shared" si="37"/>
        <v>2.6782516817534696</v>
      </c>
      <c r="BN7" s="148">
        <f t="shared" si="38"/>
        <v>1.0117839686624219</v>
      </c>
      <c r="BO7" s="148">
        <f t="shared" si="39"/>
        <v>2.7081486829711579</v>
      </c>
      <c r="BP7" s="148">
        <f t="shared" si="40"/>
        <v>12.990620348527568</v>
      </c>
      <c r="BQ7" s="148">
        <f t="shared" si="41"/>
        <v>1.4686887613151025</v>
      </c>
      <c r="BR7" s="148">
        <f t="shared" si="42"/>
        <v>4.2256859867665852</v>
      </c>
      <c r="BS7" s="148">
        <f t="shared" si="43"/>
        <v>3.6305189463769256</v>
      </c>
      <c r="BT7" s="148">
        <f t="shared" si="44"/>
        <v>4.0400250844323828</v>
      </c>
      <c r="BU7" s="148">
        <f t="shared" si="45"/>
        <v>11.190127018793582</v>
      </c>
      <c r="BV7" s="148">
        <f t="shared" si="46"/>
        <v>1.3163802971787213</v>
      </c>
      <c r="BW7" s="148">
        <f t="shared" si="47"/>
        <v>4.2256859867665852</v>
      </c>
      <c r="BX7" s="148">
        <f t="shared" si="48"/>
        <v>3.6305189463769256</v>
      </c>
      <c r="BY7" s="148">
        <f t="shared" si="49"/>
        <v>5.6027600621468876</v>
      </c>
      <c r="BZ7" s="148">
        <f t="shared" si="50"/>
        <v>9.0348625287186408</v>
      </c>
      <c r="CA7" s="148">
        <f t="shared" si="51"/>
        <v>1.6101180494417417</v>
      </c>
      <c r="CB7" s="148">
        <f t="shared" si="52"/>
        <v>3.6049454599550499</v>
      </c>
      <c r="CC7" s="148">
        <f t="shared" si="53"/>
        <v>4.8890507010753215</v>
      </c>
      <c r="CD7" s="148">
        <f t="shared" si="54"/>
        <v>9.3349521869689287</v>
      </c>
      <c r="CE7" s="148">
        <f t="shared" si="68"/>
        <v>4.8890507010753215</v>
      </c>
      <c r="CF7" s="148">
        <f t="shared" si="55"/>
        <v>5.1267266540689542</v>
      </c>
      <c r="CG7" s="148">
        <f t="shared" si="56"/>
        <v>9.8935919573361133</v>
      </c>
      <c r="CH7" s="148">
        <f t="shared" si="69"/>
        <v>5.1267266540689542</v>
      </c>
      <c r="CI7" s="148">
        <f t="shared" si="70"/>
        <v>2.2197940024353753</v>
      </c>
    </row>
    <row r="8" spans="1:87" x14ac:dyDescent="0.25">
      <c r="A8" t="str">
        <f>PLANTILLA!D10</f>
        <v>F. Lasprilla</v>
      </c>
      <c r="B8" t="s">
        <v>722</v>
      </c>
      <c r="C8" s="573">
        <f>PLANTILLA!E10</f>
        <v>32</v>
      </c>
      <c r="D8" s="573">
        <f ca="1">PLANTILLA!F10</f>
        <v>11</v>
      </c>
      <c r="E8" s="573"/>
      <c r="F8" s="263">
        <v>42106</v>
      </c>
      <c r="G8" s="439">
        <v>1.5</v>
      </c>
      <c r="H8" s="440">
        <f>PLANTILLA!I10</f>
        <v>6.3</v>
      </c>
      <c r="I8" s="303"/>
      <c r="J8" s="152">
        <f>PLANTILLA!X10</f>
        <v>0</v>
      </c>
      <c r="K8" s="152">
        <f>PLANTILLA!Y10</f>
        <v>9.6046666666666667</v>
      </c>
      <c r="L8" s="152">
        <f>PLANTILLA!Z10</f>
        <v>7.7607222222222223</v>
      </c>
      <c r="M8" s="152">
        <f>PLANTILLA!AA10</f>
        <v>6.1599999999999984</v>
      </c>
      <c r="N8" s="152">
        <f>PLANTILLA!AB10</f>
        <v>8.8633333333333315</v>
      </c>
      <c r="O8" s="152">
        <f>PLANTILLA!AC10</f>
        <v>2.95</v>
      </c>
      <c r="P8" s="152">
        <f>PLANTILLA!AD10</f>
        <v>13.33611111111111</v>
      </c>
      <c r="Q8" s="152">
        <f t="shared" si="57"/>
        <v>3.7914166666666662</v>
      </c>
      <c r="R8" s="152">
        <f t="shared" si="58"/>
        <v>10.302251263501001</v>
      </c>
      <c r="S8" s="152">
        <f t="shared" si="59"/>
        <v>0.5475833333333332</v>
      </c>
      <c r="T8" s="152">
        <f t="shared" si="60"/>
        <v>0.78426999999999991</v>
      </c>
      <c r="U8" s="152">
        <f t="shared" ca="1" si="0"/>
        <v>15.401898510382553</v>
      </c>
      <c r="V8" s="148">
        <f t="shared" si="1"/>
        <v>4.8908203995639692</v>
      </c>
      <c r="W8" s="148">
        <f t="shared" si="2"/>
        <v>7.3944148657927649</v>
      </c>
      <c r="X8" s="148">
        <f t="shared" si="61"/>
        <v>4.8908203995639692</v>
      </c>
      <c r="Y8" s="148">
        <f t="shared" si="3"/>
        <v>6.279954298024065</v>
      </c>
      <c r="Z8" s="148">
        <f t="shared" si="4"/>
        <v>12.17045406593811</v>
      </c>
      <c r="AA8" s="148">
        <f t="shared" si="62"/>
        <v>3.1399771490120325</v>
      </c>
      <c r="AB8" s="148">
        <f t="shared" si="5"/>
        <v>2.457709289915492</v>
      </c>
      <c r="AC8" s="148">
        <f t="shared" si="6"/>
        <v>4.600431636924605</v>
      </c>
      <c r="AD8" s="148">
        <f t="shared" si="7"/>
        <v>8.7992382896732533</v>
      </c>
      <c r="AE8" s="148">
        <f t="shared" si="63"/>
        <v>2.3002158184623025</v>
      </c>
      <c r="AF8" s="148">
        <f t="shared" si="8"/>
        <v>3.9757062042750611</v>
      </c>
      <c r="AG8" s="318">
        <f t="shared" si="9"/>
        <v>11.196817740663061</v>
      </c>
      <c r="AH8" s="148">
        <f t="shared" si="10"/>
        <v>5.0385679832983774</v>
      </c>
      <c r="AI8" s="148">
        <f t="shared" si="11"/>
        <v>1.7245271067894421</v>
      </c>
      <c r="AJ8" s="318">
        <f t="shared" si="12"/>
        <v>5.1307629907716068</v>
      </c>
      <c r="AK8" s="148">
        <f t="shared" si="13"/>
        <v>9.176522365717334</v>
      </c>
      <c r="AL8" s="148">
        <f t="shared" si="14"/>
        <v>8.6166814786841819</v>
      </c>
      <c r="AM8" s="148">
        <f t="shared" si="15"/>
        <v>2.6556170512338864</v>
      </c>
      <c r="AN8" s="148">
        <f t="shared" si="16"/>
        <v>1.8308747709901751</v>
      </c>
      <c r="AO8" s="148">
        <f t="shared" si="17"/>
        <v>3.28602259780329</v>
      </c>
      <c r="AP8" s="148">
        <f t="shared" si="18"/>
        <v>7.2292497151672368</v>
      </c>
      <c r="AQ8" s="148">
        <f t="shared" si="64"/>
        <v>1.643011298901645</v>
      </c>
      <c r="AR8" s="148">
        <f t="shared" si="19"/>
        <v>9.7482250826900199</v>
      </c>
      <c r="AS8" s="148">
        <f t="shared" si="20"/>
        <v>1.4857856952386208</v>
      </c>
      <c r="AT8" s="148">
        <f t="shared" si="21"/>
        <v>2.3257257079865323</v>
      </c>
      <c r="AU8" s="148">
        <f t="shared" si="65"/>
        <v>0.7428928476193104</v>
      </c>
      <c r="AV8" s="148">
        <f t="shared" si="22"/>
        <v>2.3002158184623025</v>
      </c>
      <c r="AW8" s="148">
        <f t="shared" si="23"/>
        <v>4.868181626375244</v>
      </c>
      <c r="AX8" s="148">
        <f t="shared" si="66"/>
        <v>1.1501079092311512</v>
      </c>
      <c r="AY8" s="148">
        <f t="shared" si="24"/>
        <v>10.326509621493665</v>
      </c>
      <c r="AZ8" s="148">
        <f t="shared" si="25"/>
        <v>2.891567545349008</v>
      </c>
      <c r="BA8" s="148">
        <f t="shared" si="26"/>
        <v>5.0556455236652313</v>
      </c>
      <c r="BB8" s="148">
        <f t="shared" si="67"/>
        <v>1.445783772674504</v>
      </c>
      <c r="BC8" s="148">
        <f t="shared" si="27"/>
        <v>3.5416021331879897</v>
      </c>
      <c r="BD8" s="148">
        <f t="shared" si="28"/>
        <v>4.2353180149464622</v>
      </c>
      <c r="BE8" s="148">
        <f t="shared" si="29"/>
        <v>9.0976549765359191</v>
      </c>
      <c r="BF8" s="148">
        <f t="shared" si="30"/>
        <v>8.6087749979523114</v>
      </c>
      <c r="BG8" s="148">
        <f t="shared" si="31"/>
        <v>2.7544180965577505</v>
      </c>
      <c r="BH8" s="148">
        <f t="shared" si="32"/>
        <v>5.9026702219799834</v>
      </c>
      <c r="BI8" s="148">
        <f t="shared" si="33"/>
        <v>3.2129998734076612</v>
      </c>
      <c r="BJ8" s="148">
        <f t="shared" si="34"/>
        <v>3.9344001657890866</v>
      </c>
      <c r="BK8" s="148">
        <f t="shared" si="35"/>
        <v>8.1697081869632395</v>
      </c>
      <c r="BL8" s="148">
        <f t="shared" si="36"/>
        <v>0.59431427809544823</v>
      </c>
      <c r="BM8" s="148">
        <f t="shared" si="37"/>
        <v>2.1906817318688598</v>
      </c>
      <c r="BN8" s="148">
        <f t="shared" si="38"/>
        <v>0.82759087648379148</v>
      </c>
      <c r="BO8" s="148">
        <f t="shared" si="39"/>
        <v>3.1495854345555676</v>
      </c>
      <c r="BP8" s="148">
        <f t="shared" si="40"/>
        <v>11.994515928796407</v>
      </c>
      <c r="BQ8" s="148">
        <f t="shared" si="41"/>
        <v>1.5429312989016446</v>
      </c>
      <c r="BR8" s="148">
        <f t="shared" si="42"/>
        <v>3.456408954726423</v>
      </c>
      <c r="BS8" s="148">
        <f t="shared" si="43"/>
        <v>2.9695907920888986</v>
      </c>
      <c r="BT8" s="148">
        <f t="shared" si="44"/>
        <v>4.6985618777796176</v>
      </c>
      <c r="BU8" s="148">
        <f t="shared" si="45"/>
        <v>10.32778577172609</v>
      </c>
      <c r="BV8" s="148">
        <f t="shared" si="46"/>
        <v>1.3829236086451777</v>
      </c>
      <c r="BW8" s="148">
        <f t="shared" si="47"/>
        <v>3.456408954726423</v>
      </c>
      <c r="BX8" s="148">
        <f t="shared" si="48"/>
        <v>2.9695907920888986</v>
      </c>
      <c r="BY8" s="148">
        <f t="shared" si="49"/>
        <v>6.5160275711625024</v>
      </c>
      <c r="BZ8" s="148">
        <f t="shared" si="50"/>
        <v>8.3313230556812741</v>
      </c>
      <c r="CA8" s="148">
        <f t="shared" si="51"/>
        <v>1.6915098684255065</v>
      </c>
      <c r="CB8" s="148">
        <f t="shared" si="52"/>
        <v>4.1925629063264287</v>
      </c>
      <c r="CC8" s="148">
        <f t="shared" si="53"/>
        <v>4.8142985683537542</v>
      </c>
      <c r="CD8" s="148">
        <f t="shared" si="54"/>
        <v>9.4217166115796438</v>
      </c>
      <c r="CE8" s="148">
        <f t="shared" si="68"/>
        <v>4.8142985683537542</v>
      </c>
      <c r="CF8" s="148">
        <f t="shared" si="55"/>
        <v>4.855438883079441</v>
      </c>
      <c r="CG8" s="148">
        <f t="shared" si="56"/>
        <v>9.733132949602604</v>
      </c>
      <c r="CH8" s="148">
        <f t="shared" si="69"/>
        <v>4.855438883079441</v>
      </c>
      <c r="CI8" s="148">
        <f t="shared" si="70"/>
        <v>2.5816274053734163</v>
      </c>
    </row>
    <row r="9" spans="1:87" x14ac:dyDescent="0.25">
      <c r="A9" t="str">
        <f>PLANTILLA!D7</f>
        <v>B. Pinczehelyi</v>
      </c>
      <c r="C9" s="573">
        <f>PLANTILLA!E7</f>
        <v>35</v>
      </c>
      <c r="D9" s="573">
        <f>PLANTILLA!F7</f>
        <v>0</v>
      </c>
      <c r="E9" s="573" t="str">
        <f>PLANTILLA!G7</f>
        <v>CAB</v>
      </c>
      <c r="F9" s="263">
        <v>41400</v>
      </c>
      <c r="G9" s="439">
        <v>1</v>
      </c>
      <c r="H9" s="440">
        <f>PLANTILLA!I7</f>
        <v>19</v>
      </c>
      <c r="I9" s="303"/>
      <c r="J9" s="152">
        <f>PLANTILLA!X7</f>
        <v>0</v>
      </c>
      <c r="K9" s="152">
        <f>PLANTILLA!Y7</f>
        <v>14.300000000000004</v>
      </c>
      <c r="L9" s="152">
        <f>PLANTILLA!Z7</f>
        <v>9.3793333333333351</v>
      </c>
      <c r="M9" s="152">
        <f>PLANTILLA!AA7</f>
        <v>13.95</v>
      </c>
      <c r="N9" s="152">
        <f>PLANTILLA!AB7</f>
        <v>8.9499999999999993</v>
      </c>
      <c r="O9" s="152">
        <f>PLANTILLA!AC7</f>
        <v>0</v>
      </c>
      <c r="P9" s="152">
        <f>PLANTILLA!AD7</f>
        <v>11.25</v>
      </c>
      <c r="Q9" s="152">
        <f>((2*(N9+1))+(K9+1))/8</f>
        <v>4.4000000000000004</v>
      </c>
      <c r="R9" s="152">
        <f t="shared" si="58"/>
        <v>4.5655606108076707</v>
      </c>
      <c r="S9" s="152">
        <f>(0.5*O9+ 0.3*P9)/10</f>
        <v>0.33750000000000002</v>
      </c>
      <c r="T9" s="152">
        <f>(0.4*K9+0.3*P9)/10</f>
        <v>0.9095000000000002</v>
      </c>
      <c r="U9" s="152">
        <f t="shared" ca="1" si="0"/>
        <v>13.955004801270439</v>
      </c>
      <c r="V9" s="148">
        <f t="shared" si="1"/>
        <v>6.308269191509094</v>
      </c>
      <c r="W9" s="148">
        <f t="shared" si="2"/>
        <v>9.5696611984401372</v>
      </c>
      <c r="X9" s="148">
        <f>V9</f>
        <v>6.308269191509094</v>
      </c>
      <c r="Y9" s="148">
        <f t="shared" si="3"/>
        <v>8.7745824774555476</v>
      </c>
      <c r="Z9" s="148">
        <f t="shared" si="4"/>
        <v>17.005004801270442</v>
      </c>
      <c r="AA9" s="148">
        <f>Y9/2</f>
        <v>4.3872912387277738</v>
      </c>
      <c r="AB9" s="148">
        <f t="shared" si="5"/>
        <v>2.8760724760356982</v>
      </c>
      <c r="AC9" s="148">
        <f t="shared" si="6"/>
        <v>6.4278918148802271</v>
      </c>
      <c r="AD9" s="148">
        <f t="shared" si="7"/>
        <v>12.294618471318529</v>
      </c>
      <c r="AE9" s="148">
        <f>AC9/2</f>
        <v>3.2139459074401135</v>
      </c>
      <c r="AF9" s="148">
        <f t="shared" si="8"/>
        <v>4.6524701818224532</v>
      </c>
      <c r="AG9" s="318">
        <f t="shared" si="9"/>
        <v>15.644604417168807</v>
      </c>
      <c r="AH9" s="148">
        <f t="shared" si="10"/>
        <v>7.0400719877259625</v>
      </c>
      <c r="AI9" s="148">
        <f t="shared" si="11"/>
        <v>2.0180844684788304</v>
      </c>
      <c r="AJ9" s="318">
        <f t="shared" si="12"/>
        <v>9.7931428231470168</v>
      </c>
      <c r="AK9" s="148">
        <f t="shared" si="13"/>
        <v>12.821773620157913</v>
      </c>
      <c r="AL9" s="148">
        <f t="shared" si="14"/>
        <v>12.039543399299472</v>
      </c>
      <c r="AM9" s="148">
        <f t="shared" si="15"/>
        <v>2.3304858018121632</v>
      </c>
      <c r="AN9" s="148">
        <f t="shared" si="16"/>
        <v>2.0462413827658863</v>
      </c>
      <c r="AO9" s="148">
        <f t="shared" si="17"/>
        <v>4.5913512963430199</v>
      </c>
      <c r="AP9" s="148">
        <f t="shared" si="18"/>
        <v>10.100972851954642</v>
      </c>
      <c r="AQ9" s="148">
        <f>AO9/2</f>
        <v>2.2956756481715099</v>
      </c>
      <c r="AR9" s="148">
        <f t="shared" si="19"/>
        <v>11.407615199065962</v>
      </c>
      <c r="AS9" s="148">
        <f t="shared" si="20"/>
        <v>1.5151506241651571</v>
      </c>
      <c r="AT9" s="148">
        <f t="shared" si="21"/>
        <v>1.8665664067722383</v>
      </c>
      <c r="AU9" s="148">
        <f>AS9/2</f>
        <v>0.75757531208257856</v>
      </c>
      <c r="AV9" s="148">
        <f t="shared" si="22"/>
        <v>3.2139459074401135</v>
      </c>
      <c r="AW9" s="148">
        <f t="shared" si="23"/>
        <v>6.802001920508177</v>
      </c>
      <c r="AX9" s="148">
        <f>AV9/2</f>
        <v>1.6069729537200568</v>
      </c>
      <c r="AY9" s="148">
        <f t="shared" si="24"/>
        <v>12.084338134603774</v>
      </c>
      <c r="AZ9" s="148">
        <f t="shared" si="25"/>
        <v>2.9487162147214208</v>
      </c>
      <c r="BA9" s="148">
        <f t="shared" si="26"/>
        <v>4.5424076455000115</v>
      </c>
      <c r="BB9" s="148">
        <f>AZ9/2</f>
        <v>1.4743581073607104</v>
      </c>
      <c r="BC9" s="148">
        <f t="shared" si="27"/>
        <v>4.9484563971696982</v>
      </c>
      <c r="BD9" s="148">
        <f t="shared" si="28"/>
        <v>5.9177416708421129</v>
      </c>
      <c r="BE9" s="148">
        <f t="shared" si="29"/>
        <v>10.646301896585925</v>
      </c>
      <c r="BF9" s="148">
        <f t="shared" si="30"/>
        <v>13.231299268329419</v>
      </c>
      <c r="BG9" s="148">
        <f t="shared" si="31"/>
        <v>2.8088561571061756</v>
      </c>
      <c r="BH9" s="148">
        <f t="shared" si="32"/>
        <v>8.2474273286161637</v>
      </c>
      <c r="BI9" s="148">
        <f t="shared" si="33"/>
        <v>4.4893212675353968</v>
      </c>
      <c r="BJ9" s="148">
        <f t="shared" si="34"/>
        <v>4.6041328292840378</v>
      </c>
      <c r="BK9" s="148">
        <f t="shared" si="35"/>
        <v>13.551474196310364</v>
      </c>
      <c r="BL9" s="148">
        <f t="shared" si="36"/>
        <v>0.60606024966606276</v>
      </c>
      <c r="BM9" s="148">
        <f t="shared" si="37"/>
        <v>3.0609008642286795</v>
      </c>
      <c r="BN9" s="148">
        <f t="shared" si="38"/>
        <v>1.1563403264863901</v>
      </c>
      <c r="BO9" s="148">
        <f t="shared" si="39"/>
        <v>3.6857231310541509</v>
      </c>
      <c r="BP9" s="148">
        <f t="shared" si="40"/>
        <v>19.988336174433783</v>
      </c>
      <c r="BQ9" s="148">
        <f t="shared" si="41"/>
        <v>1.5734256481715092</v>
      </c>
      <c r="BR9" s="148">
        <f t="shared" si="42"/>
        <v>4.8294213635608045</v>
      </c>
      <c r="BS9" s="148">
        <f t="shared" si="43"/>
        <v>4.1492211715099874</v>
      </c>
      <c r="BT9" s="148">
        <f t="shared" si="44"/>
        <v>5.4983738512447173</v>
      </c>
      <c r="BU9" s="148">
        <f t="shared" si="45"/>
        <v>17.233745319807646</v>
      </c>
      <c r="BV9" s="148">
        <f t="shared" si="46"/>
        <v>1.4102555809537229</v>
      </c>
      <c r="BW9" s="148">
        <f t="shared" si="47"/>
        <v>4.8294213635608045</v>
      </c>
      <c r="BX9" s="148">
        <f t="shared" si="48"/>
        <v>4.1492211715099874</v>
      </c>
      <c r="BY9" s="148">
        <f t="shared" si="49"/>
        <v>7.6252173629349818</v>
      </c>
      <c r="BZ9" s="148">
        <f t="shared" si="50"/>
        <v>13.94122929713704</v>
      </c>
      <c r="CA9" s="148">
        <f t="shared" si="51"/>
        <v>1.7249407105880248</v>
      </c>
      <c r="CB9" s="148">
        <f t="shared" si="52"/>
        <v>4.9062412826491331</v>
      </c>
      <c r="CC9" s="148">
        <f t="shared" si="53"/>
        <v>5.6556075014618985</v>
      </c>
      <c r="CD9" s="148">
        <f t="shared" si="54"/>
        <v>7.9056854062305142</v>
      </c>
      <c r="CE9" s="148">
        <f>CC9</f>
        <v>5.6556075014618985</v>
      </c>
      <c r="CF9" s="148">
        <f t="shared" si="55"/>
        <v>6.039067991191482</v>
      </c>
      <c r="CG9" s="148">
        <f t="shared" si="56"/>
        <v>7.0057015729392296</v>
      </c>
      <c r="CH9" s="148">
        <f>CF9</f>
        <v>6.039067991191482</v>
      </c>
      <c r="CI9" s="148">
        <f>((L9+G9+(LOG(H9)*4/3))*0.25)</f>
        <v>3.0210845336509435</v>
      </c>
    </row>
    <row r="10" spans="1:87" x14ac:dyDescent="0.25">
      <c r="A10" t="str">
        <f>PLANTILLA!D11</f>
        <v>E. Romweber</v>
      </c>
      <c r="B10" t="s">
        <v>722</v>
      </c>
      <c r="C10" s="573">
        <f>PLANTILLA!E11</f>
        <v>35</v>
      </c>
      <c r="D10" s="573">
        <f ca="1">PLANTILLA!F11</f>
        <v>77</v>
      </c>
      <c r="E10" s="573" t="str">
        <f>PLANTILLA!G11</f>
        <v>IMP</v>
      </c>
      <c r="F10" s="263">
        <v>41583</v>
      </c>
      <c r="G10" s="439">
        <v>1.5</v>
      </c>
      <c r="H10" s="440">
        <f>PLANTILLA!I11</f>
        <v>17.100000000000001</v>
      </c>
      <c r="I10" s="303"/>
      <c r="J10" s="152">
        <f>PLANTILLA!X11</f>
        <v>0</v>
      </c>
      <c r="K10" s="152">
        <f>PLANTILLA!Y11</f>
        <v>11.95</v>
      </c>
      <c r="L10" s="152">
        <f>PLANTILLA!Z11</f>
        <v>12.614111111111114</v>
      </c>
      <c r="M10" s="152">
        <f>PLANTILLA!AA11</f>
        <v>12.95</v>
      </c>
      <c r="N10" s="152">
        <f>PLANTILLA!AB11</f>
        <v>10.95</v>
      </c>
      <c r="O10" s="152">
        <f>PLANTILLA!AC11</f>
        <v>5.95</v>
      </c>
      <c r="P10" s="152">
        <f>PLANTILLA!AD11</f>
        <v>17.529999999999998</v>
      </c>
      <c r="Q10" s="152">
        <f t="shared" si="57"/>
        <v>4.6062499999999993</v>
      </c>
      <c r="R10" s="152">
        <f t="shared" si="58"/>
        <v>18.866728538622212</v>
      </c>
      <c r="S10" s="152">
        <f t="shared" si="59"/>
        <v>0.82340000000000002</v>
      </c>
      <c r="T10" s="152">
        <f t="shared" si="60"/>
        <v>1.0039</v>
      </c>
      <c r="U10" s="152">
        <f t="shared" ca="1" si="0"/>
        <v>20.173994813856204</v>
      </c>
      <c r="V10" s="148">
        <f t="shared" si="1"/>
        <v>6.0429074724964664</v>
      </c>
      <c r="W10" s="148">
        <f t="shared" si="2"/>
        <v>9.1376473046883611</v>
      </c>
      <c r="X10" s="148">
        <f t="shared" si="61"/>
        <v>6.0429074724964664</v>
      </c>
      <c r="Y10" s="148">
        <f t="shared" si="3"/>
        <v>7.7885013239498013</v>
      </c>
      <c r="Z10" s="148">
        <f t="shared" si="4"/>
        <v>15.093994813856204</v>
      </c>
      <c r="AA10" s="148">
        <f t="shared" si="62"/>
        <v>3.8942506619749007</v>
      </c>
      <c r="AB10" s="148">
        <f t="shared" si="5"/>
        <v>3.7504292101422219</v>
      </c>
      <c r="AC10" s="148">
        <f t="shared" si="6"/>
        <v>5.7055300396376456</v>
      </c>
      <c r="AD10" s="148">
        <f t="shared" si="7"/>
        <v>10.912958250418034</v>
      </c>
      <c r="AE10" s="148">
        <f t="shared" si="63"/>
        <v>2.8527650198188228</v>
      </c>
      <c r="AF10" s="148">
        <f t="shared" si="8"/>
        <v>6.0668707811124181</v>
      </c>
      <c r="AG10" s="318">
        <f t="shared" si="9"/>
        <v>13.886475228747708</v>
      </c>
      <c r="AH10" s="148">
        <f t="shared" si="10"/>
        <v>6.2489138529364681</v>
      </c>
      <c r="AI10" s="148">
        <f t="shared" si="11"/>
        <v>2.6316036894695425</v>
      </c>
      <c r="AJ10" s="318">
        <f t="shared" si="12"/>
        <v>9.4632689505474481</v>
      </c>
      <c r="AK10" s="148">
        <f t="shared" si="13"/>
        <v>11.380872089647578</v>
      </c>
      <c r="AL10" s="148">
        <f t="shared" si="14"/>
        <v>10.686548328210192</v>
      </c>
      <c r="AM10" s="148">
        <f t="shared" si="15"/>
        <v>3.4525571339139862</v>
      </c>
      <c r="AN10" s="148">
        <f t="shared" si="16"/>
        <v>2.2320705063905866</v>
      </c>
      <c r="AO10" s="148">
        <f t="shared" si="17"/>
        <v>4.0753785997411756</v>
      </c>
      <c r="AP10" s="148">
        <f t="shared" si="18"/>
        <v>8.9658329194305857</v>
      </c>
      <c r="AQ10" s="148">
        <f t="shared" si="64"/>
        <v>2.0376892998705878</v>
      </c>
      <c r="AR10" s="148">
        <f t="shared" si="19"/>
        <v>14.875651993169148</v>
      </c>
      <c r="AS10" s="148">
        <f t="shared" si="20"/>
        <v>1.8322193258013066</v>
      </c>
      <c r="AT10" s="148">
        <f t="shared" si="21"/>
        <v>3.2645404804598677</v>
      </c>
      <c r="AU10" s="148">
        <f t="shared" si="65"/>
        <v>0.91610966290065332</v>
      </c>
      <c r="AV10" s="148">
        <f t="shared" si="22"/>
        <v>2.8527650198188228</v>
      </c>
      <c r="AW10" s="148">
        <f t="shared" si="23"/>
        <v>6.0375979255424816</v>
      </c>
      <c r="AX10" s="148">
        <f t="shared" si="66"/>
        <v>1.4263825099094114</v>
      </c>
      <c r="AY10" s="148">
        <f t="shared" si="24"/>
        <v>15.758105924967319</v>
      </c>
      <c r="AZ10" s="148">
        <f t="shared" si="25"/>
        <v>3.5657806879056198</v>
      </c>
      <c r="BA10" s="148">
        <f t="shared" si="26"/>
        <v>6.7157911424347692</v>
      </c>
      <c r="BB10" s="148">
        <f t="shared" si="67"/>
        <v>1.7828903439528099</v>
      </c>
      <c r="BC10" s="148">
        <f t="shared" si="27"/>
        <v>4.3923524908321552</v>
      </c>
      <c r="BD10" s="148">
        <f t="shared" si="28"/>
        <v>5.252710195221959</v>
      </c>
      <c r="BE10" s="148">
        <f t="shared" si="29"/>
        <v>13.882891319896208</v>
      </c>
      <c r="BF10" s="148">
        <f t="shared" si="30"/>
        <v>13.677561389518168</v>
      </c>
      <c r="BG10" s="148">
        <f t="shared" si="31"/>
        <v>3.3966527501393449</v>
      </c>
      <c r="BH10" s="148">
        <f t="shared" si="32"/>
        <v>7.3205874847202592</v>
      </c>
      <c r="BI10" s="148">
        <f t="shared" si="33"/>
        <v>3.9848146308580379</v>
      </c>
      <c r="BJ10" s="148">
        <f t="shared" si="34"/>
        <v>6.0038383574125485</v>
      </c>
      <c r="BK10" s="148">
        <f t="shared" si="35"/>
        <v>13.664151467310324</v>
      </c>
      <c r="BL10" s="148">
        <f t="shared" si="36"/>
        <v>0.73288773032052257</v>
      </c>
      <c r="BM10" s="148">
        <f t="shared" si="37"/>
        <v>2.7169190664941167</v>
      </c>
      <c r="BN10" s="148">
        <f t="shared" si="38"/>
        <v>1.0263916473422219</v>
      </c>
      <c r="BO10" s="148">
        <f t="shared" si="39"/>
        <v>4.8062223071150321</v>
      </c>
      <c r="BP10" s="148">
        <f t="shared" si="40"/>
        <v>20.124877330619078</v>
      </c>
      <c r="BQ10" s="148">
        <f t="shared" si="41"/>
        <v>1.9026892998705878</v>
      </c>
      <c r="BR10" s="148">
        <f t="shared" si="42"/>
        <v>4.286694527135162</v>
      </c>
      <c r="BS10" s="148">
        <f t="shared" si="43"/>
        <v>3.6829347345809138</v>
      </c>
      <c r="BT10" s="148">
        <f t="shared" si="44"/>
        <v>7.1699381958601309</v>
      </c>
      <c r="BU10" s="148">
        <f t="shared" si="45"/>
        <v>17.344146253752676</v>
      </c>
      <c r="BV10" s="148">
        <f t="shared" si="46"/>
        <v>1.7053733724766007</v>
      </c>
      <c r="BW10" s="148">
        <f t="shared" si="47"/>
        <v>4.286694527135162</v>
      </c>
      <c r="BX10" s="148">
        <f t="shared" si="48"/>
        <v>3.6829347345809138</v>
      </c>
      <c r="BY10" s="148">
        <f t="shared" si="49"/>
        <v>9.9433648386543787</v>
      </c>
      <c r="BZ10" s="148">
        <f t="shared" si="50"/>
        <v>14.018125358401305</v>
      </c>
      <c r="CA10" s="148">
        <f t="shared" si="51"/>
        <v>2.0859112324507181</v>
      </c>
      <c r="CB10" s="148">
        <f t="shared" si="52"/>
        <v>6.3977910055367317</v>
      </c>
      <c r="CC10" s="148">
        <f t="shared" si="53"/>
        <v>6.9959712980190831</v>
      </c>
      <c r="CD10" s="148">
        <f t="shared" si="54"/>
        <v>12.954838160402087</v>
      </c>
      <c r="CE10" s="148">
        <f t="shared" si="68"/>
        <v>6.9959712980190831</v>
      </c>
      <c r="CF10" s="148">
        <f t="shared" si="55"/>
        <v>7.7925587690324161</v>
      </c>
      <c r="CG10" s="148">
        <f t="shared" si="56"/>
        <v>14.294678900169146</v>
      </c>
      <c r="CH10" s="148">
        <f t="shared" si="69"/>
        <v>7.7925587690324161</v>
      </c>
      <c r="CI10" s="148">
        <f t="shared" si="70"/>
        <v>3.9395264812418298</v>
      </c>
    </row>
    <row r="11" spans="1:87" x14ac:dyDescent="0.25">
      <c r="A11" t="str">
        <f>PLANTILLA!D12</f>
        <v>K. Helms</v>
      </c>
      <c r="B11" t="s">
        <v>722</v>
      </c>
      <c r="C11" s="573">
        <f>PLANTILLA!E12</f>
        <v>35</v>
      </c>
      <c r="D11" s="573">
        <f ca="1">PLANTILLA!F12</f>
        <v>24</v>
      </c>
      <c r="E11" s="573" t="str">
        <f>PLANTILLA!G12</f>
        <v>TEC</v>
      </c>
      <c r="F11" s="263">
        <v>41722</v>
      </c>
      <c r="G11" s="439">
        <v>1.5</v>
      </c>
      <c r="H11" s="440">
        <f>PLANTILLA!I12</f>
        <v>13.5</v>
      </c>
      <c r="I11" s="303"/>
      <c r="J11" s="152">
        <f>PLANTILLA!X12</f>
        <v>0</v>
      </c>
      <c r="K11" s="152">
        <f>PLANTILLA!Y12</f>
        <v>7.2503030303030309</v>
      </c>
      <c r="L11" s="152">
        <f>PLANTILLA!Z12</f>
        <v>10.600000000000005</v>
      </c>
      <c r="M11" s="152">
        <f>PLANTILLA!AA12</f>
        <v>13.471666666666668</v>
      </c>
      <c r="N11" s="152">
        <f>PLANTILLA!AB12</f>
        <v>9.9499999999999993</v>
      </c>
      <c r="O11" s="152">
        <f>PLANTILLA!AC12</f>
        <v>3.95</v>
      </c>
      <c r="P11" s="152">
        <f>PLANTILLA!AD12</f>
        <v>18</v>
      </c>
      <c r="Q11" s="152">
        <f t="shared" si="57"/>
        <v>3.7687878787878786</v>
      </c>
      <c r="R11" s="152">
        <f t="shared" si="58"/>
        <v>15.502716837831953</v>
      </c>
      <c r="S11" s="152">
        <f t="shared" si="59"/>
        <v>0.73750000000000004</v>
      </c>
      <c r="T11" s="152">
        <f t="shared" si="60"/>
        <v>0.8300121212121212</v>
      </c>
      <c r="U11" s="152">
        <f t="shared" ca="1" si="0"/>
        <v>20.507111691326674</v>
      </c>
      <c r="V11" s="148">
        <f t="shared" si="1"/>
        <v>4.626292142891824</v>
      </c>
      <c r="W11" s="148">
        <f t="shared" si="2"/>
        <v>6.9635599813815254</v>
      </c>
      <c r="X11" s="148">
        <f t="shared" si="61"/>
        <v>4.626292142891824</v>
      </c>
      <c r="Y11" s="148">
        <f t="shared" si="3"/>
        <v>5.2928259963609277</v>
      </c>
      <c r="Z11" s="148">
        <f t="shared" si="4"/>
        <v>10.257414721629704</v>
      </c>
      <c r="AA11" s="148">
        <f t="shared" si="62"/>
        <v>2.6464129981804638</v>
      </c>
      <c r="AB11" s="148">
        <f t="shared" si="5"/>
        <v>3.2384925825357493</v>
      </c>
      <c r="AC11" s="148">
        <f t="shared" si="6"/>
        <v>3.8773027647760281</v>
      </c>
      <c r="AD11" s="148">
        <f t="shared" si="7"/>
        <v>7.4161108437382763</v>
      </c>
      <c r="AE11" s="148">
        <f t="shared" si="63"/>
        <v>1.938651382388014</v>
      </c>
      <c r="AF11" s="148">
        <f t="shared" si="8"/>
        <v>5.2387380011607716</v>
      </c>
      <c r="AG11" s="318">
        <f t="shared" si="9"/>
        <v>9.4368215438993275</v>
      </c>
      <c r="AH11" s="148">
        <f t="shared" si="10"/>
        <v>4.2465696947546974</v>
      </c>
      <c r="AI11" s="148">
        <f t="shared" si="11"/>
        <v>2.2723876524515556</v>
      </c>
      <c r="AJ11" s="318">
        <f t="shared" si="12"/>
        <v>9.6895216745000852</v>
      </c>
      <c r="AK11" s="148">
        <f t="shared" si="13"/>
        <v>7.7340907001087968</v>
      </c>
      <c r="AL11" s="148">
        <f t="shared" si="14"/>
        <v>7.2622496229138305</v>
      </c>
      <c r="AM11" s="148">
        <f t="shared" si="15"/>
        <v>3.5081876524515549</v>
      </c>
      <c r="AN11" s="148">
        <f t="shared" si="16"/>
        <v>1.9514590761929913</v>
      </c>
      <c r="AO11" s="148">
        <f t="shared" si="17"/>
        <v>2.7695019748400203</v>
      </c>
      <c r="AP11" s="148">
        <f t="shared" si="18"/>
        <v>6.0929043446480442</v>
      </c>
      <c r="AQ11" s="148">
        <f t="shared" si="64"/>
        <v>1.3847509874200101</v>
      </c>
      <c r="AR11" s="148">
        <f t="shared" si="19"/>
        <v>12.845113436612385</v>
      </c>
      <c r="AS11" s="148">
        <f t="shared" si="20"/>
        <v>1.6844245198724677</v>
      </c>
      <c r="AT11" s="148">
        <f t="shared" si="21"/>
        <v>2.7584337255587155</v>
      </c>
      <c r="AU11" s="148">
        <f t="shared" si="65"/>
        <v>0.84221225993623383</v>
      </c>
      <c r="AV11" s="148">
        <f t="shared" si="22"/>
        <v>1.938651382388014</v>
      </c>
      <c r="AW11" s="148">
        <f t="shared" si="23"/>
        <v>4.1029658886518821</v>
      </c>
      <c r="AX11" s="148">
        <f t="shared" si="66"/>
        <v>0.96932569119400702</v>
      </c>
      <c r="AY11" s="148">
        <f t="shared" si="24"/>
        <v>13.607111691326679</v>
      </c>
      <c r="AZ11" s="148">
        <f t="shared" si="25"/>
        <v>3.2781492579056484</v>
      </c>
      <c r="BA11" s="148">
        <f t="shared" si="26"/>
        <v>5.8793685419209973</v>
      </c>
      <c r="BB11" s="148">
        <f t="shared" si="67"/>
        <v>1.6390746289528242</v>
      </c>
      <c r="BC11" s="148">
        <f t="shared" si="27"/>
        <v>2.9849076839942437</v>
      </c>
      <c r="BD11" s="148">
        <f t="shared" si="28"/>
        <v>3.5695803231271368</v>
      </c>
      <c r="BE11" s="148">
        <f t="shared" si="29"/>
        <v>11.987865400058805</v>
      </c>
      <c r="BF11" s="148">
        <f t="shared" si="30"/>
        <v>13.54030896025608</v>
      </c>
      <c r="BG11" s="148">
        <f t="shared" si="31"/>
        <v>3.1226639176097284</v>
      </c>
      <c r="BH11" s="148">
        <f t="shared" si="32"/>
        <v>4.9748461399904063</v>
      </c>
      <c r="BI11" s="148">
        <f t="shared" si="33"/>
        <v>2.7079574865102423</v>
      </c>
      <c r="BJ11" s="148">
        <f t="shared" si="34"/>
        <v>5.1843095543954645</v>
      </c>
      <c r="BK11" s="148">
        <f t="shared" si="35"/>
        <v>13.694597284886182</v>
      </c>
      <c r="BL11" s="148">
        <f t="shared" si="36"/>
        <v>0.673769807948987</v>
      </c>
      <c r="BM11" s="148">
        <f t="shared" si="37"/>
        <v>1.8463346498933466</v>
      </c>
      <c r="BN11" s="148">
        <f t="shared" si="38"/>
        <v>0.6975042010708199</v>
      </c>
      <c r="BO11" s="148">
        <f t="shared" si="39"/>
        <v>4.1501690658546373</v>
      </c>
      <c r="BP11" s="148">
        <f t="shared" si="40"/>
        <v>20.184512301712772</v>
      </c>
      <c r="BQ11" s="148">
        <f t="shared" si="41"/>
        <v>1.7492100783291011</v>
      </c>
      <c r="BR11" s="148">
        <f t="shared" si="42"/>
        <v>2.9131057809428356</v>
      </c>
      <c r="BS11" s="148">
        <f t="shared" si="43"/>
        <v>2.5028091920776476</v>
      </c>
      <c r="BT11" s="148">
        <f t="shared" si="44"/>
        <v>6.191235819553639</v>
      </c>
      <c r="BU11" s="148">
        <f t="shared" si="45"/>
        <v>17.399199753989954</v>
      </c>
      <c r="BV11" s="148">
        <f t="shared" si="46"/>
        <v>1.5678105146505275</v>
      </c>
      <c r="BW11" s="148">
        <f t="shared" si="47"/>
        <v>2.9131057809428356</v>
      </c>
      <c r="BX11" s="148">
        <f t="shared" si="48"/>
        <v>2.5028091920776476</v>
      </c>
      <c r="BY11" s="148">
        <f t="shared" si="49"/>
        <v>8.5860874772271352</v>
      </c>
      <c r="BZ11" s="148">
        <f t="shared" si="50"/>
        <v>14.068824963737374</v>
      </c>
      <c r="CA11" s="148">
        <f t="shared" si="51"/>
        <v>1.9176525303163476</v>
      </c>
      <c r="CB11" s="148">
        <f t="shared" si="52"/>
        <v>5.5244873466786322</v>
      </c>
      <c r="CC11" s="148">
        <f t="shared" si="53"/>
        <v>7.5534741264873313</v>
      </c>
      <c r="CD11" s="148">
        <f t="shared" si="54"/>
        <v>11.091707764433835</v>
      </c>
      <c r="CE11" s="148">
        <f t="shared" si="68"/>
        <v>7.5534741264873313</v>
      </c>
      <c r="CF11" s="148">
        <f t="shared" si="55"/>
        <v>7.1605689170298517</v>
      </c>
      <c r="CG11" s="148">
        <f t="shared" si="56"/>
        <v>11.738285905426217</v>
      </c>
      <c r="CH11" s="148">
        <f t="shared" si="69"/>
        <v>7.1605689170298517</v>
      </c>
      <c r="CI11" s="148">
        <f t="shared" si="70"/>
        <v>3.4017779228316698</v>
      </c>
    </row>
    <row r="12" spans="1:87" x14ac:dyDescent="0.25">
      <c r="A12" t="str">
        <f>PLANTILLA!D13</f>
        <v>S. Zobbe</v>
      </c>
      <c r="B12" t="s">
        <v>722</v>
      </c>
      <c r="C12" s="573">
        <f>PLANTILLA!E13</f>
        <v>32</v>
      </c>
      <c r="D12" s="573">
        <f ca="1">PLANTILLA!F13</f>
        <v>39</v>
      </c>
      <c r="E12" s="573" t="str">
        <f>PLANTILLA!G13</f>
        <v>CAB</v>
      </c>
      <c r="F12" s="263">
        <v>41911</v>
      </c>
      <c r="G12" s="439">
        <v>1.5</v>
      </c>
      <c r="H12" s="440">
        <f>PLANTILLA!I13</f>
        <v>13</v>
      </c>
      <c r="I12" s="303"/>
      <c r="J12" s="152">
        <f>PLANTILLA!X13</f>
        <v>0</v>
      </c>
      <c r="K12" s="152">
        <f>PLANTILLA!Y13</f>
        <v>8.3599999999999977</v>
      </c>
      <c r="L12" s="152">
        <f>PLANTILLA!Z13</f>
        <v>12.253412698412699</v>
      </c>
      <c r="M12" s="152">
        <f>PLANTILLA!AA13</f>
        <v>12.95</v>
      </c>
      <c r="N12" s="152">
        <f>PLANTILLA!AB13</f>
        <v>10.24</v>
      </c>
      <c r="O12" s="152">
        <f>PLANTILLA!AC13</f>
        <v>6.95</v>
      </c>
      <c r="P12" s="152">
        <f>PLANTILLA!AD13</f>
        <v>16</v>
      </c>
      <c r="Q12" s="152">
        <f t="shared" si="57"/>
        <v>3.9799999999999995</v>
      </c>
      <c r="R12" s="152">
        <f t="shared" si="58"/>
        <v>19.334419744797479</v>
      </c>
      <c r="S12" s="152">
        <f t="shared" si="59"/>
        <v>0.82750000000000001</v>
      </c>
      <c r="T12" s="152">
        <f t="shared" si="60"/>
        <v>0.81439999999999979</v>
      </c>
      <c r="U12" s="152">
        <f t="shared" ca="1" si="0"/>
        <v>18.485257803075783</v>
      </c>
      <c r="V12" s="148">
        <f t="shared" si="1"/>
        <v>4.9134900620851578</v>
      </c>
      <c r="W12" s="148">
        <f t="shared" si="2"/>
        <v>7.4069678237708345</v>
      </c>
      <c r="X12" s="148">
        <f t="shared" si="61"/>
        <v>4.9134900620851578</v>
      </c>
      <c r="Y12" s="148">
        <f t="shared" si="3"/>
        <v>5.8541530263871024</v>
      </c>
      <c r="Z12" s="148">
        <f t="shared" si="4"/>
        <v>11.34525780307578</v>
      </c>
      <c r="AA12" s="148">
        <f t="shared" si="62"/>
        <v>2.9270765131935512</v>
      </c>
      <c r="AB12" s="148">
        <f t="shared" si="5"/>
        <v>3.6268035793542586</v>
      </c>
      <c r="AC12" s="148">
        <f t="shared" si="6"/>
        <v>4.288507449562645</v>
      </c>
      <c r="AD12" s="148">
        <f t="shared" si="7"/>
        <v>8.2026213916237882</v>
      </c>
      <c r="AE12" s="148">
        <f t="shared" si="63"/>
        <v>2.1442537247813225</v>
      </c>
      <c r="AF12" s="148">
        <f t="shared" si="8"/>
        <v>5.8668881430730657</v>
      </c>
      <c r="AG12" s="318">
        <f t="shared" si="9"/>
        <v>10.437637178829718</v>
      </c>
      <c r="AH12" s="148">
        <f t="shared" si="10"/>
        <v>4.6969367304733725</v>
      </c>
      <c r="AI12" s="148">
        <f t="shared" si="11"/>
        <v>2.5448579737485768</v>
      </c>
      <c r="AJ12" s="318">
        <f t="shared" si="12"/>
        <v>9.3699315882085585</v>
      </c>
      <c r="AK12" s="148">
        <f t="shared" si="13"/>
        <v>8.5543243835191376</v>
      </c>
      <c r="AL12" s="148">
        <f t="shared" si="14"/>
        <v>8.0324425245776521</v>
      </c>
      <c r="AM12" s="148">
        <f t="shared" si="15"/>
        <v>3.1705380531136558</v>
      </c>
      <c r="AN12" s="148">
        <f t="shared" si="16"/>
        <v>2.005994247285825</v>
      </c>
      <c r="AO12" s="148">
        <f t="shared" si="17"/>
        <v>3.0632196068304607</v>
      </c>
      <c r="AP12" s="148">
        <f t="shared" si="18"/>
        <v>6.7390831350270135</v>
      </c>
      <c r="AQ12" s="148">
        <f t="shared" si="64"/>
        <v>1.5316098034152303</v>
      </c>
      <c r="AR12" s="148">
        <f t="shared" si="19"/>
        <v>14.385304953405127</v>
      </c>
      <c r="AS12" s="148">
        <f t="shared" si="20"/>
        <v>1.7192835143998517</v>
      </c>
      <c r="AT12" s="148">
        <f t="shared" si="21"/>
        <v>3.3058305363012042</v>
      </c>
      <c r="AU12" s="148">
        <f t="shared" si="65"/>
        <v>0.85964175719992586</v>
      </c>
      <c r="AV12" s="148">
        <f t="shared" si="22"/>
        <v>2.1442537247813225</v>
      </c>
      <c r="AW12" s="148">
        <f t="shared" si="23"/>
        <v>4.5381031212303125</v>
      </c>
      <c r="AX12" s="148">
        <f t="shared" si="66"/>
        <v>1.0721268623906612</v>
      </c>
      <c r="AY12" s="148">
        <f t="shared" si="24"/>
        <v>15.238670501488482</v>
      </c>
      <c r="AZ12" s="148">
        <f t="shared" si="25"/>
        <v>3.3459902241781729</v>
      </c>
      <c r="BA12" s="148">
        <f t="shared" si="26"/>
        <v>6.5962170494947561</v>
      </c>
      <c r="BB12" s="148">
        <f t="shared" si="67"/>
        <v>1.6729951120890865</v>
      </c>
      <c r="BC12" s="148">
        <f t="shared" si="27"/>
        <v>3.301470020695052</v>
      </c>
      <c r="BD12" s="148">
        <f t="shared" si="28"/>
        <v>3.9481497154703713</v>
      </c>
      <c r="BE12" s="148">
        <f t="shared" si="29"/>
        <v>13.425268711811352</v>
      </c>
      <c r="BF12" s="148">
        <f t="shared" si="30"/>
        <v>13.31279418693437</v>
      </c>
      <c r="BG12" s="148">
        <f t="shared" si="31"/>
        <v>3.1872871305412636</v>
      </c>
      <c r="BH12" s="148">
        <f t="shared" si="32"/>
        <v>5.5024500344917531</v>
      </c>
      <c r="BI12" s="148">
        <f t="shared" si="33"/>
        <v>2.995148060012006</v>
      </c>
      <c r="BJ12" s="148">
        <f t="shared" si="34"/>
        <v>5.8059334610671121</v>
      </c>
      <c r="BK12" s="148">
        <f t="shared" si="35"/>
        <v>13.382705319888235</v>
      </c>
      <c r="BL12" s="148">
        <f t="shared" si="36"/>
        <v>0.68771340575994067</v>
      </c>
      <c r="BM12" s="148">
        <f t="shared" si="37"/>
        <v>2.0421464045536402</v>
      </c>
      <c r="BN12" s="148">
        <f t="shared" si="38"/>
        <v>0.77147753060915314</v>
      </c>
      <c r="BO12" s="148">
        <f t="shared" si="39"/>
        <v>4.6477945029539871</v>
      </c>
      <c r="BP12" s="148">
        <f t="shared" si="40"/>
        <v>19.717681534755457</v>
      </c>
      <c r="BQ12" s="148">
        <f t="shared" si="41"/>
        <v>1.7854098034152308</v>
      </c>
      <c r="BR12" s="148">
        <f t="shared" si="42"/>
        <v>3.2220532160735211</v>
      </c>
      <c r="BS12" s="148">
        <f t="shared" si="43"/>
        <v>2.7682429039504903</v>
      </c>
      <c r="BT12" s="148">
        <f t="shared" si="44"/>
        <v>6.9335950781772597</v>
      </c>
      <c r="BU12" s="148">
        <f t="shared" si="45"/>
        <v>16.995025645807967</v>
      </c>
      <c r="BV12" s="148">
        <f t="shared" si="46"/>
        <v>1.6002561941721696</v>
      </c>
      <c r="BW12" s="148">
        <f t="shared" si="47"/>
        <v>3.2220532160735211</v>
      </c>
      <c r="BX12" s="148">
        <f t="shared" si="48"/>
        <v>2.7682429039504903</v>
      </c>
      <c r="BY12" s="148">
        <f t="shared" si="49"/>
        <v>9.6156010864392325</v>
      </c>
      <c r="BZ12" s="148">
        <f t="shared" si="50"/>
        <v>13.739025733752825</v>
      </c>
      <c r="CA12" s="148">
        <f t="shared" si="51"/>
        <v>1.9573381548552158</v>
      </c>
      <c r="CB12" s="148">
        <f t="shared" si="52"/>
        <v>6.186900223604324</v>
      </c>
      <c r="CC12" s="148">
        <f t="shared" si="53"/>
        <v>6.8627693154024829</v>
      </c>
      <c r="CD12" s="148">
        <f t="shared" si="54"/>
        <v>12.973570286263332</v>
      </c>
      <c r="CE12" s="148">
        <f t="shared" si="68"/>
        <v>6.8627693154024829</v>
      </c>
      <c r="CF12" s="148">
        <f t="shared" si="55"/>
        <v>7.8528456113162122</v>
      </c>
      <c r="CG12" s="148">
        <f t="shared" si="56"/>
        <v>14.815377932410746</v>
      </c>
      <c r="CH12" s="148">
        <f t="shared" si="69"/>
        <v>7.8528456113162122</v>
      </c>
      <c r="CI12" s="148">
        <f t="shared" si="70"/>
        <v>3.8096676253721204</v>
      </c>
    </row>
    <row r="13" spans="1:87" x14ac:dyDescent="0.25">
      <c r="A13" t="str">
        <f>PLANTILLA!D14</f>
        <v>S. Buschelman</v>
      </c>
      <c r="B13" t="s">
        <v>722</v>
      </c>
      <c r="C13" s="573">
        <f>PLANTILLA!E14</f>
        <v>34</v>
      </c>
      <c r="D13" s="573">
        <f ca="1">PLANTILLA!F14</f>
        <v>36</v>
      </c>
      <c r="E13" s="573" t="str">
        <f>PLANTILLA!G14</f>
        <v>TEC</v>
      </c>
      <c r="F13" s="263">
        <v>41747</v>
      </c>
      <c r="G13" s="439">
        <v>1.5</v>
      </c>
      <c r="H13" s="440">
        <f>PLANTILLA!I14</f>
        <v>14.8</v>
      </c>
      <c r="I13" s="303"/>
      <c r="J13" s="152">
        <f>PLANTILLA!X14</f>
        <v>0</v>
      </c>
      <c r="K13" s="152">
        <f>PLANTILLA!Y14</f>
        <v>9.3036666666666648</v>
      </c>
      <c r="L13" s="152">
        <f>PLANTILLA!Z14</f>
        <v>14</v>
      </c>
      <c r="M13" s="152">
        <f>PLANTILLA!AA14</f>
        <v>12.945</v>
      </c>
      <c r="N13" s="152">
        <f>PLANTILLA!AB14</f>
        <v>9.9499999999999993</v>
      </c>
      <c r="O13" s="152">
        <f>PLANTILLA!AC14</f>
        <v>3.95</v>
      </c>
      <c r="P13" s="152">
        <f>PLANTILLA!AD14</f>
        <v>16</v>
      </c>
      <c r="Q13" s="152">
        <f t="shared" si="57"/>
        <v>4.0254583333333329</v>
      </c>
      <c r="R13" s="152">
        <f t="shared" si="58"/>
        <v>14.520371188030476</v>
      </c>
      <c r="S13" s="152">
        <f t="shared" si="59"/>
        <v>0.67749999999999999</v>
      </c>
      <c r="T13" s="152">
        <f t="shared" si="60"/>
        <v>0.8521466666666665</v>
      </c>
      <c r="U13" s="152">
        <f t="shared" ca="1" si="0"/>
        <v>18.560348953859943</v>
      </c>
      <c r="V13" s="148">
        <f t="shared" si="1"/>
        <v>5.2394966367197302</v>
      </c>
      <c r="W13" s="148">
        <f t="shared" si="2"/>
        <v>7.9049688327665191</v>
      </c>
      <c r="X13" s="148">
        <f t="shared" si="61"/>
        <v>5.2394966367197302</v>
      </c>
      <c r="Y13" s="148">
        <f t="shared" si="3"/>
        <v>6.3798320601917302</v>
      </c>
      <c r="Z13" s="148">
        <f t="shared" si="4"/>
        <v>12.364015620526608</v>
      </c>
      <c r="AA13" s="148">
        <f t="shared" si="62"/>
        <v>3.1899160300958651</v>
      </c>
      <c r="AB13" s="148">
        <f t="shared" si="5"/>
        <v>4.0603630510186663</v>
      </c>
      <c r="AC13" s="148">
        <f t="shared" si="6"/>
        <v>4.6735979045590579</v>
      </c>
      <c r="AD13" s="148">
        <f t="shared" si="7"/>
        <v>8.9391832936407365</v>
      </c>
      <c r="AE13" s="148">
        <f t="shared" si="63"/>
        <v>2.3367989522795289</v>
      </c>
      <c r="AF13" s="148">
        <f t="shared" si="8"/>
        <v>6.5682343472360785</v>
      </c>
      <c r="AG13" s="318">
        <f t="shared" si="9"/>
        <v>11.37489437088448</v>
      </c>
      <c r="AH13" s="148">
        <f t="shared" si="10"/>
        <v>5.1187024668980152</v>
      </c>
      <c r="AI13" s="148">
        <f t="shared" si="11"/>
        <v>2.8490782752946107</v>
      </c>
      <c r="AJ13" s="318">
        <f t="shared" si="12"/>
        <v>9.4111451848696461</v>
      </c>
      <c r="AK13" s="148">
        <f t="shared" si="13"/>
        <v>9.3224677778770619</v>
      </c>
      <c r="AL13" s="148">
        <f t="shared" si="14"/>
        <v>8.7537230593328381</v>
      </c>
      <c r="AM13" s="148">
        <f t="shared" si="15"/>
        <v>3.1830782752946107</v>
      </c>
      <c r="AN13" s="148">
        <f t="shared" si="16"/>
        <v>2.0407124987116636</v>
      </c>
      <c r="AO13" s="148">
        <f t="shared" si="17"/>
        <v>3.3382842175421845</v>
      </c>
      <c r="AP13" s="148">
        <f t="shared" si="18"/>
        <v>7.3442252785928046</v>
      </c>
      <c r="AQ13" s="148">
        <f t="shared" si="64"/>
        <v>1.6691421087710923</v>
      </c>
      <c r="AR13" s="148">
        <f t="shared" si="19"/>
        <v>16.104969412443786</v>
      </c>
      <c r="AS13" s="148">
        <f t="shared" si="20"/>
        <v>1.6913453640017926</v>
      </c>
      <c r="AT13" s="148">
        <f t="shared" si="21"/>
        <v>2.7740322434809634</v>
      </c>
      <c r="AU13" s="148">
        <f t="shared" si="65"/>
        <v>0.84567268200089629</v>
      </c>
      <c r="AV13" s="148">
        <f t="shared" si="22"/>
        <v>2.3367989522795289</v>
      </c>
      <c r="AW13" s="148">
        <f t="shared" si="23"/>
        <v>4.9456062482106438</v>
      </c>
      <c r="AX13" s="148">
        <f t="shared" si="66"/>
        <v>1.1683994761397645</v>
      </c>
      <c r="AY13" s="148">
        <f t="shared" si="24"/>
        <v>17.060348953859943</v>
      </c>
      <c r="AZ13" s="148">
        <f t="shared" si="25"/>
        <v>3.2916182853265656</v>
      </c>
      <c r="BA13" s="148">
        <f t="shared" si="26"/>
        <v>5.9087022735768286</v>
      </c>
      <c r="BB13" s="148">
        <f t="shared" si="67"/>
        <v>1.6458091426632828</v>
      </c>
      <c r="BC13" s="148">
        <f t="shared" si="27"/>
        <v>3.5979285455732426</v>
      </c>
      <c r="BD13" s="148">
        <f t="shared" si="28"/>
        <v>4.3026774359432594</v>
      </c>
      <c r="BE13" s="148">
        <f t="shared" si="29"/>
        <v>15.030167428350611</v>
      </c>
      <c r="BF13" s="148">
        <f t="shared" si="30"/>
        <v>13.285330219981489</v>
      </c>
      <c r="BG13" s="148">
        <f t="shared" si="31"/>
        <v>3.1354940978802461</v>
      </c>
      <c r="BH13" s="148">
        <f t="shared" si="32"/>
        <v>5.9965475759554048</v>
      </c>
      <c r="BI13" s="148">
        <f t="shared" si="33"/>
        <v>3.2641001238190248</v>
      </c>
      <c r="BJ13" s="148">
        <f t="shared" si="34"/>
        <v>6.4999929514206389</v>
      </c>
      <c r="BK13" s="148">
        <f t="shared" si="35"/>
        <v>13.386679985673592</v>
      </c>
      <c r="BL13" s="148">
        <f t="shared" si="36"/>
        <v>0.67653814560071701</v>
      </c>
      <c r="BM13" s="148">
        <f t="shared" si="37"/>
        <v>2.2255228116947894</v>
      </c>
      <c r="BN13" s="148">
        <f t="shared" si="38"/>
        <v>0.84075306219580936</v>
      </c>
      <c r="BO13" s="148">
        <f t="shared" si="39"/>
        <v>5.2034064309272825</v>
      </c>
      <c r="BP13" s="148">
        <f t="shared" si="40"/>
        <v>19.726308754663886</v>
      </c>
      <c r="BQ13" s="148">
        <f t="shared" si="41"/>
        <v>1.7563971087710923</v>
      </c>
      <c r="BR13" s="148">
        <f t="shared" si="42"/>
        <v>3.5113804362295564</v>
      </c>
      <c r="BS13" s="148">
        <f t="shared" si="43"/>
        <v>3.0168198114084923</v>
      </c>
      <c r="BT13" s="148">
        <f t="shared" si="44"/>
        <v>7.7624587740062747</v>
      </c>
      <c r="BU13" s="148">
        <f t="shared" si="45"/>
        <v>17.003146640876817</v>
      </c>
      <c r="BV13" s="148">
        <f t="shared" si="46"/>
        <v>1.5742522234170531</v>
      </c>
      <c r="BW13" s="148">
        <f t="shared" si="47"/>
        <v>3.5113804362295564</v>
      </c>
      <c r="BX13" s="148">
        <f t="shared" si="48"/>
        <v>3.0168198114084923</v>
      </c>
      <c r="BY13" s="148">
        <f t="shared" si="49"/>
        <v>10.765080189885625</v>
      </c>
      <c r="BZ13" s="148">
        <f t="shared" si="50"/>
        <v>13.746752313704649</v>
      </c>
      <c r="CA13" s="148">
        <f t="shared" si="51"/>
        <v>1.9255316451712714</v>
      </c>
      <c r="CB13" s="148">
        <f t="shared" si="52"/>
        <v>6.9265016752671373</v>
      </c>
      <c r="CC13" s="148">
        <f t="shared" si="53"/>
        <v>7.5064697212698261</v>
      </c>
      <c r="CD13" s="148">
        <f t="shared" si="54"/>
        <v>11.151652922046296</v>
      </c>
      <c r="CE13" s="148">
        <f t="shared" si="68"/>
        <v>7.5064697212698261</v>
      </c>
      <c r="CF13" s="148">
        <f t="shared" si="55"/>
        <v>7.0773423982547445</v>
      </c>
      <c r="CG13" s="148">
        <f t="shared" si="56"/>
        <v>11.811167717834262</v>
      </c>
      <c r="CH13" s="148">
        <f t="shared" si="69"/>
        <v>7.0773423982547445</v>
      </c>
      <c r="CI13" s="148">
        <f t="shared" si="70"/>
        <v>4.2650872384649858</v>
      </c>
    </row>
    <row r="14" spans="1:87" x14ac:dyDescent="0.25">
      <c r="A14" t="str">
        <f>PLANTILLA!D15</f>
        <v>C. Rojas</v>
      </c>
      <c r="B14" t="s">
        <v>722</v>
      </c>
      <c r="C14" s="573">
        <f>PLANTILLA!E15</f>
        <v>36</v>
      </c>
      <c r="D14" s="573">
        <f ca="1">PLANTILLA!F15</f>
        <v>70</v>
      </c>
      <c r="E14" s="573" t="str">
        <f>PLANTILLA!G15</f>
        <v>TEC</v>
      </c>
      <c r="F14" s="263">
        <v>41653</v>
      </c>
      <c r="G14" s="439">
        <v>1.5</v>
      </c>
      <c r="H14" s="440">
        <f>PLANTILLA!I15</f>
        <v>14.4</v>
      </c>
      <c r="I14" s="303"/>
      <c r="J14" s="152">
        <f>PLANTILLA!X15</f>
        <v>0</v>
      </c>
      <c r="K14" s="152">
        <f>PLANTILLA!Y15</f>
        <v>7.95</v>
      </c>
      <c r="L14" s="152">
        <f>PLANTILLA!Z15</f>
        <v>13.95</v>
      </c>
      <c r="M14" s="152">
        <f>PLANTILLA!AA15</f>
        <v>8.9499999999999993</v>
      </c>
      <c r="N14" s="152">
        <f>PLANTILLA!AB15</f>
        <v>9.9499999999999993</v>
      </c>
      <c r="O14" s="152">
        <f>PLANTILLA!AC15</f>
        <v>1.95</v>
      </c>
      <c r="P14" s="152">
        <f>PLANTILLA!AD15</f>
        <v>17.144444444444439</v>
      </c>
      <c r="Q14" s="152">
        <f t="shared" si="57"/>
        <v>3.8562499999999997</v>
      </c>
      <c r="R14" s="152">
        <f t="shared" si="58"/>
        <v>11.794752587818445</v>
      </c>
      <c r="S14" s="152">
        <f t="shared" si="59"/>
        <v>0.61183333333333312</v>
      </c>
      <c r="T14" s="152">
        <f t="shared" si="60"/>
        <v>0.83233333333333326</v>
      </c>
      <c r="U14" s="152">
        <f t="shared" ca="1" si="0"/>
        <v>19.688927767238106</v>
      </c>
      <c r="V14" s="148">
        <f t="shared" si="1"/>
        <v>4.8520339407988704</v>
      </c>
      <c r="W14" s="148">
        <f t="shared" si="2"/>
        <v>7.3091779697266226</v>
      </c>
      <c r="X14" s="148">
        <f t="shared" si="61"/>
        <v>4.8520339407988704</v>
      </c>
      <c r="Y14" s="148">
        <f t="shared" si="3"/>
        <v>5.673153394561532</v>
      </c>
      <c r="Z14" s="148">
        <f t="shared" si="4"/>
        <v>10.994483322793666</v>
      </c>
      <c r="AA14" s="148">
        <f t="shared" si="62"/>
        <v>2.836576697280766</v>
      </c>
      <c r="AB14" s="148">
        <f t="shared" si="5"/>
        <v>4.0446870308248926</v>
      </c>
      <c r="AC14" s="148">
        <f t="shared" si="6"/>
        <v>4.1559146960160058</v>
      </c>
      <c r="AD14" s="148">
        <f t="shared" si="7"/>
        <v>7.9490114423798204</v>
      </c>
      <c r="AE14" s="148">
        <f t="shared" si="63"/>
        <v>2.0779573480080029</v>
      </c>
      <c r="AF14" s="148">
        <f t="shared" si="8"/>
        <v>6.5428760792755618</v>
      </c>
      <c r="AG14" s="318">
        <f t="shared" si="9"/>
        <v>10.114924656970173</v>
      </c>
      <c r="AH14" s="148">
        <f t="shared" si="10"/>
        <v>4.5517160956365776</v>
      </c>
      <c r="AI14" s="148">
        <f t="shared" si="11"/>
        <v>2.8380787149065423</v>
      </c>
      <c r="AJ14" s="318">
        <f t="shared" si="12"/>
        <v>7.0527561938026757</v>
      </c>
      <c r="AK14" s="148">
        <f t="shared" si="13"/>
        <v>8.2898404253864246</v>
      </c>
      <c r="AL14" s="148">
        <f t="shared" si="14"/>
        <v>7.784094192537915</v>
      </c>
      <c r="AM14" s="148">
        <f t="shared" si="15"/>
        <v>3.371550937128764</v>
      </c>
      <c r="AN14" s="148">
        <f t="shared" si="16"/>
        <v>1.9874111969645756</v>
      </c>
      <c r="AO14" s="148">
        <f t="shared" si="17"/>
        <v>2.9685104971542899</v>
      </c>
      <c r="AP14" s="148">
        <f t="shared" si="18"/>
        <v>6.5307230937394376</v>
      </c>
      <c r="AQ14" s="148">
        <f t="shared" si="64"/>
        <v>1.484255248577145</v>
      </c>
      <c r="AR14" s="148">
        <f t="shared" si="19"/>
        <v>16.04279225671722</v>
      </c>
      <c r="AS14" s="148">
        <f t="shared" si="20"/>
        <v>1.6892828319631767</v>
      </c>
      <c r="AT14" s="148">
        <f t="shared" si="21"/>
        <v>2.4233836135785438</v>
      </c>
      <c r="AU14" s="148">
        <f t="shared" si="65"/>
        <v>0.84464141598158837</v>
      </c>
      <c r="AV14" s="148">
        <f t="shared" si="22"/>
        <v>2.0779573480080029</v>
      </c>
      <c r="AW14" s="148">
        <f t="shared" si="23"/>
        <v>4.3977933291174667</v>
      </c>
      <c r="AX14" s="148">
        <f t="shared" si="66"/>
        <v>1.0389786740040015</v>
      </c>
      <c r="AY14" s="148">
        <f t="shared" si="24"/>
        <v>16.994483322793666</v>
      </c>
      <c r="AZ14" s="148">
        <f t="shared" si="25"/>
        <v>3.2876042806667978</v>
      </c>
      <c r="BA14" s="148">
        <f t="shared" si="26"/>
        <v>5.4799603108593109</v>
      </c>
      <c r="BB14" s="148">
        <f t="shared" si="67"/>
        <v>1.6438021403333989</v>
      </c>
      <c r="BC14" s="148">
        <f t="shared" si="27"/>
        <v>3.1993946469329568</v>
      </c>
      <c r="BD14" s="148">
        <f t="shared" si="28"/>
        <v>3.8260801963321955</v>
      </c>
      <c r="BE14" s="148">
        <f t="shared" si="29"/>
        <v>14.97213980738122</v>
      </c>
      <c r="BF14" s="148">
        <f t="shared" si="30"/>
        <v>10.978095673963569</v>
      </c>
      <c r="BG14" s="148">
        <f t="shared" si="31"/>
        <v>3.1316704807932734</v>
      </c>
      <c r="BH14" s="148">
        <f t="shared" si="32"/>
        <v>5.3323244115549278</v>
      </c>
      <c r="BI14" s="148">
        <f t="shared" si="33"/>
        <v>2.902543597217528</v>
      </c>
      <c r="BJ14" s="148">
        <f t="shared" si="34"/>
        <v>6.4748981459843868</v>
      </c>
      <c r="BK14" s="148">
        <f t="shared" si="35"/>
        <v>10.684178424121665</v>
      </c>
      <c r="BL14" s="148">
        <f t="shared" si="36"/>
        <v>0.67571313278527056</v>
      </c>
      <c r="BM14" s="148">
        <f t="shared" si="37"/>
        <v>1.97900699810286</v>
      </c>
      <c r="BN14" s="148">
        <f t="shared" si="38"/>
        <v>0.74762486594996935</v>
      </c>
      <c r="BO14" s="148">
        <f t="shared" si="39"/>
        <v>5.1833174134520679</v>
      </c>
      <c r="BP14" s="148">
        <f t="shared" si="40"/>
        <v>15.710905553112655</v>
      </c>
      <c r="BQ14" s="148">
        <f t="shared" si="41"/>
        <v>1.754255248577145</v>
      </c>
      <c r="BR14" s="148">
        <f t="shared" si="42"/>
        <v>3.1224332636734009</v>
      </c>
      <c r="BS14" s="148">
        <f t="shared" si="43"/>
        <v>2.6826539307616546</v>
      </c>
      <c r="BT14" s="148">
        <f t="shared" si="44"/>
        <v>7.7324899118711183</v>
      </c>
      <c r="BU14" s="148">
        <f t="shared" si="45"/>
        <v>13.533887521655382</v>
      </c>
      <c r="BV14" s="148">
        <f t="shared" si="46"/>
        <v>1.5723324820580336</v>
      </c>
      <c r="BW14" s="148">
        <f t="shared" si="47"/>
        <v>3.1224332636734009</v>
      </c>
      <c r="BX14" s="148">
        <f t="shared" si="48"/>
        <v>2.6826539307616546</v>
      </c>
      <c r="BY14" s="148">
        <f t="shared" si="49"/>
        <v>10.723518976682804</v>
      </c>
      <c r="BZ14" s="148">
        <f t="shared" si="50"/>
        <v>10.928062573900331</v>
      </c>
      <c r="CA14" s="148">
        <f t="shared" si="51"/>
        <v>1.9231835317734625</v>
      </c>
      <c r="CB14" s="148">
        <f t="shared" si="52"/>
        <v>6.8997602290542286</v>
      </c>
      <c r="CC14" s="148">
        <f t="shared" si="53"/>
        <v>6.6436844769989927</v>
      </c>
      <c r="CD14" s="148">
        <f t="shared" si="54"/>
        <v>9.9677882214656695</v>
      </c>
      <c r="CE14" s="148">
        <f t="shared" si="68"/>
        <v>6.6436844769989927</v>
      </c>
      <c r="CF14" s="148">
        <f t="shared" si="55"/>
        <v>5.6645631101004543</v>
      </c>
      <c r="CG14" s="148">
        <f t="shared" si="56"/>
        <v>9.7894476689045291</v>
      </c>
      <c r="CH14" s="148">
        <f t="shared" si="69"/>
        <v>5.6645631101004543</v>
      </c>
      <c r="CI14" s="148">
        <f t="shared" si="70"/>
        <v>4.2486208306984166</v>
      </c>
    </row>
    <row r="15" spans="1:87" x14ac:dyDescent="0.25">
      <c r="A15" t="str">
        <f>PLANTILLA!D16</f>
        <v>E. Gross</v>
      </c>
      <c r="B15" t="s">
        <v>722</v>
      </c>
      <c r="C15" s="573">
        <f>PLANTILLA!E16</f>
        <v>35</v>
      </c>
      <c r="D15" s="573">
        <f ca="1">PLANTILLA!F16</f>
        <v>64</v>
      </c>
      <c r="E15" s="573"/>
      <c r="F15" s="263">
        <v>41552</v>
      </c>
      <c r="G15" s="439">
        <v>1.5</v>
      </c>
      <c r="H15" s="440">
        <f>PLANTILLA!I16</f>
        <v>13.1</v>
      </c>
      <c r="I15" s="303"/>
      <c r="J15" s="152">
        <f>PLANTILLA!X16</f>
        <v>0</v>
      </c>
      <c r="K15" s="152">
        <f>PLANTILLA!Y16</f>
        <v>10.549999999999995</v>
      </c>
      <c r="L15" s="152">
        <f>PLANTILLA!Z16</f>
        <v>12.95</v>
      </c>
      <c r="M15" s="152">
        <f>PLANTILLA!AA16</f>
        <v>4.95</v>
      </c>
      <c r="N15" s="152">
        <f>PLANTILLA!AB16</f>
        <v>8.9499999999999993</v>
      </c>
      <c r="O15" s="152">
        <f>PLANTILLA!AC16</f>
        <v>0.95</v>
      </c>
      <c r="P15" s="152">
        <f>PLANTILLA!AD16</f>
        <v>17.3</v>
      </c>
      <c r="Q15" s="152">
        <f t="shared" si="57"/>
        <v>3.9312499999999995</v>
      </c>
      <c r="R15" s="152">
        <f t="shared" si="58"/>
        <v>10.099226084532321</v>
      </c>
      <c r="S15" s="152">
        <f t="shared" si="59"/>
        <v>0.5665</v>
      </c>
      <c r="T15" s="152">
        <f t="shared" si="60"/>
        <v>0.94099999999999984</v>
      </c>
      <c r="U15" s="152">
        <f t="shared" ca="1" si="0"/>
        <v>19.789695060874354</v>
      </c>
      <c r="V15" s="148">
        <f t="shared" si="1"/>
        <v>5.5218037881433082</v>
      </c>
      <c r="W15" s="148">
        <f t="shared" si="2"/>
        <v>8.3434463235887861</v>
      </c>
      <c r="X15" s="148">
        <f t="shared" si="61"/>
        <v>5.5218037881433082</v>
      </c>
      <c r="Y15" s="148">
        <f t="shared" si="3"/>
        <v>6.9864826514111638</v>
      </c>
      <c r="Z15" s="148">
        <f t="shared" si="4"/>
        <v>13.539695060874347</v>
      </c>
      <c r="AA15" s="148">
        <f t="shared" si="62"/>
        <v>3.4932413257055819</v>
      </c>
      <c r="AB15" s="148">
        <f t="shared" si="5"/>
        <v>3.7936474244880953</v>
      </c>
      <c r="AC15" s="148">
        <f t="shared" si="6"/>
        <v>5.118004733010503</v>
      </c>
      <c r="AD15" s="148">
        <f t="shared" si="7"/>
        <v>9.7891995290121532</v>
      </c>
      <c r="AE15" s="148">
        <f t="shared" si="63"/>
        <v>2.5590023665052515</v>
      </c>
      <c r="AF15" s="148">
        <f t="shared" si="8"/>
        <v>6.1367825984366258</v>
      </c>
      <c r="AG15" s="318">
        <f t="shared" si="9"/>
        <v>12.456519456004401</v>
      </c>
      <c r="AH15" s="148">
        <f t="shared" si="10"/>
        <v>5.6054337552019797</v>
      </c>
      <c r="AI15" s="148">
        <f t="shared" si="11"/>
        <v>2.6619290751660167</v>
      </c>
      <c r="AJ15" s="318">
        <f t="shared" si="12"/>
        <v>4.6685406957941185</v>
      </c>
      <c r="AK15" s="148">
        <f t="shared" si="13"/>
        <v>10.208930075899257</v>
      </c>
      <c r="AL15" s="148">
        <f t="shared" si="14"/>
        <v>9.5861041030990375</v>
      </c>
      <c r="AM15" s="148">
        <f t="shared" si="15"/>
        <v>3.3883790751660174</v>
      </c>
      <c r="AN15" s="148">
        <f t="shared" si="16"/>
        <v>1.9932321775318131</v>
      </c>
      <c r="AO15" s="148">
        <f t="shared" si="17"/>
        <v>3.655717666436074</v>
      </c>
      <c r="AP15" s="148">
        <f t="shared" si="18"/>
        <v>8.0425788661593618</v>
      </c>
      <c r="AQ15" s="148">
        <f t="shared" si="64"/>
        <v>1.827858833218037</v>
      </c>
      <c r="AR15" s="148">
        <f t="shared" si="19"/>
        <v>15.047072137465387</v>
      </c>
      <c r="AS15" s="148">
        <f t="shared" si="20"/>
        <v>1.5521603579136658</v>
      </c>
      <c r="AT15" s="148">
        <f t="shared" si="21"/>
        <v>2.1143306528361849</v>
      </c>
      <c r="AU15" s="148">
        <f t="shared" si="65"/>
        <v>0.7760801789568329</v>
      </c>
      <c r="AV15" s="148">
        <f t="shared" si="22"/>
        <v>2.5590023665052515</v>
      </c>
      <c r="AW15" s="148">
        <f t="shared" si="23"/>
        <v>5.4158780243497393</v>
      </c>
      <c r="AX15" s="148">
        <f t="shared" si="66"/>
        <v>1.2795011832526257</v>
      </c>
      <c r="AY15" s="148">
        <f t="shared" si="24"/>
        <v>15.939695060874351</v>
      </c>
      <c r="AZ15" s="148">
        <f t="shared" si="25"/>
        <v>3.020742850401211</v>
      </c>
      <c r="BA15" s="148">
        <f t="shared" si="26"/>
        <v>4.8987719785417685</v>
      </c>
      <c r="BB15" s="148">
        <f t="shared" si="67"/>
        <v>1.5103714252006055</v>
      </c>
      <c r="BC15" s="148">
        <f t="shared" si="27"/>
        <v>3.9400512627144346</v>
      </c>
      <c r="BD15" s="148">
        <f t="shared" si="28"/>
        <v>4.7118138811842725</v>
      </c>
      <c r="BE15" s="148">
        <f t="shared" si="29"/>
        <v>14.042871348630303</v>
      </c>
      <c r="BF15" s="148">
        <f t="shared" si="30"/>
        <v>8.3183889091172976</v>
      </c>
      <c r="BG15" s="148">
        <f t="shared" si="31"/>
        <v>2.8774665096707186</v>
      </c>
      <c r="BH15" s="148">
        <f t="shared" si="32"/>
        <v>6.566752104524058</v>
      </c>
      <c r="BI15" s="148">
        <f t="shared" si="33"/>
        <v>3.5744794960708277</v>
      </c>
      <c r="BJ15" s="148">
        <f t="shared" si="34"/>
        <v>6.0730238181931275</v>
      </c>
      <c r="BK15" s="148">
        <f t="shared" si="35"/>
        <v>7.7432934832041838</v>
      </c>
      <c r="BL15" s="148">
        <f t="shared" si="36"/>
        <v>0.62086414316546623</v>
      </c>
      <c r="BM15" s="148">
        <f t="shared" si="37"/>
        <v>2.4371451109573825</v>
      </c>
      <c r="BN15" s="148">
        <f t="shared" si="38"/>
        <v>0.92069926413945569</v>
      </c>
      <c r="BO15" s="148">
        <f t="shared" si="39"/>
        <v>4.861606993566677</v>
      </c>
      <c r="BP15" s="148">
        <f t="shared" si="40"/>
        <v>11.354447848284416</v>
      </c>
      <c r="BQ15" s="148">
        <f t="shared" si="41"/>
        <v>1.6118588332180375</v>
      </c>
      <c r="BR15" s="148">
        <f t="shared" si="42"/>
        <v>3.8452733972883144</v>
      </c>
      <c r="BS15" s="148">
        <f t="shared" si="43"/>
        <v>3.3036855948533406</v>
      </c>
      <c r="BT15" s="148">
        <f t="shared" si="44"/>
        <v>7.2525612526978298</v>
      </c>
      <c r="BU15" s="148">
        <f t="shared" si="45"/>
        <v>9.7731821274487825</v>
      </c>
      <c r="BV15" s="148">
        <f t="shared" si="46"/>
        <v>1.4447031023657964</v>
      </c>
      <c r="BW15" s="148">
        <f t="shared" si="47"/>
        <v>3.8452733972883144</v>
      </c>
      <c r="BX15" s="148">
        <f t="shared" si="48"/>
        <v>3.3036855948533406</v>
      </c>
      <c r="BY15" s="148">
        <f t="shared" si="49"/>
        <v>10.057947583411716</v>
      </c>
      <c r="BZ15" s="148">
        <f t="shared" si="50"/>
        <v>7.8780270794825444</v>
      </c>
      <c r="CA15" s="148">
        <f t="shared" si="51"/>
        <v>1.7670748690094038</v>
      </c>
      <c r="CB15" s="148">
        <f t="shared" si="52"/>
        <v>6.4715161947149866</v>
      </c>
      <c r="CC15" s="148">
        <f t="shared" si="53"/>
        <v>4.6285811267155372</v>
      </c>
      <c r="CD15" s="148">
        <f t="shared" si="54"/>
        <v>8.7800966385445207</v>
      </c>
      <c r="CE15" s="148">
        <f t="shared" si="68"/>
        <v>4.6285811267155372</v>
      </c>
      <c r="CF15" s="148">
        <f t="shared" si="55"/>
        <v>4.3444300229247208</v>
      </c>
      <c r="CG15" s="148">
        <f t="shared" si="56"/>
        <v>8.3454425383369877</v>
      </c>
      <c r="CH15" s="148">
        <f t="shared" si="69"/>
        <v>4.3444300229247208</v>
      </c>
      <c r="CI15" s="148">
        <f t="shared" si="70"/>
        <v>3.9849237652185878</v>
      </c>
    </row>
    <row r="16" spans="1:87" x14ac:dyDescent="0.25">
      <c r="A16" t="str">
        <f>PLANTILLA!D17</f>
        <v>L. Bauman</v>
      </c>
      <c r="B16" t="s">
        <v>722</v>
      </c>
      <c r="C16" s="573">
        <f>PLANTILLA!E17</f>
        <v>35</v>
      </c>
      <c r="D16" s="573">
        <f ca="1">PLANTILLA!F17</f>
        <v>39</v>
      </c>
      <c r="E16" s="573"/>
      <c r="F16" s="263">
        <v>41686</v>
      </c>
      <c r="G16" s="439">
        <v>1.5</v>
      </c>
      <c r="H16" s="440">
        <f>PLANTILLA!I17</f>
        <v>12</v>
      </c>
      <c r="I16" s="303"/>
      <c r="J16" s="152">
        <f>PLANTILLA!X17</f>
        <v>0</v>
      </c>
      <c r="K16" s="152">
        <f>PLANTILLA!Y17</f>
        <v>5.95</v>
      </c>
      <c r="L16" s="152">
        <f>PLANTILLA!Z17</f>
        <v>14.1</v>
      </c>
      <c r="M16" s="152">
        <f>PLANTILLA!AA17</f>
        <v>2.95</v>
      </c>
      <c r="N16" s="152">
        <f>PLANTILLA!AB17</f>
        <v>8.9499999999999993</v>
      </c>
      <c r="O16" s="152">
        <f>PLANTILLA!AC17</f>
        <v>5.95</v>
      </c>
      <c r="P16" s="152">
        <f>PLANTILLA!AD17</f>
        <v>17</v>
      </c>
      <c r="Q16" s="152">
        <f t="shared" si="57"/>
        <v>3.3562499999999997</v>
      </c>
      <c r="R16" s="152">
        <f t="shared" si="58"/>
        <v>18.121987405020334</v>
      </c>
      <c r="S16" s="152">
        <f t="shared" si="59"/>
        <v>0.80749999999999988</v>
      </c>
      <c r="T16" s="152">
        <f t="shared" si="60"/>
        <v>0.748</v>
      </c>
      <c r="U16" s="152">
        <f t="shared" ca="1" si="0"/>
        <v>19.438908328063501</v>
      </c>
      <c r="V16" s="148">
        <f t="shared" si="1"/>
        <v>4.2078669703994356</v>
      </c>
      <c r="W16" s="148">
        <f t="shared" si="2"/>
        <v>6.322880651529978</v>
      </c>
      <c r="X16" s="148">
        <f t="shared" si="61"/>
        <v>4.2078669703994356</v>
      </c>
      <c r="Y16" s="148">
        <f t="shared" si="3"/>
        <v>4.5866766972807662</v>
      </c>
      <c r="Z16" s="148">
        <f t="shared" si="4"/>
        <v>8.8889083280635006</v>
      </c>
      <c r="AA16" s="148">
        <f t="shared" si="62"/>
        <v>2.2933383486403831</v>
      </c>
      <c r="AB16" s="148">
        <f t="shared" si="5"/>
        <v>4.0552601820791123</v>
      </c>
      <c r="AC16" s="148">
        <f t="shared" si="6"/>
        <v>3.3600073480080033</v>
      </c>
      <c r="AD16" s="148">
        <f t="shared" si="7"/>
        <v>6.4266807211899106</v>
      </c>
      <c r="AE16" s="148">
        <f t="shared" si="63"/>
        <v>1.6800036740040016</v>
      </c>
      <c r="AF16" s="148">
        <f t="shared" si="8"/>
        <v>6.5599797063044472</v>
      </c>
      <c r="AG16" s="318">
        <f t="shared" si="9"/>
        <v>8.1777956618184202</v>
      </c>
      <c r="AH16" s="148">
        <f t="shared" si="10"/>
        <v>3.6800080478182893</v>
      </c>
      <c r="AI16" s="148">
        <f t="shared" si="11"/>
        <v>2.8454976907866047</v>
      </c>
      <c r="AJ16" s="318">
        <f t="shared" si="12"/>
        <v>3.4626780969013375</v>
      </c>
      <c r="AK16" s="148">
        <f t="shared" si="13"/>
        <v>6.7022368793598792</v>
      </c>
      <c r="AL16" s="148">
        <f t="shared" si="14"/>
        <v>6.2933470962689579</v>
      </c>
      <c r="AM16" s="148">
        <f t="shared" si="15"/>
        <v>3.3297976907866049</v>
      </c>
      <c r="AN16" s="148">
        <f t="shared" si="16"/>
        <v>1.8130055984822875</v>
      </c>
      <c r="AO16" s="148">
        <f t="shared" si="17"/>
        <v>2.4000052485771453</v>
      </c>
      <c r="AP16" s="148">
        <f t="shared" si="18"/>
        <v>5.2800115468697193</v>
      </c>
      <c r="AQ16" s="148">
        <f t="shared" si="64"/>
        <v>1.2000026242885726</v>
      </c>
      <c r="AR16" s="148">
        <f t="shared" si="19"/>
        <v>16.084729461691943</v>
      </c>
      <c r="AS16" s="148">
        <f t="shared" si="20"/>
        <v>1.5455580826482549</v>
      </c>
      <c r="AT16" s="148">
        <f t="shared" si="21"/>
        <v>2.9644501401226053</v>
      </c>
      <c r="AU16" s="148">
        <f t="shared" si="65"/>
        <v>0.77277904132412745</v>
      </c>
      <c r="AV16" s="148">
        <f t="shared" si="22"/>
        <v>1.6800036740040016</v>
      </c>
      <c r="AW16" s="148">
        <f t="shared" si="23"/>
        <v>3.5555633312254002</v>
      </c>
      <c r="AX16" s="148">
        <f t="shared" si="66"/>
        <v>0.84000183700200082</v>
      </c>
      <c r="AY16" s="148">
        <f t="shared" si="24"/>
        <v>17.038908328063499</v>
      </c>
      <c r="AZ16" s="148">
        <f t="shared" si="25"/>
        <v>3.0078938070000651</v>
      </c>
      <c r="BA16" s="148">
        <f t="shared" si="26"/>
        <v>5.9207884887629882</v>
      </c>
      <c r="BB16" s="148">
        <f t="shared" si="67"/>
        <v>1.5039469035000326</v>
      </c>
      <c r="BC16" s="148">
        <f t="shared" si="27"/>
        <v>2.5866723234664786</v>
      </c>
      <c r="BD16" s="148">
        <f t="shared" si="28"/>
        <v>3.0933400981660979</v>
      </c>
      <c r="BE16" s="148">
        <f t="shared" si="29"/>
        <v>15.011278237023943</v>
      </c>
      <c r="BF16" s="148">
        <f t="shared" si="30"/>
        <v>7.1252395036484515</v>
      </c>
      <c r="BG16" s="148">
        <f t="shared" si="31"/>
        <v>2.865226907063303</v>
      </c>
      <c r="BH16" s="148">
        <f t="shared" si="32"/>
        <v>4.3111205391107976</v>
      </c>
      <c r="BI16" s="148">
        <f t="shared" si="33"/>
        <v>2.3466717986087642</v>
      </c>
      <c r="BJ16" s="148">
        <f t="shared" si="34"/>
        <v>6.491824072992193</v>
      </c>
      <c r="BK16" s="148">
        <f t="shared" si="35"/>
        <v>6.3529058787274995</v>
      </c>
      <c r="BL16" s="148">
        <f t="shared" si="36"/>
        <v>0.61822323305930194</v>
      </c>
      <c r="BM16" s="148">
        <f t="shared" si="37"/>
        <v>1.60000349905143</v>
      </c>
      <c r="BN16" s="148">
        <f t="shared" si="38"/>
        <v>0.60444576630831803</v>
      </c>
      <c r="BO16" s="148">
        <f t="shared" si="39"/>
        <v>5.1968670400593675</v>
      </c>
      <c r="BP16" s="148">
        <f t="shared" si="40"/>
        <v>9.289136109889661</v>
      </c>
      <c r="BQ16" s="148">
        <f t="shared" si="41"/>
        <v>1.6050026242885724</v>
      </c>
      <c r="BR16" s="148">
        <f t="shared" si="42"/>
        <v>2.5244499651700338</v>
      </c>
      <c r="BS16" s="148">
        <f t="shared" si="43"/>
        <v>2.1688936320474941</v>
      </c>
      <c r="BT16" s="148">
        <f t="shared" si="44"/>
        <v>7.7527032892688927</v>
      </c>
      <c r="BU16" s="148">
        <f t="shared" si="45"/>
        <v>7.988910427494357</v>
      </c>
      <c r="BV16" s="148">
        <f t="shared" si="46"/>
        <v>1.4385579076956834</v>
      </c>
      <c r="BW16" s="148">
        <f t="shared" si="47"/>
        <v>2.5244499651700338</v>
      </c>
      <c r="BX16" s="148">
        <f t="shared" si="48"/>
        <v>2.1688936320474941</v>
      </c>
      <c r="BY16" s="148">
        <f t="shared" si="49"/>
        <v>10.751551155008068</v>
      </c>
      <c r="BZ16" s="148">
        <f t="shared" si="50"/>
        <v>6.4285729536168326</v>
      </c>
      <c r="CA16" s="148">
        <f t="shared" si="51"/>
        <v>1.7595584325533977</v>
      </c>
      <c r="CB16" s="148">
        <f t="shared" si="52"/>
        <v>6.9177967811937808</v>
      </c>
      <c r="CC16" s="148">
        <f t="shared" si="53"/>
        <v>4.9491212389210837</v>
      </c>
      <c r="CD16" s="148">
        <f t="shared" si="54"/>
        <v>11.637910777399501</v>
      </c>
      <c r="CE16" s="148">
        <f t="shared" si="68"/>
        <v>4.9491212389210837</v>
      </c>
      <c r="CF16" s="148">
        <f t="shared" si="55"/>
        <v>5.1707898883835606</v>
      </c>
      <c r="CG16" s="148">
        <f t="shared" si="56"/>
        <v>13.275915501118931</v>
      </c>
      <c r="CH16" s="148">
        <f t="shared" si="69"/>
        <v>5.1707898883835606</v>
      </c>
      <c r="CI16" s="148">
        <f t="shared" si="70"/>
        <v>4.2597270820158748</v>
      </c>
    </row>
    <row r="17" spans="1:87" x14ac:dyDescent="0.25">
      <c r="A17" t="str">
        <f>PLANTILLA!D18</f>
        <v>W. Gelifini</v>
      </c>
      <c r="B17" t="s">
        <v>722</v>
      </c>
      <c r="C17" s="573">
        <f>PLANTILLA!E18</f>
        <v>33</v>
      </c>
      <c r="D17" s="573">
        <f ca="1">PLANTILLA!F18</f>
        <v>101</v>
      </c>
      <c r="E17" s="573"/>
      <c r="F17" s="263">
        <v>41737</v>
      </c>
      <c r="G17" s="439">
        <v>1.5</v>
      </c>
      <c r="H17" s="440">
        <f>PLANTILLA!I18</f>
        <v>4.5</v>
      </c>
      <c r="I17" s="303"/>
      <c r="J17" s="152">
        <f>PLANTILLA!X18</f>
        <v>0</v>
      </c>
      <c r="K17" s="152">
        <f>PLANTILLA!Y18</f>
        <v>5.6515555555555519</v>
      </c>
      <c r="L17" s="152">
        <f>PLANTILLA!Z18</f>
        <v>9.9499999999999993</v>
      </c>
      <c r="M17" s="152">
        <f>PLANTILLA!AA18</f>
        <v>6.95</v>
      </c>
      <c r="N17" s="152">
        <f>PLANTILLA!AB18</f>
        <v>9.2666666666666639</v>
      </c>
      <c r="O17" s="152">
        <f>PLANTILLA!AC18</f>
        <v>2.95</v>
      </c>
      <c r="P17" s="152">
        <f>PLANTILLA!AD18</f>
        <v>12.847222222222223</v>
      </c>
      <c r="Q17" s="152">
        <f t="shared" si="57"/>
        <v>3.3981111111111098</v>
      </c>
      <c r="R17" s="152">
        <f t="shared" si="58"/>
        <v>9.6027717628135694</v>
      </c>
      <c r="S17" s="152">
        <f t="shared" si="59"/>
        <v>0.53291666666666671</v>
      </c>
      <c r="T17" s="152">
        <f t="shared" si="60"/>
        <v>0.61147888888888879</v>
      </c>
      <c r="U17" s="152">
        <f t="shared" ca="1" si="0"/>
        <v>14.718172240589348</v>
      </c>
      <c r="V17" s="148">
        <f t="shared" si="1"/>
        <v>3.6296686993678327</v>
      </c>
      <c r="W17" s="148">
        <f t="shared" si="2"/>
        <v>5.4628075848230679</v>
      </c>
      <c r="X17" s="148">
        <f t="shared" si="61"/>
        <v>3.6296686993678327</v>
      </c>
      <c r="Y17" s="148">
        <f t="shared" si="3"/>
        <v>4.1396128761441018</v>
      </c>
      <c r="Z17" s="148">
        <f t="shared" si="4"/>
        <v>8.0225055739226772</v>
      </c>
      <c r="AA17" s="148">
        <f t="shared" si="62"/>
        <v>2.0698064380720509</v>
      </c>
      <c r="AB17" s="148">
        <f t="shared" si="5"/>
        <v>2.9323861043713757</v>
      </c>
      <c r="AC17" s="148">
        <f t="shared" si="6"/>
        <v>3.0325071069427718</v>
      </c>
      <c r="AD17" s="148">
        <f t="shared" si="7"/>
        <v>5.8002715299460954</v>
      </c>
      <c r="AE17" s="148">
        <f t="shared" si="63"/>
        <v>1.5162535534713859</v>
      </c>
      <c r="AF17" s="148">
        <f t="shared" si="8"/>
        <v>4.7435657570713428</v>
      </c>
      <c r="AG17" s="318">
        <f t="shared" si="9"/>
        <v>7.3807051280088629</v>
      </c>
      <c r="AH17" s="148">
        <f t="shared" si="10"/>
        <v>3.3213173076039881</v>
      </c>
      <c r="AI17" s="148">
        <f t="shared" si="11"/>
        <v>2.05759865306731</v>
      </c>
      <c r="AJ17" s="318">
        <f t="shared" si="12"/>
        <v>5.4807186107998689</v>
      </c>
      <c r="AK17" s="148">
        <f t="shared" si="13"/>
        <v>6.0489692027376982</v>
      </c>
      <c r="AL17" s="148">
        <f t="shared" si="14"/>
        <v>5.6799339463372549</v>
      </c>
      <c r="AM17" s="148">
        <f t="shared" si="15"/>
        <v>2.5414347641784212</v>
      </c>
      <c r="AN17" s="148">
        <f t="shared" si="16"/>
        <v>1.6614896052897317</v>
      </c>
      <c r="AO17" s="148">
        <f t="shared" si="17"/>
        <v>2.1660765049591229</v>
      </c>
      <c r="AP17" s="148">
        <f t="shared" si="18"/>
        <v>4.7653683109100697</v>
      </c>
      <c r="AQ17" s="148">
        <f t="shared" si="64"/>
        <v>1.0830382524795614</v>
      </c>
      <c r="AR17" s="148">
        <f t="shared" si="19"/>
        <v>11.630976817338565</v>
      </c>
      <c r="AS17" s="148">
        <f t="shared" si="20"/>
        <v>1.5128901690543926</v>
      </c>
      <c r="AT17" s="148">
        <f t="shared" si="21"/>
        <v>2.3170383553815674</v>
      </c>
      <c r="AU17" s="148">
        <f t="shared" si="65"/>
        <v>0.75644508452719628</v>
      </c>
      <c r="AV17" s="148">
        <f t="shared" si="22"/>
        <v>1.5162535534713859</v>
      </c>
      <c r="AW17" s="148">
        <f t="shared" si="23"/>
        <v>3.2090022295690712</v>
      </c>
      <c r="AX17" s="148">
        <f t="shared" si="66"/>
        <v>0.75812677673569295</v>
      </c>
      <c r="AY17" s="148">
        <f t="shared" si="24"/>
        <v>12.320950018367125</v>
      </c>
      <c r="AZ17" s="148">
        <f t="shared" si="25"/>
        <v>2.9443170213135486</v>
      </c>
      <c r="BA17" s="148">
        <f t="shared" si="26"/>
        <v>5.0858267934536183</v>
      </c>
      <c r="BB17" s="148">
        <f t="shared" si="67"/>
        <v>1.4721585106567743</v>
      </c>
      <c r="BC17" s="148">
        <f t="shared" si="27"/>
        <v>2.3345491220114991</v>
      </c>
      <c r="BD17" s="148">
        <f t="shared" si="28"/>
        <v>2.7918319397250912</v>
      </c>
      <c r="BE17" s="148">
        <f t="shared" si="29"/>
        <v>10.854756966181437</v>
      </c>
      <c r="BF17" s="148">
        <f t="shared" si="30"/>
        <v>9.0160745663283723</v>
      </c>
      <c r="BG17" s="148">
        <f t="shared" si="31"/>
        <v>2.8046656210931431</v>
      </c>
      <c r="BH17" s="148">
        <f t="shared" si="32"/>
        <v>3.8909152033524985</v>
      </c>
      <c r="BI17" s="148">
        <f t="shared" si="33"/>
        <v>2.1179414715155866</v>
      </c>
      <c r="BJ17" s="148">
        <f t="shared" si="34"/>
        <v>4.6942819569978749</v>
      </c>
      <c r="BK17" s="148">
        <f t="shared" si="35"/>
        <v>8.6121603160528668</v>
      </c>
      <c r="BL17" s="148">
        <f t="shared" si="36"/>
        <v>0.605156067621757</v>
      </c>
      <c r="BM17" s="148">
        <f t="shared" si="37"/>
        <v>1.4440510033060818</v>
      </c>
      <c r="BN17" s="148">
        <f t="shared" si="38"/>
        <v>0.54553037902674206</v>
      </c>
      <c r="BO17" s="148">
        <f t="shared" si="39"/>
        <v>3.757889755601973</v>
      </c>
      <c r="BP17" s="148">
        <f t="shared" si="40"/>
        <v>12.649308390286787</v>
      </c>
      <c r="BQ17" s="148">
        <f t="shared" si="41"/>
        <v>1.5710782524795617</v>
      </c>
      <c r="BR17" s="148">
        <f t="shared" si="42"/>
        <v>2.2783915829940402</v>
      </c>
      <c r="BS17" s="148">
        <f t="shared" si="43"/>
        <v>1.9574913600371331</v>
      </c>
      <c r="BT17" s="148">
        <f t="shared" si="44"/>
        <v>5.6060322583570414</v>
      </c>
      <c r="BU17" s="148">
        <f t="shared" si="45"/>
        <v>10.89287928701744</v>
      </c>
      <c r="BV17" s="148">
        <f t="shared" si="46"/>
        <v>1.4081516188890884</v>
      </c>
      <c r="BW17" s="148">
        <f t="shared" si="47"/>
        <v>2.2783915829940402</v>
      </c>
      <c r="BX17" s="148">
        <f t="shared" si="48"/>
        <v>1.9574913600371331</v>
      </c>
      <c r="BY17" s="148">
        <f t="shared" si="49"/>
        <v>7.774519461589656</v>
      </c>
      <c r="BZ17" s="148">
        <f t="shared" si="50"/>
        <v>8.7893669331052422</v>
      </c>
      <c r="CA17" s="148">
        <f t="shared" si="51"/>
        <v>1.7223672693850007</v>
      </c>
      <c r="CB17" s="148">
        <f t="shared" si="52"/>
        <v>5.0023057074570527</v>
      </c>
      <c r="CC17" s="148">
        <f t="shared" si="53"/>
        <v>4.9273816262359373</v>
      </c>
      <c r="CD17" s="148">
        <f t="shared" si="54"/>
        <v>9.4213397206813809</v>
      </c>
      <c r="CE17" s="148">
        <f t="shared" si="68"/>
        <v>4.9273816262359373</v>
      </c>
      <c r="CF17" s="148">
        <f t="shared" si="55"/>
        <v>4.9659185281093858</v>
      </c>
      <c r="CG17" s="148">
        <f t="shared" si="56"/>
        <v>9.6152305751445937</v>
      </c>
      <c r="CH17" s="148">
        <f t="shared" si="69"/>
        <v>4.9659185281093858</v>
      </c>
      <c r="CI17" s="148">
        <f t="shared" si="70"/>
        <v>3.0802375045917811</v>
      </c>
    </row>
    <row r="18" spans="1:87" x14ac:dyDescent="0.25">
      <c r="A18" t="e">
        <f>PLANTILLA!#REF!</f>
        <v>#REF!</v>
      </c>
      <c r="B18" t="s">
        <v>722</v>
      </c>
      <c r="C18" s="573" t="e">
        <f>PLANTILLA!#REF!</f>
        <v>#REF!</v>
      </c>
      <c r="D18" s="573" t="e">
        <f>PLANTILLA!#REF!</f>
        <v>#REF!</v>
      </c>
      <c r="E18" s="573" t="e">
        <f>PLANTILLA!#REF!</f>
        <v>#REF!</v>
      </c>
      <c r="F18" s="263">
        <v>41730</v>
      </c>
      <c r="G18" s="439">
        <v>1.5</v>
      </c>
      <c r="H18" s="440" t="e">
        <f>PLANTILLA!#REF!</f>
        <v>#REF!</v>
      </c>
      <c r="I18" s="303"/>
      <c r="J18" s="152" t="e">
        <f>PLANTILLA!#REF!</f>
        <v>#REF!</v>
      </c>
      <c r="K18" s="152" t="e">
        <f>PLANTILLA!#REF!</f>
        <v>#REF!</v>
      </c>
      <c r="L18" s="152" t="e">
        <f>PLANTILLA!#REF!</f>
        <v>#REF!</v>
      </c>
      <c r="M18" s="152" t="e">
        <f>PLANTILLA!#REF!</f>
        <v>#REF!</v>
      </c>
      <c r="N18" s="152" t="e">
        <f>PLANTILLA!#REF!</f>
        <v>#REF!</v>
      </c>
      <c r="O18" s="152" t="e">
        <f>PLANTILLA!#REF!</f>
        <v>#REF!</v>
      </c>
      <c r="P18" s="152" t="e">
        <f>PLANTILLA!#REF!</f>
        <v>#REF!</v>
      </c>
      <c r="Q18" s="152" t="e">
        <f t="shared" si="57"/>
        <v>#REF!</v>
      </c>
      <c r="R18" s="152" t="e">
        <f t="shared" si="58"/>
        <v>#REF!</v>
      </c>
      <c r="S18" s="152" t="e">
        <f t="shared" si="59"/>
        <v>#REF!</v>
      </c>
      <c r="T18" s="152" t="e">
        <f t="shared" si="60"/>
        <v>#REF!</v>
      </c>
      <c r="U18" s="152" t="e">
        <f t="shared" ca="1" si="0"/>
        <v>#REF!</v>
      </c>
      <c r="V18" s="148" t="e">
        <f t="shared" si="1"/>
        <v>#REF!</v>
      </c>
      <c r="W18" s="148" t="e">
        <f t="shared" si="2"/>
        <v>#REF!</v>
      </c>
      <c r="X18" s="148" t="e">
        <f t="shared" si="61"/>
        <v>#REF!</v>
      </c>
      <c r="Y18" s="148" t="e">
        <f t="shared" si="3"/>
        <v>#REF!</v>
      </c>
      <c r="Z18" s="148" t="e">
        <f t="shared" si="4"/>
        <v>#REF!</v>
      </c>
      <c r="AA18" s="148" t="e">
        <f t="shared" si="62"/>
        <v>#REF!</v>
      </c>
      <c r="AB18" s="148" t="e">
        <f t="shared" si="5"/>
        <v>#REF!</v>
      </c>
      <c r="AC18" s="148" t="e">
        <f t="shared" si="6"/>
        <v>#REF!</v>
      </c>
      <c r="AD18" s="148" t="e">
        <f t="shared" si="7"/>
        <v>#REF!</v>
      </c>
      <c r="AE18" s="148" t="e">
        <f t="shared" si="63"/>
        <v>#REF!</v>
      </c>
      <c r="AF18" s="148" t="e">
        <f t="shared" si="8"/>
        <v>#REF!</v>
      </c>
      <c r="AG18" s="318" t="e">
        <f t="shared" si="9"/>
        <v>#REF!</v>
      </c>
      <c r="AH18" s="148" t="e">
        <f t="shared" si="10"/>
        <v>#REF!</v>
      </c>
      <c r="AI18" s="148" t="e">
        <f t="shared" si="11"/>
        <v>#REF!</v>
      </c>
      <c r="AJ18" s="318" t="e">
        <f t="shared" si="12"/>
        <v>#REF!</v>
      </c>
      <c r="AK18" s="148" t="e">
        <f t="shared" si="13"/>
        <v>#REF!</v>
      </c>
      <c r="AL18" s="148" t="e">
        <f t="shared" si="14"/>
        <v>#REF!</v>
      </c>
      <c r="AM18" s="148" t="e">
        <f t="shared" si="15"/>
        <v>#REF!</v>
      </c>
      <c r="AN18" s="148" t="e">
        <f t="shared" si="16"/>
        <v>#REF!</v>
      </c>
      <c r="AO18" s="148" t="e">
        <f t="shared" si="17"/>
        <v>#REF!</v>
      </c>
      <c r="AP18" s="148" t="e">
        <f t="shared" si="18"/>
        <v>#REF!</v>
      </c>
      <c r="AQ18" s="148" t="e">
        <f t="shared" si="64"/>
        <v>#REF!</v>
      </c>
      <c r="AR18" s="148" t="e">
        <f t="shared" si="19"/>
        <v>#REF!</v>
      </c>
      <c r="AS18" s="148" t="e">
        <f t="shared" si="20"/>
        <v>#REF!</v>
      </c>
      <c r="AT18" s="148" t="e">
        <f t="shared" si="21"/>
        <v>#REF!</v>
      </c>
      <c r="AU18" s="148" t="e">
        <f t="shared" si="65"/>
        <v>#REF!</v>
      </c>
      <c r="AV18" s="148" t="e">
        <f t="shared" si="22"/>
        <v>#REF!</v>
      </c>
      <c r="AW18" s="148" t="e">
        <f t="shared" si="23"/>
        <v>#REF!</v>
      </c>
      <c r="AX18" s="148" t="e">
        <f t="shared" si="66"/>
        <v>#REF!</v>
      </c>
      <c r="AY18" s="148" t="e">
        <f t="shared" si="24"/>
        <v>#REF!</v>
      </c>
      <c r="AZ18" s="148" t="e">
        <f t="shared" si="25"/>
        <v>#REF!</v>
      </c>
      <c r="BA18" s="148" t="e">
        <f t="shared" si="26"/>
        <v>#REF!</v>
      </c>
      <c r="BB18" s="148" t="e">
        <f t="shared" si="67"/>
        <v>#REF!</v>
      </c>
      <c r="BC18" s="148" t="e">
        <f t="shared" si="27"/>
        <v>#REF!</v>
      </c>
      <c r="BD18" s="148" t="e">
        <f t="shared" si="28"/>
        <v>#REF!</v>
      </c>
      <c r="BE18" s="148" t="e">
        <f t="shared" si="29"/>
        <v>#REF!</v>
      </c>
      <c r="BF18" s="148" t="e">
        <f t="shared" si="30"/>
        <v>#REF!</v>
      </c>
      <c r="BG18" s="148" t="e">
        <f t="shared" si="31"/>
        <v>#REF!</v>
      </c>
      <c r="BH18" s="148" t="e">
        <f t="shared" si="32"/>
        <v>#REF!</v>
      </c>
      <c r="BI18" s="148" t="e">
        <f t="shared" si="33"/>
        <v>#REF!</v>
      </c>
      <c r="BJ18" s="148" t="e">
        <f t="shared" si="34"/>
        <v>#REF!</v>
      </c>
      <c r="BK18" s="148" t="e">
        <f t="shared" si="35"/>
        <v>#REF!</v>
      </c>
      <c r="BL18" s="148" t="e">
        <f t="shared" si="36"/>
        <v>#REF!</v>
      </c>
      <c r="BM18" s="148" t="e">
        <f t="shared" si="37"/>
        <v>#REF!</v>
      </c>
      <c r="BN18" s="148" t="e">
        <f t="shared" si="38"/>
        <v>#REF!</v>
      </c>
      <c r="BO18" s="148" t="e">
        <f t="shared" si="39"/>
        <v>#REF!</v>
      </c>
      <c r="BP18" s="148" t="e">
        <f t="shared" si="40"/>
        <v>#REF!</v>
      </c>
      <c r="BQ18" s="148" t="e">
        <f t="shared" si="41"/>
        <v>#REF!</v>
      </c>
      <c r="BR18" s="148" t="e">
        <f t="shared" si="42"/>
        <v>#REF!</v>
      </c>
      <c r="BS18" s="148" t="e">
        <f t="shared" si="43"/>
        <v>#REF!</v>
      </c>
      <c r="BT18" s="148" t="e">
        <f t="shared" si="44"/>
        <v>#REF!</v>
      </c>
      <c r="BU18" s="148" t="e">
        <f t="shared" si="45"/>
        <v>#REF!</v>
      </c>
      <c r="BV18" s="148" t="e">
        <f t="shared" si="46"/>
        <v>#REF!</v>
      </c>
      <c r="BW18" s="148" t="e">
        <f t="shared" si="47"/>
        <v>#REF!</v>
      </c>
      <c r="BX18" s="148" t="e">
        <f t="shared" si="48"/>
        <v>#REF!</v>
      </c>
      <c r="BY18" s="148" t="e">
        <f t="shared" si="49"/>
        <v>#REF!</v>
      </c>
      <c r="BZ18" s="148" t="e">
        <f t="shared" si="50"/>
        <v>#REF!</v>
      </c>
      <c r="CA18" s="148" t="e">
        <f t="shared" si="51"/>
        <v>#REF!</v>
      </c>
      <c r="CB18" s="148" t="e">
        <f t="shared" si="52"/>
        <v>#REF!</v>
      </c>
      <c r="CC18" s="148" t="e">
        <f t="shared" si="53"/>
        <v>#REF!</v>
      </c>
      <c r="CD18" s="148" t="e">
        <f t="shared" si="54"/>
        <v>#REF!</v>
      </c>
      <c r="CE18" s="148" t="e">
        <f t="shared" si="68"/>
        <v>#REF!</v>
      </c>
      <c r="CF18" s="148" t="e">
        <f t="shared" si="55"/>
        <v>#REF!</v>
      </c>
      <c r="CG18" s="148" t="e">
        <f t="shared" si="56"/>
        <v>#REF!</v>
      </c>
      <c r="CH18" s="148" t="e">
        <f t="shared" si="69"/>
        <v>#REF!</v>
      </c>
      <c r="CI18" s="148" t="e">
        <f t="shared" si="70"/>
        <v>#REF!</v>
      </c>
    </row>
    <row r="19" spans="1:87" x14ac:dyDescent="0.25">
      <c r="A19" t="str">
        <f>PLANTILLA!D19</f>
        <v>G. Kerschl</v>
      </c>
      <c r="B19" t="s">
        <v>722</v>
      </c>
      <c r="C19" s="608">
        <f>PLANTILLA!E19</f>
        <v>33</v>
      </c>
      <c r="D19" s="608">
        <f ca="1">PLANTILLA!F19</f>
        <v>66</v>
      </c>
      <c r="E19" s="608" t="str">
        <f>PLANTILLA!G19</f>
        <v>CAB</v>
      </c>
      <c r="F19" s="263">
        <v>43060</v>
      </c>
      <c r="G19" s="439">
        <v>2.5</v>
      </c>
      <c r="H19" s="440">
        <f>PLANTILLA!I19</f>
        <v>13.4</v>
      </c>
      <c r="I19" s="303"/>
      <c r="J19" s="152">
        <f>PLANTILLA!X19</f>
        <v>0</v>
      </c>
      <c r="K19" s="152">
        <f>PLANTILLA!Y19</f>
        <v>3</v>
      </c>
      <c r="L19" s="152">
        <f>PLANTILLA!Z19</f>
        <v>15.07</v>
      </c>
      <c r="M19" s="152">
        <f>PLANTILLA!AA19</f>
        <v>12.12</v>
      </c>
      <c r="N19" s="152">
        <f>PLANTILLA!AB19</f>
        <v>12.95</v>
      </c>
      <c r="O19" s="152">
        <f>PLANTILLA!AC19</f>
        <v>7.95</v>
      </c>
      <c r="P19" s="152">
        <f>PLANTILLA!AD19</f>
        <v>7</v>
      </c>
      <c r="Q19" s="152">
        <f t="shared" ref="Q19" si="71">((2*(N19+1))+(K19+1))/8</f>
        <v>3.9874999999999998</v>
      </c>
      <c r="R19" s="152">
        <f t="shared" ref="R19" si="72">1.66*(O19+(LOG(H19)*4/3)+G19)+0.55*(P19+(LOG(H19)*4/3)+G19)-7.6</f>
        <v>18.293202139181631</v>
      </c>
      <c r="S19" s="152">
        <f t="shared" ref="S19" si="73">(0.5*O19+ 0.3*P19)/10</f>
        <v>0.60750000000000004</v>
      </c>
      <c r="T19" s="152">
        <f t="shared" ref="T19" si="74">(0.4*K19+0.3*P19)/10</f>
        <v>0.33</v>
      </c>
      <c r="U19" s="152">
        <f t="shared" ref="U19" ca="1" si="75">IF(TODAY()-F19&gt;335,(P19+1+(LOG(H19)*4/3)),(P19+((TODAY()-F19)^0.5)/(336^0.5)+(LOG(H19)*4/3)))</f>
        <v>9.502806397819743</v>
      </c>
      <c r="V19" s="148">
        <f t="shared" ref="V19" si="76">((J19+G19+(LOG(H19)*4/3))*0.597)+((K19+G19+(LOG(H19)*4/3))*0.276)</f>
        <v>4.3224499852966369</v>
      </c>
      <c r="W19" s="148">
        <f t="shared" ref="W19" si="77">((J19+G19+(LOG(H19)*4/3))*0.866)+((K19+G19+(LOG(H19)*4/3))*0.425)</f>
        <v>6.4426230595852889</v>
      </c>
      <c r="X19" s="148">
        <f t="shared" ref="X19" si="78">V19</f>
        <v>4.3224499852966369</v>
      </c>
      <c r="Y19" s="148">
        <f t="shared" ref="Y19" si="79">((K19+G19+(LOG(H19)*4/3))*0.516)</f>
        <v>3.6134481012749879</v>
      </c>
      <c r="Z19" s="148">
        <f t="shared" ref="Z19" si="80">(K19+G19+(LOG(H19)*4/3))*1</f>
        <v>7.0028063978197439</v>
      </c>
      <c r="AA19" s="148">
        <f t="shared" ref="AA19" si="81">Y19/2</f>
        <v>1.806724050637494</v>
      </c>
      <c r="AB19" s="148">
        <f t="shared" ref="AB19" si="82">(L19+G19+(LOG(H19)*4/3))*0.238</f>
        <v>4.5393279226810987</v>
      </c>
      <c r="AC19" s="148">
        <f t="shared" ref="AC19" si="83">((K19+G19+(LOG(H19)*4/3))*0.378)</f>
        <v>2.6470608183758633</v>
      </c>
      <c r="AD19" s="148">
        <f t="shared" ref="AD19" si="84">(K19+G19+(LOG(H19)*4/3))*0.723</f>
        <v>5.063029025623675</v>
      </c>
      <c r="AE19" s="148">
        <f t="shared" ref="AE19" si="85">AC19/2</f>
        <v>1.3235304091879316</v>
      </c>
      <c r="AF19" s="148">
        <f t="shared" ref="AF19" si="86">(L19+G19+(LOG(H19)*4/3))*0.385</f>
        <v>7.3430304631606012</v>
      </c>
      <c r="AG19" s="318">
        <f t="shared" ref="AG19" si="87">((K19+G19+(LOG(H19)*4/3))*0.92)</f>
        <v>6.4425818859941648</v>
      </c>
      <c r="AH19" s="148">
        <f t="shared" ref="AH19" si="88">(K19+G19+(LOG(H19)*4/3))*0.414</f>
        <v>2.899161848697374</v>
      </c>
      <c r="AI19" s="148">
        <f t="shared" ref="AI19" si="89">((L19+G19+(LOG(H19)*4/3))*0.167)</f>
        <v>3.1851586684358972</v>
      </c>
      <c r="AJ19" s="318">
        <f t="shared" ref="AJ19" si="90">(M19+G19+(LOG(H19)*4/3))*0.588</f>
        <v>9.4802101619180092</v>
      </c>
      <c r="AK19" s="148">
        <f t="shared" ref="AK19" si="91">((K19+G19+(LOG(H19)*4/3))*0.754)</f>
        <v>5.2801160239560874</v>
      </c>
      <c r="AL19" s="148">
        <f t="shared" ref="AL19" si="92">((K19+G19+(LOG(H19)*4/3))*0.708)</f>
        <v>4.9579869296563785</v>
      </c>
      <c r="AM19" s="148">
        <f t="shared" ref="AM19" si="93">((P19+G19+(LOG(H19)*4/3))*0.167)</f>
        <v>1.8374686684358972</v>
      </c>
      <c r="AN19" s="148">
        <f t="shared" ref="AN19" si="94">((Q19+G19+(LOG(H19)*4/3))*0.288)</f>
        <v>2.3012082425720859</v>
      </c>
      <c r="AO19" s="148">
        <f t="shared" ref="AO19" si="95">((K19+G19+(LOG(H19)*4/3))*0.27)</f>
        <v>1.890757727411331</v>
      </c>
      <c r="AP19" s="148">
        <f t="shared" ref="AP19" si="96">((K19+G19+(LOG(H19)*4/3))*0.594)</f>
        <v>4.1596670003049274</v>
      </c>
      <c r="AQ19" s="148">
        <f t="shared" ref="AQ19" si="97">AO19/2</f>
        <v>0.94537886370566548</v>
      </c>
      <c r="AR19" s="148">
        <f t="shared" ref="AR19" si="98">((L19+G19+(LOG(H19)*4/3))*0.944)</f>
        <v>18.004729239541838</v>
      </c>
      <c r="AS19" s="148">
        <f t="shared" ref="AS19" si="99">((N19+G19+(LOG(H19)*4/3))*0.13)</f>
        <v>2.2038648317165666</v>
      </c>
      <c r="AT19" s="148">
        <f t="shared" ref="AT19" si="100">((O19+G19+(LOG(H19)*4/3))*0.173)+((N19+G19+(LOG(H19)*4/3))*0.12)</f>
        <v>4.1021722745611839</v>
      </c>
      <c r="AU19" s="148">
        <f t="shared" ref="AU19" si="101">AS19/2</f>
        <v>1.1019324158582833</v>
      </c>
      <c r="AV19" s="148">
        <f t="shared" ref="AV19" si="102">((K19+G19+(LOG(H19)*4/3))*0.189)</f>
        <v>1.3235304091879316</v>
      </c>
      <c r="AW19" s="148">
        <f t="shared" ref="AW19" si="103">((K19+G19+(LOG(H19)*4/3))*0.4)</f>
        <v>2.8011225591278976</v>
      </c>
      <c r="AX19" s="148">
        <f t="shared" ref="AX19" si="104">AV19/2</f>
        <v>0.66176520459396582</v>
      </c>
      <c r="AY19" s="148">
        <f t="shared" ref="AY19" si="105">((L19+G19+(LOG(H19)*4/3))*1)</f>
        <v>19.072806397819743</v>
      </c>
      <c r="AZ19" s="148">
        <f t="shared" ref="AZ19" si="106">((N19+G19+(LOG(H19)*4/3))*0.253)</f>
        <v>4.2890600186483949</v>
      </c>
      <c r="BA19" s="148">
        <f t="shared" ref="BA19" si="107">((O19+G19+(LOG(H19)*4/3))*0.21)+((N19+G19+(LOG(H19)*4/3))*0.341)</f>
        <v>8.2909963251986785</v>
      </c>
      <c r="BB19" s="148">
        <f t="shared" ref="BB19" si="108">AZ19/2</f>
        <v>2.1445300093241975</v>
      </c>
      <c r="BC19" s="148">
        <f t="shared" ref="BC19" si="109">((K19+G19+(LOG(H19)*4/3))*0.291)</f>
        <v>2.0378166617655453</v>
      </c>
      <c r="BD19" s="148">
        <f t="shared" ref="BD19" si="110">((K19+G19+(LOG(H19)*4/3))*0.348)</f>
        <v>2.4369766264412709</v>
      </c>
      <c r="BE19" s="148">
        <f t="shared" ref="BE19" si="111">((L19+G19+(LOG(H19)*4/3))*0.881)</f>
        <v>16.803142436479195</v>
      </c>
      <c r="BF19" s="148">
        <f t="shared" ref="BF19" si="112">((M19+G19+(LOG(H19)*4/3))*0.574)+((N19+G19+(LOG(H19)*4/3))*0.315)</f>
        <v>14.594624887661752</v>
      </c>
      <c r="BG19" s="148">
        <f t="shared" ref="BG19" si="113">((N19+G19+(LOG(H19)*4/3))*0.241)</f>
        <v>4.0856263418745575</v>
      </c>
      <c r="BH19" s="148">
        <f t="shared" ref="BH19" si="114">((K19+G19+(LOG(H19)*4/3))*0.485)</f>
        <v>3.3963611029425755</v>
      </c>
      <c r="BI19" s="148">
        <f t="shared" ref="BI19" si="115">((K19+G19+(LOG(H19)*4/3))*0.264)</f>
        <v>1.8487408890244126</v>
      </c>
      <c r="BJ19" s="148">
        <f t="shared" ref="BJ19" si="116">((L19+G19+(LOG(H19)*4/3))*0.381)</f>
        <v>7.2667392375693227</v>
      </c>
      <c r="BK19" s="148">
        <f t="shared" ref="BK19" si="117">((M19+G19+(LOG(H19)*4/3))*0.673)+((N19+G19+(LOG(H19)*4/3))*0.201)</f>
        <v>14.258162791694456</v>
      </c>
      <c r="BL19" s="148">
        <f t="shared" ref="BL19" si="118">((N19+G19+(LOG(H19)*4/3))*0.052)</f>
        <v>0.88154593268662651</v>
      </c>
      <c r="BM19" s="148">
        <f t="shared" ref="BM19" si="119">((K19+G19+(LOG(H19)*4/3))*0.18)</f>
        <v>1.2605051516075538</v>
      </c>
      <c r="BN19" s="148">
        <f t="shared" ref="BN19" si="120">(K19+G19+(LOG(H19)*4/3))*0.068</f>
        <v>0.47619083505174264</v>
      </c>
      <c r="BO19" s="148">
        <f t="shared" ref="BO19" si="121">((L19+G19+(LOG(H19)*4/3))*0.305)</f>
        <v>5.8172059513350218</v>
      </c>
      <c r="BP19" s="148">
        <f t="shared" ref="BP19" si="122">((M19+G19+(LOG(H19)*4/3))*1)+((N19+G19+(LOG(H19)*4/3))*0.286)</f>
        <v>20.971309027596192</v>
      </c>
      <c r="BQ19" s="148">
        <f t="shared" ref="BQ19" si="123">((N19+G19+(LOG(H19)*4/3))*0.135)</f>
        <v>2.2886288637056653</v>
      </c>
      <c r="BR19" s="148">
        <f t="shared" ref="BR19" si="124">((K19+G19+(LOG(H19)*4/3))*0.284)</f>
        <v>1.9887970169808071</v>
      </c>
      <c r="BS19" s="148">
        <f t="shared" ref="BS19" si="125">(K19+G19+(LOG(H19)*4/3))*0.244</f>
        <v>1.7086847610680174</v>
      </c>
      <c r="BT19" s="148">
        <f t="shared" ref="BT19" si="126">((L19+G19+(LOG(H19)*4/3))*0.455)</f>
        <v>8.6781269110079826</v>
      </c>
      <c r="BU19" s="148">
        <f t="shared" ref="BU19" si="127">((M19+G19+(LOG(H19)*4/3))*0.864)+((N19+G19+(LOG(H19)*4/3))*0.244)</f>
        <v>18.066589488784274</v>
      </c>
      <c r="BV19" s="148">
        <f t="shared" ref="BV19" si="128">((N19+G19+(LOG(H19)*4/3))*0.121)</f>
        <v>2.051289574136189</v>
      </c>
      <c r="BW19" s="148">
        <f t="shared" ref="BW19" si="129">((K19+G19+(LOG(H19)*4/3))*0.284)</f>
        <v>1.9887970169808071</v>
      </c>
      <c r="BX19" s="148">
        <f t="shared" ref="BX19" si="130">((K19+G19+(LOG(H19)*4/3))*0.244)</f>
        <v>1.7086847610680174</v>
      </c>
      <c r="BY19" s="148">
        <f t="shared" ref="BY19" si="131">((L19+G19+(LOG(H19)*4/3))*0.631)</f>
        <v>12.034940837024259</v>
      </c>
      <c r="BZ19" s="148">
        <f t="shared" ref="BZ19" si="132">((M19+G19+(LOG(H19)*4/3))*0.702)+((N19+G19+(LOG(H19)*4/3))*0.193)</f>
        <v>14.590101726048671</v>
      </c>
      <c r="CA19" s="148">
        <f t="shared" ref="CA19" si="133">((N19+G19+(LOG(H19)*4/3))*0.148)</f>
        <v>2.5090153468773218</v>
      </c>
      <c r="CB19" s="148">
        <f t="shared" ref="CB19" si="134">((L19+G19+(LOG(H19)*4/3))*0.406)</f>
        <v>7.743559397514816</v>
      </c>
      <c r="CC19" s="148">
        <f t="shared" ref="CC19" si="135">IF(E19="TEC",((M19+G19+(LOG(H19)*4/3))*0.15)+((N19+G19+(LOG(H19)*4/3))*0.324)+((O19+G19+(LOG(H19)*4/3))*0.127),(((M19+G19+(LOG(H19)*4/3))*0.144)+((N19+G19+(LOG(H19)*4/3))*0.25)+((O19+G19+(LOG(H19)*4/3))*0.127)))</f>
        <v>8.0778921332640863</v>
      </c>
      <c r="CD19" s="148">
        <f t="shared" ref="CD19" si="136">((N19+G19+(LOG(H19)*4/3))*0.543)+((O19+G19+(LOG(H19)*4/3))*0.583)</f>
        <v>16.17386000394503</v>
      </c>
      <c r="CE19" s="148">
        <f t="shared" ref="CE19" si="137">CC19</f>
        <v>8.0778921332640863</v>
      </c>
      <c r="CF19" s="148">
        <f t="shared" ref="CF19" si="138">((O19+1+(LOG(H19)*4/3))*0.26)+((M19+G19+(LOG(H19)*4/3))*0.221)+((N19+G19+(LOG(H19)*4/3))*0.142)</f>
        <v>8.6881683858416991</v>
      </c>
      <c r="CG19" s="148">
        <f t="shared" ref="CG19" si="139">((O19+G19+(LOG(H19)*4/3))*1)+((N19+G19+(LOG(H19)*4/3))*0.369)</f>
        <v>18.208391958615227</v>
      </c>
      <c r="CH19" s="148">
        <f t="shared" ref="CH19" si="140">CF19</f>
        <v>8.6881683858416991</v>
      </c>
      <c r="CI19" s="148">
        <f t="shared" ref="CI19" si="141">((L19+G19+(LOG(H19)*4/3))*0.25)</f>
        <v>4.7682015994549358</v>
      </c>
    </row>
    <row r="20" spans="1:87" x14ac:dyDescent="0.25">
      <c r="A20" t="str">
        <f>PLANTILLA!D20</f>
        <v>J. Limon</v>
      </c>
      <c r="B20" t="s">
        <v>722</v>
      </c>
      <c r="C20" s="573">
        <f>PLANTILLA!E20</f>
        <v>34</v>
      </c>
      <c r="D20" s="573">
        <f ca="1">PLANTILLA!F20</f>
        <v>76</v>
      </c>
      <c r="E20" s="573" t="str">
        <f>PLANTILLA!G20</f>
        <v>RAP</v>
      </c>
      <c r="F20" s="263">
        <v>41664</v>
      </c>
      <c r="G20" s="439">
        <v>1.5</v>
      </c>
      <c r="H20" s="440">
        <f>PLANTILLA!I20</f>
        <v>14.3</v>
      </c>
      <c r="I20" s="303"/>
      <c r="J20" s="152">
        <f>PLANTILLA!X20</f>
        <v>0</v>
      </c>
      <c r="K20" s="152">
        <f>PLANTILLA!Y20</f>
        <v>6.8376190476190493</v>
      </c>
      <c r="L20" s="152">
        <f>PLANTILLA!Z20</f>
        <v>8.9499999999999993</v>
      </c>
      <c r="M20" s="152">
        <f>PLANTILLA!AA20</f>
        <v>8.7399999999999967</v>
      </c>
      <c r="N20" s="152">
        <f>PLANTILLA!AB20</f>
        <v>9.9499999999999993</v>
      </c>
      <c r="O20" s="152">
        <f>PLANTILLA!AC20</f>
        <v>7.95</v>
      </c>
      <c r="P20" s="152">
        <f>PLANTILLA!AD20</f>
        <v>18.999999999999993</v>
      </c>
      <c r="Q20" s="152">
        <f t="shared" si="57"/>
        <v>3.7172023809523811</v>
      </c>
      <c r="R20" s="152">
        <f t="shared" si="58"/>
        <v>22.766390190397047</v>
      </c>
      <c r="S20" s="152">
        <f t="shared" si="59"/>
        <v>0.96749999999999969</v>
      </c>
      <c r="T20" s="152">
        <f t="shared" si="60"/>
        <v>0.84350476190476176</v>
      </c>
      <c r="U20" s="152">
        <f t="shared" ca="1" si="0"/>
        <v>21.540448049953408</v>
      </c>
      <c r="V20" s="148">
        <f t="shared" si="1"/>
        <v>4.5414940047521899</v>
      </c>
      <c r="W20" s="148">
        <f t="shared" si="2"/>
        <v>6.8312065277279563</v>
      </c>
      <c r="X20" s="148">
        <f t="shared" si="61"/>
        <v>4.5414940047521899</v>
      </c>
      <c r="Y20" s="148">
        <f t="shared" si="3"/>
        <v>5.0970826223473926</v>
      </c>
      <c r="Z20" s="148">
        <f t="shared" si="4"/>
        <v>9.8780670975724654</v>
      </c>
      <c r="AA20" s="148">
        <f t="shared" si="62"/>
        <v>2.5485413111736963</v>
      </c>
      <c r="AB20" s="148">
        <f t="shared" si="5"/>
        <v>2.8537266358889126</v>
      </c>
      <c r="AC20" s="148">
        <f t="shared" si="6"/>
        <v>3.7339093628823918</v>
      </c>
      <c r="AD20" s="148">
        <f t="shared" si="7"/>
        <v>7.1418425115448922</v>
      </c>
      <c r="AE20" s="148">
        <f t="shared" si="63"/>
        <v>1.8669546814411959</v>
      </c>
      <c r="AF20" s="148">
        <f t="shared" si="8"/>
        <v>4.6163224992320648</v>
      </c>
      <c r="AG20" s="318">
        <f t="shared" si="9"/>
        <v>9.0878217297666684</v>
      </c>
      <c r="AH20" s="148">
        <f t="shared" si="10"/>
        <v>4.0895197783950001</v>
      </c>
      <c r="AI20" s="148">
        <f t="shared" si="11"/>
        <v>2.0024048243422206</v>
      </c>
      <c r="AJ20" s="318">
        <f t="shared" si="12"/>
        <v>6.9269034533726055</v>
      </c>
      <c r="AK20" s="148">
        <f t="shared" si="13"/>
        <v>7.4480625915696388</v>
      </c>
      <c r="AL20" s="148">
        <f t="shared" si="14"/>
        <v>6.9936715050813048</v>
      </c>
      <c r="AM20" s="148">
        <f t="shared" si="15"/>
        <v>3.6807548243422192</v>
      </c>
      <c r="AN20" s="148">
        <f t="shared" si="16"/>
        <v>1.9462033241008694</v>
      </c>
      <c r="AO20" s="148">
        <f t="shared" si="17"/>
        <v>2.667078116344566</v>
      </c>
      <c r="AP20" s="148">
        <f t="shared" si="18"/>
        <v>5.8675718559580439</v>
      </c>
      <c r="AQ20" s="148">
        <f t="shared" si="64"/>
        <v>1.333539058172283</v>
      </c>
      <c r="AR20" s="148">
        <f t="shared" si="19"/>
        <v>11.318982959156022</v>
      </c>
      <c r="AS20" s="148">
        <f t="shared" si="20"/>
        <v>1.6887582464939439</v>
      </c>
      <c r="AT20" s="148">
        <f t="shared" si="21"/>
        <v>3.4602012786363501</v>
      </c>
      <c r="AU20" s="148">
        <f t="shared" si="65"/>
        <v>0.84437912324697195</v>
      </c>
      <c r="AV20" s="318">
        <f t="shared" si="22"/>
        <v>1.8669546814411959</v>
      </c>
      <c r="AW20" s="318">
        <f t="shared" si="23"/>
        <v>3.9512268390289864</v>
      </c>
      <c r="AX20" s="318">
        <f t="shared" si="66"/>
        <v>0.93347734072059796</v>
      </c>
      <c r="AY20" s="318">
        <f t="shared" si="24"/>
        <v>11.990448049953415</v>
      </c>
      <c r="AZ20" s="318">
        <f t="shared" si="25"/>
        <v>3.2865833566382139</v>
      </c>
      <c r="BA20" s="318">
        <f t="shared" si="26"/>
        <v>6.7377368755243321</v>
      </c>
      <c r="BB20" s="318">
        <f t="shared" si="67"/>
        <v>1.6432916783191069</v>
      </c>
      <c r="BC20" s="318">
        <f t="shared" si="27"/>
        <v>2.8745175253935873</v>
      </c>
      <c r="BD20" s="318">
        <f t="shared" si="28"/>
        <v>3.4375673499552177</v>
      </c>
      <c r="BE20" s="318">
        <f t="shared" si="29"/>
        <v>10.563584732008959</v>
      </c>
      <c r="BF20" s="318">
        <f t="shared" si="30"/>
        <v>10.853968316408583</v>
      </c>
      <c r="BG20" s="318">
        <f t="shared" si="31"/>
        <v>3.1306979800387729</v>
      </c>
      <c r="BH20" s="318">
        <f t="shared" si="32"/>
        <v>4.7908625423226452</v>
      </c>
      <c r="BI20" s="318">
        <f t="shared" si="33"/>
        <v>2.607809713759131</v>
      </c>
      <c r="BJ20" s="318">
        <f t="shared" si="34"/>
        <v>4.5683607070322507</v>
      </c>
      <c r="BK20" s="318">
        <f t="shared" si="35"/>
        <v>10.539321595659283</v>
      </c>
      <c r="BL20" s="318">
        <f t="shared" si="36"/>
        <v>0.67550329859757752</v>
      </c>
      <c r="BM20" s="318">
        <f t="shared" si="37"/>
        <v>1.7780520775630437</v>
      </c>
      <c r="BN20" s="318">
        <f t="shared" si="38"/>
        <v>0.67170856263492773</v>
      </c>
      <c r="BO20" s="318">
        <f t="shared" si="39"/>
        <v>3.6570866552357915</v>
      </c>
      <c r="BP20" s="318">
        <f t="shared" si="40"/>
        <v>15.495716192240089</v>
      </c>
      <c r="BQ20" s="318">
        <f t="shared" si="41"/>
        <v>1.753710486743711</v>
      </c>
      <c r="BR20" s="318">
        <f t="shared" si="42"/>
        <v>2.8053710557105798</v>
      </c>
      <c r="BS20" s="318">
        <f t="shared" si="43"/>
        <v>2.4102483718076817</v>
      </c>
      <c r="BT20" s="318">
        <f t="shared" si="44"/>
        <v>5.4556538627288038</v>
      </c>
      <c r="BU20" s="318">
        <f t="shared" si="45"/>
        <v>13.347976439348383</v>
      </c>
      <c r="BV20" s="318">
        <f t="shared" si="46"/>
        <v>1.5718442140443631</v>
      </c>
      <c r="BW20" s="318">
        <f t="shared" si="47"/>
        <v>2.8053710557105798</v>
      </c>
      <c r="BX20" s="318">
        <f t="shared" si="48"/>
        <v>2.4102483718076817</v>
      </c>
      <c r="BY20" s="318">
        <f t="shared" si="49"/>
        <v>7.5659727195206044</v>
      </c>
      <c r="BZ20" s="318">
        <f t="shared" si="50"/>
        <v>10.777031004708304</v>
      </c>
      <c r="CA20" s="318">
        <f t="shared" si="51"/>
        <v>1.9225863113931052</v>
      </c>
      <c r="CB20" s="318">
        <f t="shared" si="52"/>
        <v>4.8681219082810863</v>
      </c>
      <c r="CC20" s="318">
        <f t="shared" si="53"/>
        <v>6.339783434025728</v>
      </c>
      <c r="CD20" s="318">
        <f t="shared" si="54"/>
        <v>13.461244504247546</v>
      </c>
      <c r="CE20" s="318">
        <f t="shared" si="68"/>
        <v>6.339783434025728</v>
      </c>
      <c r="CF20" s="318">
        <f t="shared" si="55"/>
        <v>7.1756391351209761</v>
      </c>
      <c r="CG20" s="318">
        <f t="shared" si="56"/>
        <v>15.783923380386224</v>
      </c>
      <c r="CH20" s="318">
        <f t="shared" si="69"/>
        <v>7.1756391351209761</v>
      </c>
      <c r="CI20" s="318">
        <f t="shared" si="70"/>
        <v>2.9976120124883536</v>
      </c>
    </row>
    <row r="21" spans="1:87" x14ac:dyDescent="0.25">
      <c r="A21" t="str">
        <f>PLANTILLA!D21</f>
        <v>L. Calosso</v>
      </c>
      <c r="C21" s="573">
        <f>PLANTILLA!E21</f>
        <v>35</v>
      </c>
      <c r="D21" s="573">
        <f ca="1">PLANTILLA!F21</f>
        <v>33</v>
      </c>
      <c r="E21" s="573" t="str">
        <f>PLANTILLA!G21</f>
        <v>TEC</v>
      </c>
      <c r="F21" s="263">
        <v>41890</v>
      </c>
      <c r="G21" s="439">
        <v>1</v>
      </c>
      <c r="H21" s="440">
        <f>PLANTILLA!I21</f>
        <v>15.4</v>
      </c>
      <c r="I21" s="303"/>
      <c r="J21" s="152">
        <f>PLANTILLA!X21</f>
        <v>0</v>
      </c>
      <c r="K21" s="152">
        <f>PLANTILLA!Y21</f>
        <v>2.95</v>
      </c>
      <c r="L21" s="152">
        <f>PLANTILLA!Z21</f>
        <v>13.95</v>
      </c>
      <c r="M21" s="152">
        <f>PLANTILLA!AA21</f>
        <v>2.95</v>
      </c>
      <c r="N21" s="152">
        <f>PLANTILLA!AB21</f>
        <v>14.95</v>
      </c>
      <c r="O21" s="152">
        <f>PLANTILLA!AC21</f>
        <v>8.9499999999999993</v>
      </c>
      <c r="P21" s="152">
        <f>PLANTILLA!AD21</f>
        <v>11.25</v>
      </c>
      <c r="Q21" s="152">
        <f t="shared" si="57"/>
        <v>4.4812500000000002</v>
      </c>
      <c r="R21" s="152">
        <f t="shared" si="58"/>
        <v>19.153727724064773</v>
      </c>
      <c r="S21" s="152">
        <f t="shared" si="59"/>
        <v>0.78499999999999992</v>
      </c>
      <c r="T21" s="152">
        <f t="shared" si="60"/>
        <v>0.45549999999999996</v>
      </c>
      <c r="U21" s="152">
        <f t="shared" ca="1" si="0"/>
        <v>13.833360961115284</v>
      </c>
      <c r="V21" s="148">
        <f t="shared" si="1"/>
        <v>3.069474119053643</v>
      </c>
      <c r="W21" s="148">
        <f t="shared" si="2"/>
        <v>4.5888690007998321</v>
      </c>
      <c r="X21" s="148">
        <f t="shared" si="61"/>
        <v>3.069474119053643</v>
      </c>
      <c r="Y21" s="148">
        <f t="shared" si="3"/>
        <v>2.8552142559354867</v>
      </c>
      <c r="Z21" s="148">
        <f t="shared" si="4"/>
        <v>5.5333609611152843</v>
      </c>
      <c r="AA21" s="148">
        <f t="shared" si="62"/>
        <v>1.4276071279677434</v>
      </c>
      <c r="AB21" s="148">
        <f t="shared" si="5"/>
        <v>3.9349399087454375</v>
      </c>
      <c r="AC21" s="148">
        <f t="shared" si="6"/>
        <v>2.0916104433015774</v>
      </c>
      <c r="AD21" s="148">
        <f t="shared" si="7"/>
        <v>4.0006199748863507</v>
      </c>
      <c r="AE21" s="148">
        <f t="shared" si="63"/>
        <v>1.0458052216507887</v>
      </c>
      <c r="AF21" s="148">
        <f t="shared" si="8"/>
        <v>6.365343970029385</v>
      </c>
      <c r="AG21" s="318">
        <f t="shared" si="9"/>
        <v>5.0906920842260615</v>
      </c>
      <c r="AH21" s="148">
        <f t="shared" si="10"/>
        <v>2.2908114379017275</v>
      </c>
      <c r="AI21" s="148">
        <f t="shared" si="11"/>
        <v>2.7610712805062527</v>
      </c>
      <c r="AJ21" s="318">
        <f t="shared" si="12"/>
        <v>3.2536162451357868</v>
      </c>
      <c r="AK21" s="148">
        <f t="shared" si="13"/>
        <v>4.1721541646809248</v>
      </c>
      <c r="AL21" s="148">
        <f t="shared" si="14"/>
        <v>3.9176195604696211</v>
      </c>
      <c r="AM21" s="148">
        <f t="shared" si="15"/>
        <v>2.3101712805062524</v>
      </c>
      <c r="AN21" s="148">
        <f t="shared" si="16"/>
        <v>2.0346079568012017</v>
      </c>
      <c r="AO21" s="148">
        <f t="shared" si="17"/>
        <v>1.4940074595011268</v>
      </c>
      <c r="AP21" s="148">
        <f t="shared" si="18"/>
        <v>3.2868164109024787</v>
      </c>
      <c r="AQ21" s="148">
        <f t="shared" si="64"/>
        <v>0.74700372975056339</v>
      </c>
      <c r="AR21" s="148">
        <f t="shared" si="19"/>
        <v>15.607492747292829</v>
      </c>
      <c r="AS21" s="148">
        <f t="shared" si="20"/>
        <v>2.2793369249449871</v>
      </c>
      <c r="AT21" s="148">
        <f t="shared" si="21"/>
        <v>4.099274761606778</v>
      </c>
      <c r="AU21" s="148">
        <f t="shared" si="65"/>
        <v>1.1396684624724935</v>
      </c>
      <c r="AV21" s="318">
        <f t="shared" si="22"/>
        <v>1.0458052216507887</v>
      </c>
      <c r="AW21" s="318">
        <f t="shared" si="23"/>
        <v>2.2133443844461138</v>
      </c>
      <c r="AX21" s="318">
        <f t="shared" si="66"/>
        <v>0.52290261082539435</v>
      </c>
      <c r="AY21" s="318">
        <f t="shared" si="24"/>
        <v>16.533360961115285</v>
      </c>
      <c r="AZ21" s="318">
        <f t="shared" si="25"/>
        <v>4.4359403231621668</v>
      </c>
      <c r="BA21" s="318">
        <f t="shared" si="26"/>
        <v>8.4008818895745208</v>
      </c>
      <c r="BB21" s="318">
        <f t="shared" si="67"/>
        <v>2.2179701615810834</v>
      </c>
      <c r="BC21" s="318">
        <f t="shared" si="27"/>
        <v>1.6102080396845477</v>
      </c>
      <c r="BD21" s="318">
        <f t="shared" si="28"/>
        <v>1.9256096144681187</v>
      </c>
      <c r="BE21" s="318">
        <f t="shared" si="29"/>
        <v>14.565891006742566</v>
      </c>
      <c r="BF21" s="318">
        <f t="shared" si="30"/>
        <v>8.6991578944314867</v>
      </c>
      <c r="BG21" s="318">
        <f t="shared" si="31"/>
        <v>4.2255399916287839</v>
      </c>
      <c r="BH21" s="318">
        <f t="shared" si="32"/>
        <v>2.683680066140913</v>
      </c>
      <c r="BI21" s="318">
        <f t="shared" si="33"/>
        <v>1.4608072937344352</v>
      </c>
      <c r="BJ21" s="318">
        <f t="shared" si="34"/>
        <v>6.2992105261849236</v>
      </c>
      <c r="BK21" s="318">
        <f t="shared" si="35"/>
        <v>7.2481574800147595</v>
      </c>
      <c r="BL21" s="318">
        <f t="shared" si="36"/>
        <v>0.91173476997799474</v>
      </c>
      <c r="BM21" s="318">
        <f t="shared" si="37"/>
        <v>0.99600497300075119</v>
      </c>
      <c r="BN21" s="318">
        <f t="shared" si="38"/>
        <v>0.37626854535583937</v>
      </c>
      <c r="BO21" s="318">
        <f t="shared" si="39"/>
        <v>5.0426750931401623</v>
      </c>
      <c r="BP21" s="318">
        <f t="shared" si="40"/>
        <v>10.547902195994254</v>
      </c>
      <c r="BQ21" s="318">
        <f t="shared" si="41"/>
        <v>2.3670037297505635</v>
      </c>
      <c r="BR21" s="318">
        <f t="shared" si="42"/>
        <v>1.5714745129567407</v>
      </c>
      <c r="BS21" s="318">
        <f t="shared" si="43"/>
        <v>1.3501400745121293</v>
      </c>
      <c r="BT21" s="318">
        <f t="shared" si="44"/>
        <v>7.5226792373074547</v>
      </c>
      <c r="BU21" s="318">
        <f t="shared" si="45"/>
        <v>9.0589639449157353</v>
      </c>
      <c r="BV21" s="318">
        <f t="shared" si="46"/>
        <v>2.1215366762949492</v>
      </c>
      <c r="BW21" s="318">
        <f t="shared" si="47"/>
        <v>1.5714745129567407</v>
      </c>
      <c r="BX21" s="318">
        <f t="shared" si="48"/>
        <v>1.3501400745121293</v>
      </c>
      <c r="BY21" s="318">
        <f t="shared" si="49"/>
        <v>10.432550766463745</v>
      </c>
      <c r="BZ21" s="318">
        <f t="shared" si="50"/>
        <v>7.2683580601981799</v>
      </c>
      <c r="CA21" s="318">
        <f t="shared" si="51"/>
        <v>2.5949374222450623</v>
      </c>
      <c r="CB21" s="318">
        <f t="shared" si="52"/>
        <v>6.7125445502128063</v>
      </c>
      <c r="CC21" s="318">
        <f t="shared" si="53"/>
        <v>7.9755499376302863</v>
      </c>
      <c r="CD21" s="318">
        <f t="shared" si="54"/>
        <v>16.244564442215811</v>
      </c>
      <c r="CE21" s="318">
        <f t="shared" si="68"/>
        <v>7.9755499376302863</v>
      </c>
      <c r="CF21" s="318">
        <f t="shared" si="55"/>
        <v>6.7112838787748217</v>
      </c>
      <c r="CG21" s="318">
        <f t="shared" si="56"/>
        <v>18.003171155766822</v>
      </c>
      <c r="CH21" s="318">
        <f t="shared" si="69"/>
        <v>6.7112838787748217</v>
      </c>
      <c r="CI21" s="318">
        <f t="shared" si="70"/>
        <v>4.1333402402788213</v>
      </c>
    </row>
    <row r="22" spans="1:87" x14ac:dyDescent="0.25">
      <c r="A22" t="str">
        <f>PLANTILLA!D30</f>
        <v>P .Trivadi</v>
      </c>
      <c r="B22" t="s">
        <v>722</v>
      </c>
      <c r="C22" s="573">
        <f>PLANTILLA!E30</f>
        <v>31</v>
      </c>
      <c r="D22" s="573">
        <f ca="1">PLANTILLA!F30</f>
        <v>107</v>
      </c>
      <c r="E22" s="573"/>
      <c r="F22" s="263">
        <v>41973</v>
      </c>
      <c r="G22" s="439">
        <v>1.5</v>
      </c>
      <c r="H22" s="440">
        <f>PLANTILLA!I30</f>
        <v>6.2</v>
      </c>
      <c r="I22" s="303"/>
      <c r="J22" s="152">
        <f>PLANTILLA!X30</f>
        <v>0</v>
      </c>
      <c r="K22" s="152">
        <f>PLANTILLA!Y30</f>
        <v>4.0199999999999996</v>
      </c>
      <c r="L22" s="152">
        <f>PLANTILLA!Z30</f>
        <v>5.95</v>
      </c>
      <c r="M22" s="152">
        <f>PLANTILLA!AA30</f>
        <v>5.5099999999999989</v>
      </c>
      <c r="N22" s="152">
        <f>PLANTILLA!AB30</f>
        <v>10.95</v>
      </c>
      <c r="O22" s="152">
        <f>PLANTILLA!AC30</f>
        <v>7.95</v>
      </c>
      <c r="P22" s="152">
        <f>PLANTILLA!AD30</f>
        <v>14</v>
      </c>
      <c r="Q22" s="152">
        <f t="shared" si="57"/>
        <v>3.6149999999999998</v>
      </c>
      <c r="R22" s="152">
        <f t="shared" si="58"/>
        <v>18.946914178388191</v>
      </c>
      <c r="S22" s="152">
        <f t="shared" si="59"/>
        <v>0.81750000000000012</v>
      </c>
      <c r="T22" s="152">
        <f t="shared" si="60"/>
        <v>0.58079999999999998</v>
      </c>
      <c r="U22" s="152">
        <f t="shared" ca="1" si="0"/>
        <v>16.056522252664337</v>
      </c>
      <c r="V22" s="148">
        <f t="shared" si="1"/>
        <v>3.3413639265759674</v>
      </c>
      <c r="W22" s="148">
        <f t="shared" si="2"/>
        <v>5.0089702281896606</v>
      </c>
      <c r="X22" s="148">
        <f t="shared" si="61"/>
        <v>3.3413639265759674</v>
      </c>
      <c r="Y22" s="148">
        <f t="shared" si="3"/>
        <v>3.3934854823747984</v>
      </c>
      <c r="Z22" s="148">
        <f t="shared" si="4"/>
        <v>6.5765222526643381</v>
      </c>
      <c r="AA22" s="148">
        <f t="shared" si="62"/>
        <v>1.6967427411873992</v>
      </c>
      <c r="AB22" s="148">
        <f t="shared" si="5"/>
        <v>2.0245522961341127</v>
      </c>
      <c r="AC22" s="148">
        <f t="shared" si="6"/>
        <v>2.4859254115071199</v>
      </c>
      <c r="AD22" s="148">
        <f t="shared" si="7"/>
        <v>4.754825588676316</v>
      </c>
      <c r="AE22" s="148">
        <f t="shared" si="63"/>
        <v>1.2429627057535599</v>
      </c>
      <c r="AF22" s="148">
        <f t="shared" si="8"/>
        <v>3.2750110672757708</v>
      </c>
      <c r="AG22" s="318">
        <f t="shared" si="9"/>
        <v>6.0504004724511917</v>
      </c>
      <c r="AH22" s="148">
        <f t="shared" si="10"/>
        <v>2.7226802126030361</v>
      </c>
      <c r="AI22" s="148">
        <f t="shared" si="11"/>
        <v>1.4205892161949447</v>
      </c>
      <c r="AJ22" s="318">
        <f t="shared" si="12"/>
        <v>4.7431150845666306</v>
      </c>
      <c r="AK22" s="148">
        <f t="shared" si="13"/>
        <v>4.9586977785089106</v>
      </c>
      <c r="AL22" s="148">
        <f t="shared" si="14"/>
        <v>4.6561777548863512</v>
      </c>
      <c r="AM22" s="148">
        <f t="shared" si="15"/>
        <v>2.7649392161949442</v>
      </c>
      <c r="AN22" s="148">
        <f t="shared" si="16"/>
        <v>1.7773984087673294</v>
      </c>
      <c r="AO22" s="148">
        <f t="shared" si="17"/>
        <v>1.7756610082193713</v>
      </c>
      <c r="AP22" s="148">
        <f t="shared" si="18"/>
        <v>3.9064542180826165</v>
      </c>
      <c r="AQ22" s="148">
        <f t="shared" si="64"/>
        <v>0.88783050410968567</v>
      </c>
      <c r="AR22" s="148">
        <f t="shared" si="19"/>
        <v>8.030157006515136</v>
      </c>
      <c r="AS22" s="148">
        <f t="shared" si="20"/>
        <v>1.7558478928463639</v>
      </c>
      <c r="AT22" s="148">
        <f t="shared" si="21"/>
        <v>3.4384110200306508</v>
      </c>
      <c r="AU22" s="148">
        <f t="shared" si="65"/>
        <v>0.87792394642318194</v>
      </c>
      <c r="AV22" s="318">
        <f t="shared" si="22"/>
        <v>1.2429627057535599</v>
      </c>
      <c r="AW22" s="318">
        <f t="shared" si="23"/>
        <v>2.6306089010657354</v>
      </c>
      <c r="AX22" s="318">
        <f t="shared" si="66"/>
        <v>0.62148135287677997</v>
      </c>
      <c r="AY22" s="318">
        <f t="shared" si="24"/>
        <v>8.5065222526643396</v>
      </c>
      <c r="AZ22" s="318">
        <f t="shared" si="25"/>
        <v>3.4171501299240776</v>
      </c>
      <c r="BA22" s="318">
        <f t="shared" si="26"/>
        <v>6.8120937612180503</v>
      </c>
      <c r="BB22" s="318">
        <f t="shared" si="67"/>
        <v>1.7085750649620388</v>
      </c>
      <c r="BC22" s="318">
        <f t="shared" si="27"/>
        <v>1.9137679755253223</v>
      </c>
      <c r="BD22" s="318">
        <f t="shared" si="28"/>
        <v>2.2886297439271894</v>
      </c>
      <c r="BE22" s="318">
        <f t="shared" si="29"/>
        <v>7.4942461045972832</v>
      </c>
      <c r="BF22" s="318">
        <f t="shared" si="30"/>
        <v>8.8847382826185957</v>
      </c>
      <c r="BG22" s="318">
        <f t="shared" si="31"/>
        <v>3.2550718628921054</v>
      </c>
      <c r="BH22" s="318">
        <f t="shared" si="32"/>
        <v>3.1896132925422038</v>
      </c>
      <c r="BI22" s="318">
        <f t="shared" si="33"/>
        <v>1.7362018747033854</v>
      </c>
      <c r="BJ22" s="318">
        <f t="shared" si="34"/>
        <v>3.2409849782651134</v>
      </c>
      <c r="BK22" s="318">
        <f t="shared" si="35"/>
        <v>8.143580448828633</v>
      </c>
      <c r="BL22" s="318">
        <f t="shared" si="36"/>
        <v>0.70233915713854556</v>
      </c>
      <c r="BM22" s="318">
        <f t="shared" si="37"/>
        <v>1.1837740054795809</v>
      </c>
      <c r="BN22" s="318">
        <f t="shared" si="38"/>
        <v>0.44720351318117502</v>
      </c>
      <c r="BO22" s="318">
        <f t="shared" si="39"/>
        <v>2.5944892870626237</v>
      </c>
      <c r="BP22" s="318">
        <f t="shared" si="40"/>
        <v>11.929387616926338</v>
      </c>
      <c r="BQ22" s="318">
        <f t="shared" si="41"/>
        <v>1.8233805041096858</v>
      </c>
      <c r="BR22" s="318">
        <f t="shared" si="42"/>
        <v>1.8677323197566718</v>
      </c>
      <c r="BS22" s="318">
        <f t="shared" si="43"/>
        <v>1.6046714296500986</v>
      </c>
      <c r="BT22" s="318">
        <f t="shared" si="44"/>
        <v>3.8704676249622745</v>
      </c>
      <c r="BU22" s="318">
        <f t="shared" si="45"/>
        <v>10.265066655952086</v>
      </c>
      <c r="BV22" s="318">
        <f t="shared" si="46"/>
        <v>1.6342891925723848</v>
      </c>
      <c r="BW22" s="318">
        <f t="shared" si="47"/>
        <v>1.8677323197566718</v>
      </c>
      <c r="BX22" s="318">
        <f t="shared" si="48"/>
        <v>1.6046714296500986</v>
      </c>
      <c r="BY22" s="318">
        <f t="shared" si="49"/>
        <v>5.3676155414311983</v>
      </c>
      <c r="BZ22" s="318">
        <f t="shared" si="50"/>
        <v>8.269457416134582</v>
      </c>
      <c r="CA22" s="318">
        <f t="shared" si="51"/>
        <v>1.9989652933943218</v>
      </c>
      <c r="CB22" s="318">
        <f t="shared" si="52"/>
        <v>3.4536480345817222</v>
      </c>
      <c r="CC22" s="318">
        <f t="shared" si="53"/>
        <v>5.87253809363812</v>
      </c>
      <c r="CD22" s="318">
        <f t="shared" si="54"/>
        <v>13.459344056500044</v>
      </c>
      <c r="CE22" s="318">
        <f t="shared" si="68"/>
        <v>5.87253809363812</v>
      </c>
      <c r="CF22" s="318">
        <f t="shared" si="55"/>
        <v>6.302323363409883</v>
      </c>
      <c r="CG22" s="318">
        <f t="shared" si="56"/>
        <v>15.490428963897479</v>
      </c>
      <c r="CH22" s="318">
        <f t="shared" si="69"/>
        <v>6.302323363409883</v>
      </c>
      <c r="CI22" s="318">
        <f t="shared" si="70"/>
        <v>2.1266305631660849</v>
      </c>
    </row>
    <row r="23" spans="1:87" x14ac:dyDescent="0.25">
      <c r="I23" s="155"/>
      <c r="Q23" s="152"/>
      <c r="R23" s="152"/>
      <c r="S23" s="152"/>
      <c r="T23" s="152"/>
      <c r="U23" s="152"/>
      <c r="V23" s="148"/>
      <c r="W23" s="148"/>
      <c r="X23" s="148"/>
      <c r="Y23" s="148"/>
      <c r="Z23" s="148"/>
      <c r="AA23" s="148"/>
      <c r="AB23" s="148"/>
      <c r="AC23" s="148"/>
      <c r="AD23" s="148"/>
      <c r="AE23" s="148"/>
      <c r="AF23" s="148"/>
      <c r="AG23" s="318"/>
      <c r="AH23" s="148"/>
      <c r="AI23" s="148"/>
      <c r="AJ23" s="318"/>
      <c r="AK23" s="148"/>
      <c r="AL23" s="148"/>
      <c r="AM23" s="148"/>
      <c r="AN23" s="148"/>
      <c r="AO23" s="148"/>
      <c r="AP23" s="148"/>
      <c r="AQ23" s="148"/>
      <c r="AR23" s="148"/>
      <c r="AS23" s="148"/>
      <c r="AT23" s="148"/>
      <c r="AU23" s="148"/>
      <c r="AV23" s="148"/>
      <c r="AW23" s="148"/>
      <c r="AX23" s="148"/>
      <c r="AY23" s="148"/>
      <c r="AZ23" s="148"/>
      <c r="BA23" s="148"/>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48"/>
      <c r="CC23" s="148"/>
      <c r="CD23" s="148"/>
      <c r="CE23" s="148"/>
      <c r="CF23" s="148"/>
      <c r="CG23" s="148"/>
      <c r="CH23" s="148"/>
      <c r="CI23" s="148"/>
    </row>
    <row r="24" spans="1:87" x14ac:dyDescent="0.25">
      <c r="F24" s="263">
        <v>42857</v>
      </c>
      <c r="G24" s="439"/>
      <c r="H24" s="440"/>
      <c r="I24" s="303"/>
      <c r="J24" s="152"/>
      <c r="K24" s="152"/>
      <c r="L24" s="152"/>
      <c r="M24" s="152"/>
      <c r="N24" s="152"/>
      <c r="O24" s="152"/>
      <c r="P24" s="152"/>
      <c r="Q24" s="152">
        <f t="shared" ref="Q24:Q34" si="142">((2*(N24+1))+(K24+1))/8</f>
        <v>0.375</v>
      </c>
      <c r="R24" s="152" t="e">
        <f t="shared" ref="R24:R34" si="143">1.66*(O24+(LOG(H24)*4/3)+G24)+0.55*(P24+(LOG(H24)*4/3)+G24)-7.6</f>
        <v>#NUM!</v>
      </c>
      <c r="S24" s="152">
        <f t="shared" ref="S24:S34" si="144">(0.5*O24+ 0.3*P24)/10</f>
        <v>0</v>
      </c>
      <c r="T24" s="152">
        <f t="shared" ref="T24:T34" si="145">(0.4*K24+0.3*P24)/10</f>
        <v>0</v>
      </c>
      <c r="U24" s="152" t="e">
        <f t="shared" ref="U24:U34" ca="1" si="146">IF(TODAY()-F24&gt;335,(P24+1+(LOG(H24)*4/3)),(P24+((TODAY()-F24)^0.5)/(336^0.5)+(LOG(H24)*4/3)))</f>
        <v>#NUM!</v>
      </c>
      <c r="V24" s="148" t="e">
        <f t="shared" ref="V24:V34" si="147">((J24+G24+(LOG(H24)*4/3))*0.597)+((K24+G24+(LOG(H24)*4/3))*0.276)</f>
        <v>#NUM!</v>
      </c>
      <c r="W24" s="148" t="e">
        <f t="shared" ref="W24:W34" si="148">((J24+G24+(LOG(H24)*4/3))*0.866)+((K24+G24+(LOG(H24)*4/3))*0.425)</f>
        <v>#NUM!</v>
      </c>
      <c r="X24" s="148" t="e">
        <f t="shared" ref="X24:X34" si="149">V24</f>
        <v>#NUM!</v>
      </c>
      <c r="Y24" s="148" t="e">
        <f t="shared" ref="Y24:Y34" si="150">((K24+G24+(LOG(H24)*4/3))*0.516)</f>
        <v>#NUM!</v>
      </c>
      <c r="Z24" s="148" t="e">
        <f t="shared" ref="Z24:Z34" si="151">(K24+G24+(LOG(H24)*4/3))*1</f>
        <v>#NUM!</v>
      </c>
      <c r="AA24" s="148" t="e">
        <f t="shared" ref="AA24:AA34" si="152">Y24/2</f>
        <v>#NUM!</v>
      </c>
      <c r="AB24" s="148" t="e">
        <f t="shared" ref="AB24:AB34" si="153">(L24+G24+(LOG(H24)*4/3))*0.238</f>
        <v>#NUM!</v>
      </c>
      <c r="AC24" s="148" t="e">
        <f t="shared" ref="AC24:AC34" si="154">((K24+G24+(LOG(H24)*4/3))*0.378)</f>
        <v>#NUM!</v>
      </c>
      <c r="AD24" s="148" t="e">
        <f t="shared" ref="AD24:AD34" si="155">(K24+G24+(LOG(H24)*4/3))*0.723</f>
        <v>#NUM!</v>
      </c>
      <c r="AE24" s="148" t="e">
        <f t="shared" ref="AE24:AE34" si="156">AC24/2</f>
        <v>#NUM!</v>
      </c>
      <c r="AF24" s="148" t="e">
        <f t="shared" ref="AF24:AF34" si="157">(L24+G24+(LOG(H24)*4/3))*0.385</f>
        <v>#NUM!</v>
      </c>
      <c r="AG24" s="318" t="e">
        <f t="shared" ref="AG24:AG34" si="158">((K24+G24+(LOG(H24)*4/3))*0.92)</f>
        <v>#NUM!</v>
      </c>
      <c r="AH24" s="148" t="e">
        <f t="shared" ref="AH24:AH34" si="159">(K24+G24+(LOG(H24)*4/3))*0.414</f>
        <v>#NUM!</v>
      </c>
      <c r="AI24" s="148" t="e">
        <f t="shared" ref="AI24:AI34" si="160">((L24+G24+(LOG(H24)*4/3))*0.167)</f>
        <v>#NUM!</v>
      </c>
      <c r="AJ24" s="318" t="e">
        <f t="shared" ref="AJ24:AJ34" si="161">(M24+G24+(LOG(H24)*4/3))*0.588</f>
        <v>#NUM!</v>
      </c>
      <c r="AK24" s="148" t="e">
        <f t="shared" ref="AK24:AK34" si="162">((K24+G24+(LOG(H24)*4/3))*0.754)</f>
        <v>#NUM!</v>
      </c>
      <c r="AL24" s="148" t="e">
        <f t="shared" ref="AL24:AL34" si="163">((K24+G24+(LOG(H24)*4/3))*0.708)</f>
        <v>#NUM!</v>
      </c>
      <c r="AM24" s="148" t="e">
        <f t="shared" ref="AM24:AM34" si="164">((P24+G24+(LOG(H24)*4/3))*0.167)</f>
        <v>#NUM!</v>
      </c>
      <c r="AN24" s="148" t="e">
        <f t="shared" ref="AN24:AN34" si="165">((Q24+G24+(LOG(H24)*4/3))*0.288)</f>
        <v>#NUM!</v>
      </c>
      <c r="AO24" s="148" t="e">
        <f t="shared" ref="AO24:AO34" si="166">((K24+G24+(LOG(H24)*4/3))*0.27)</f>
        <v>#NUM!</v>
      </c>
      <c r="AP24" s="148" t="e">
        <f t="shared" ref="AP24:AP34" si="167">((K24+G24+(LOG(H24)*4/3))*0.594)</f>
        <v>#NUM!</v>
      </c>
      <c r="AQ24" s="148" t="e">
        <f t="shared" ref="AQ24:AQ34" si="168">AO24/2</f>
        <v>#NUM!</v>
      </c>
      <c r="AR24" s="148" t="e">
        <f t="shared" ref="AR24:AR34" si="169">((L24+G24+(LOG(H24)*4/3))*0.944)</f>
        <v>#NUM!</v>
      </c>
      <c r="AS24" s="148" t="e">
        <f t="shared" ref="AS24:AS34" si="170">((N24+G24+(LOG(H24)*4/3))*0.13)</f>
        <v>#NUM!</v>
      </c>
      <c r="AT24" s="148" t="e">
        <f t="shared" ref="AT24:AT34" si="171">((O24+G24+(LOG(H24)*4/3))*0.173)+((N24+G24+(LOG(H24)*4/3))*0.12)</f>
        <v>#NUM!</v>
      </c>
      <c r="AU24" s="148" t="e">
        <f t="shared" ref="AU24:AU34" si="172">AS24/2</f>
        <v>#NUM!</v>
      </c>
      <c r="AV24" s="148" t="e">
        <f t="shared" ref="AV24:AV34" si="173">((K24+G24+(LOG(H24)*4/3))*0.189)</f>
        <v>#NUM!</v>
      </c>
      <c r="AW24" s="148" t="e">
        <f t="shared" ref="AW24:AW34" si="174">((K24+G24+(LOG(H24)*4/3))*0.4)</f>
        <v>#NUM!</v>
      </c>
      <c r="AX24" s="148" t="e">
        <f t="shared" ref="AX24:AX34" si="175">AV24/2</f>
        <v>#NUM!</v>
      </c>
      <c r="AY24" s="148" t="e">
        <f t="shared" ref="AY24:AY34" si="176">((L24+G24+(LOG(H24)*4/3))*1)</f>
        <v>#NUM!</v>
      </c>
      <c r="AZ24" s="148" t="e">
        <f t="shared" ref="AZ24:AZ34" si="177">((N24+G24+(LOG(H24)*4/3))*0.253)</f>
        <v>#NUM!</v>
      </c>
      <c r="BA24" s="148" t="e">
        <f t="shared" ref="BA24:BA34" si="178">((O24+G24+(LOG(H24)*4/3))*0.21)+((N24+G24+(LOG(H24)*4/3))*0.341)</f>
        <v>#NUM!</v>
      </c>
      <c r="BB24" s="148" t="e">
        <f t="shared" ref="BB24:BB34" si="179">AZ24/2</f>
        <v>#NUM!</v>
      </c>
      <c r="BC24" s="148" t="e">
        <f t="shared" ref="BC24:BC34" si="180">((K24+G24+(LOG(H24)*4/3))*0.291)</f>
        <v>#NUM!</v>
      </c>
      <c r="BD24" s="148" t="e">
        <f t="shared" ref="BD24:BD34" si="181">((K24+G24+(LOG(H24)*4/3))*0.348)</f>
        <v>#NUM!</v>
      </c>
      <c r="BE24" s="148" t="e">
        <f t="shared" ref="BE24:BE34" si="182">((L24+G24+(LOG(H24)*4/3))*0.881)</f>
        <v>#NUM!</v>
      </c>
      <c r="BF24" s="148" t="e">
        <f t="shared" ref="BF24:BF34" si="183">((M24+G24+(LOG(H24)*4/3))*0.574)+((N24+G24+(LOG(H24)*4/3))*0.315)</f>
        <v>#NUM!</v>
      </c>
      <c r="BG24" s="148" t="e">
        <f t="shared" ref="BG24:BG34" si="184">((N24+G24+(LOG(H24)*4/3))*0.241)</f>
        <v>#NUM!</v>
      </c>
      <c r="BH24" s="148" t="e">
        <f t="shared" ref="BH24:BH34" si="185">((K24+G24+(LOG(H24)*4/3))*0.485)</f>
        <v>#NUM!</v>
      </c>
      <c r="BI24" s="148" t="e">
        <f t="shared" ref="BI24:BI34" si="186">((K24+G24+(LOG(H24)*4/3))*0.264)</f>
        <v>#NUM!</v>
      </c>
      <c r="BJ24" s="148" t="e">
        <f t="shared" ref="BJ24:BJ34" si="187">((L24+G24+(LOG(H24)*4/3))*0.381)</f>
        <v>#NUM!</v>
      </c>
      <c r="BK24" s="148" t="e">
        <f t="shared" ref="BK24:BK34" si="188">((M24+G24+(LOG(H24)*4/3))*0.673)+((N24+G24+(LOG(H24)*4/3))*0.201)</f>
        <v>#NUM!</v>
      </c>
      <c r="BL24" s="148" t="e">
        <f t="shared" ref="BL24:BL34" si="189">((N24+G24+(LOG(H24)*4/3))*0.052)</f>
        <v>#NUM!</v>
      </c>
      <c r="BM24" s="148" t="e">
        <f t="shared" ref="BM24:BM34" si="190">((K24+G24+(LOG(H24)*4/3))*0.18)</f>
        <v>#NUM!</v>
      </c>
      <c r="BN24" s="148" t="e">
        <f t="shared" ref="BN24:BN34" si="191">(K24+G24+(LOG(H24)*4/3))*0.068</f>
        <v>#NUM!</v>
      </c>
      <c r="BO24" s="148" t="e">
        <f t="shared" ref="BO24:BO34" si="192">((L24+G24+(LOG(H24)*4/3))*0.305)</f>
        <v>#NUM!</v>
      </c>
      <c r="BP24" s="148" t="e">
        <f t="shared" ref="BP24:BP34" si="193">((M24+G24+(LOG(H24)*4/3))*1)+((N24+G24+(LOG(H24)*4/3))*0.286)</f>
        <v>#NUM!</v>
      </c>
      <c r="BQ24" s="148" t="e">
        <f t="shared" ref="BQ24:BQ34" si="194">((N24+G24+(LOG(H24)*4/3))*0.135)</f>
        <v>#NUM!</v>
      </c>
      <c r="BR24" s="148" t="e">
        <f t="shared" ref="BR24:BR34" si="195">((K24+G24+(LOG(H24)*4/3))*0.284)</f>
        <v>#NUM!</v>
      </c>
      <c r="BS24" s="148" t="e">
        <f t="shared" ref="BS24:BS34" si="196">(K24+G24+(LOG(H24)*4/3))*0.244</f>
        <v>#NUM!</v>
      </c>
      <c r="BT24" s="148" t="e">
        <f t="shared" ref="BT24:BT34" si="197">((L24+G24+(LOG(H24)*4/3))*0.455)</f>
        <v>#NUM!</v>
      </c>
      <c r="BU24" s="148" t="e">
        <f t="shared" ref="BU24:BU34" si="198">((M24+G24+(LOG(H24)*4/3))*0.864)+((N24+G24+(LOG(H24)*4/3))*0.244)</f>
        <v>#NUM!</v>
      </c>
      <c r="BV24" s="148" t="e">
        <f t="shared" ref="BV24:BV34" si="199">((N24+G24+(LOG(H24)*4/3))*0.121)</f>
        <v>#NUM!</v>
      </c>
      <c r="BW24" s="148"/>
      <c r="BX24" s="148"/>
      <c r="BY24" s="148"/>
      <c r="BZ24" s="148"/>
      <c r="CA24" s="148"/>
      <c r="CB24" s="148" t="e">
        <f t="shared" ref="CB24:CB34" si="200">((L24+G24+(LOG(H24)*4/3))*0.406)</f>
        <v>#NUM!</v>
      </c>
      <c r="CC24" s="148" t="e">
        <f t="shared" ref="CC24:CC34" si="201">IF(E24="TEC",((M24+G24+(LOG(H24)*4/3))*0.15)+((N24+G24+(LOG(H24)*4/3))*0.324)+((O24+G24+(LOG(H24)*4/3))*0.127),(((M24+G24+(LOG(H24)*4/3))*0.144)+((N24+G24+(LOG(H24)*4/3))*0.25)+((O24+G24+(LOG(H24)*4/3))*0.127)))</f>
        <v>#NUM!</v>
      </c>
      <c r="CD24" s="148" t="e">
        <f t="shared" ref="CD24:CD34" si="202">((N24+G24+(LOG(H24)*4/3))*0.543)+((O24+G24+(LOG(H24)*4/3))*0.583)</f>
        <v>#NUM!</v>
      </c>
      <c r="CE24" s="148" t="e">
        <f t="shared" ref="CE24:CE34" si="203">CC24</f>
        <v>#NUM!</v>
      </c>
      <c r="CF24" s="148" t="e">
        <f t="shared" ref="CF24:CF34" si="204">((O24+1+(LOG(H24)*4/3))*0.26)+((M24+G24+(LOG(H24)*4/3))*0.221)+((N24+G24+(LOG(H24)*4/3))*0.142)</f>
        <v>#NUM!</v>
      </c>
      <c r="CG24" s="148" t="e">
        <f t="shared" ref="CG24:CG34" si="205">((O24+G24+(LOG(H24)*4/3))*1)+((N24+G24+(LOG(H24)*4/3))*0.369)</f>
        <v>#NUM!</v>
      </c>
      <c r="CH24" s="148" t="e">
        <f t="shared" ref="CH24:CH34" si="206">CF24</f>
        <v>#NUM!</v>
      </c>
      <c r="CI24" s="148" t="e">
        <f t="shared" ref="CI24:CI34" si="207">((L24+G24+(LOG(H24)*4/3))*0.25)</f>
        <v>#NUM!</v>
      </c>
    </row>
    <row r="25" spans="1:87" x14ac:dyDescent="0.25">
      <c r="F25" s="263">
        <v>42857</v>
      </c>
      <c r="G25" s="439"/>
      <c r="H25" s="440"/>
      <c r="I25" s="303"/>
      <c r="J25" s="152"/>
      <c r="K25" s="152"/>
      <c r="L25" s="152"/>
      <c r="M25" s="152"/>
      <c r="N25" s="152"/>
      <c r="O25" s="152"/>
      <c r="P25" s="152"/>
      <c r="Q25" s="152">
        <f t="shared" si="142"/>
        <v>0.375</v>
      </c>
      <c r="R25" s="152" t="e">
        <f t="shared" si="143"/>
        <v>#NUM!</v>
      </c>
      <c r="S25" s="152">
        <f t="shared" si="144"/>
        <v>0</v>
      </c>
      <c r="T25" s="152">
        <f t="shared" si="145"/>
        <v>0</v>
      </c>
      <c r="U25" s="152" t="e">
        <f t="shared" ca="1" si="146"/>
        <v>#NUM!</v>
      </c>
      <c r="V25" s="148" t="e">
        <f t="shared" si="147"/>
        <v>#NUM!</v>
      </c>
      <c r="W25" s="148" t="e">
        <f t="shared" si="148"/>
        <v>#NUM!</v>
      </c>
      <c r="X25" s="148" t="e">
        <f t="shared" si="149"/>
        <v>#NUM!</v>
      </c>
      <c r="Y25" s="148" t="e">
        <f t="shared" si="150"/>
        <v>#NUM!</v>
      </c>
      <c r="Z25" s="148" t="e">
        <f t="shared" si="151"/>
        <v>#NUM!</v>
      </c>
      <c r="AA25" s="148" t="e">
        <f t="shared" si="152"/>
        <v>#NUM!</v>
      </c>
      <c r="AB25" s="148" t="e">
        <f t="shared" si="153"/>
        <v>#NUM!</v>
      </c>
      <c r="AC25" s="148" t="e">
        <f t="shared" si="154"/>
        <v>#NUM!</v>
      </c>
      <c r="AD25" s="148" t="e">
        <f t="shared" si="155"/>
        <v>#NUM!</v>
      </c>
      <c r="AE25" s="148" t="e">
        <f t="shared" si="156"/>
        <v>#NUM!</v>
      </c>
      <c r="AF25" s="148" t="e">
        <f t="shared" si="157"/>
        <v>#NUM!</v>
      </c>
      <c r="AG25" s="318" t="e">
        <f t="shared" si="158"/>
        <v>#NUM!</v>
      </c>
      <c r="AH25" s="148" t="e">
        <f t="shared" si="159"/>
        <v>#NUM!</v>
      </c>
      <c r="AI25" s="148" t="e">
        <f t="shared" si="160"/>
        <v>#NUM!</v>
      </c>
      <c r="AJ25" s="318" t="e">
        <f t="shared" si="161"/>
        <v>#NUM!</v>
      </c>
      <c r="AK25" s="148" t="e">
        <f t="shared" si="162"/>
        <v>#NUM!</v>
      </c>
      <c r="AL25" s="148" t="e">
        <f t="shared" si="163"/>
        <v>#NUM!</v>
      </c>
      <c r="AM25" s="148" t="e">
        <f t="shared" si="164"/>
        <v>#NUM!</v>
      </c>
      <c r="AN25" s="148" t="e">
        <f t="shared" si="165"/>
        <v>#NUM!</v>
      </c>
      <c r="AO25" s="148" t="e">
        <f t="shared" si="166"/>
        <v>#NUM!</v>
      </c>
      <c r="AP25" s="148" t="e">
        <f t="shared" si="167"/>
        <v>#NUM!</v>
      </c>
      <c r="AQ25" s="148" t="e">
        <f t="shared" si="168"/>
        <v>#NUM!</v>
      </c>
      <c r="AR25" s="148" t="e">
        <f t="shared" si="169"/>
        <v>#NUM!</v>
      </c>
      <c r="AS25" s="148" t="e">
        <f t="shared" si="170"/>
        <v>#NUM!</v>
      </c>
      <c r="AT25" s="148" t="e">
        <f t="shared" si="171"/>
        <v>#NUM!</v>
      </c>
      <c r="AU25" s="148" t="e">
        <f t="shared" si="172"/>
        <v>#NUM!</v>
      </c>
      <c r="AV25" s="148" t="e">
        <f t="shared" si="173"/>
        <v>#NUM!</v>
      </c>
      <c r="AW25" s="148" t="e">
        <f t="shared" si="174"/>
        <v>#NUM!</v>
      </c>
      <c r="AX25" s="148" t="e">
        <f t="shared" si="175"/>
        <v>#NUM!</v>
      </c>
      <c r="AY25" s="148" t="e">
        <f t="shared" si="176"/>
        <v>#NUM!</v>
      </c>
      <c r="AZ25" s="148" t="e">
        <f t="shared" si="177"/>
        <v>#NUM!</v>
      </c>
      <c r="BA25" s="148" t="e">
        <f t="shared" si="178"/>
        <v>#NUM!</v>
      </c>
      <c r="BB25" s="148" t="e">
        <f t="shared" si="179"/>
        <v>#NUM!</v>
      </c>
      <c r="BC25" s="148" t="e">
        <f t="shared" si="180"/>
        <v>#NUM!</v>
      </c>
      <c r="BD25" s="148" t="e">
        <f t="shared" si="181"/>
        <v>#NUM!</v>
      </c>
      <c r="BE25" s="148" t="e">
        <f t="shared" si="182"/>
        <v>#NUM!</v>
      </c>
      <c r="BF25" s="148" t="e">
        <f t="shared" si="183"/>
        <v>#NUM!</v>
      </c>
      <c r="BG25" s="148" t="e">
        <f t="shared" si="184"/>
        <v>#NUM!</v>
      </c>
      <c r="BH25" s="148" t="e">
        <f t="shared" si="185"/>
        <v>#NUM!</v>
      </c>
      <c r="BI25" s="148" t="e">
        <f t="shared" si="186"/>
        <v>#NUM!</v>
      </c>
      <c r="BJ25" s="148" t="e">
        <f t="shared" si="187"/>
        <v>#NUM!</v>
      </c>
      <c r="BK25" s="148" t="e">
        <f t="shared" si="188"/>
        <v>#NUM!</v>
      </c>
      <c r="BL25" s="148" t="e">
        <f t="shared" si="189"/>
        <v>#NUM!</v>
      </c>
      <c r="BM25" s="148" t="e">
        <f t="shared" si="190"/>
        <v>#NUM!</v>
      </c>
      <c r="BN25" s="148" t="e">
        <f t="shared" si="191"/>
        <v>#NUM!</v>
      </c>
      <c r="BO25" s="148" t="e">
        <f t="shared" si="192"/>
        <v>#NUM!</v>
      </c>
      <c r="BP25" s="148" t="e">
        <f t="shared" si="193"/>
        <v>#NUM!</v>
      </c>
      <c r="BQ25" s="148" t="e">
        <f t="shared" si="194"/>
        <v>#NUM!</v>
      </c>
      <c r="BR25" s="148" t="e">
        <f t="shared" si="195"/>
        <v>#NUM!</v>
      </c>
      <c r="BS25" s="148" t="e">
        <f t="shared" si="196"/>
        <v>#NUM!</v>
      </c>
      <c r="BT25" s="148" t="e">
        <f t="shared" si="197"/>
        <v>#NUM!</v>
      </c>
      <c r="BU25" s="148" t="e">
        <f t="shared" si="198"/>
        <v>#NUM!</v>
      </c>
      <c r="BV25" s="148" t="e">
        <f t="shared" si="199"/>
        <v>#NUM!</v>
      </c>
      <c r="BW25" s="148"/>
      <c r="BX25" s="148"/>
      <c r="BY25" s="148"/>
      <c r="BZ25" s="148"/>
      <c r="CA25" s="148"/>
      <c r="CB25" s="148" t="e">
        <f t="shared" si="200"/>
        <v>#NUM!</v>
      </c>
      <c r="CC25" s="148" t="e">
        <f t="shared" si="201"/>
        <v>#NUM!</v>
      </c>
      <c r="CD25" s="148" t="e">
        <f t="shared" si="202"/>
        <v>#NUM!</v>
      </c>
      <c r="CE25" s="148" t="e">
        <f t="shared" si="203"/>
        <v>#NUM!</v>
      </c>
      <c r="CF25" s="148" t="e">
        <f t="shared" si="204"/>
        <v>#NUM!</v>
      </c>
      <c r="CG25" s="148" t="e">
        <f t="shared" si="205"/>
        <v>#NUM!</v>
      </c>
      <c r="CH25" s="148" t="e">
        <f t="shared" si="206"/>
        <v>#NUM!</v>
      </c>
      <c r="CI25" s="148" t="e">
        <f t="shared" si="207"/>
        <v>#NUM!</v>
      </c>
    </row>
    <row r="26" spans="1:87" x14ac:dyDescent="0.25">
      <c r="F26" s="263">
        <v>42857</v>
      </c>
      <c r="G26" s="439"/>
      <c r="H26" s="440"/>
      <c r="I26" s="303"/>
      <c r="J26" s="152"/>
      <c r="K26" s="152"/>
      <c r="L26" s="152"/>
      <c r="M26" s="152"/>
      <c r="N26" s="152"/>
      <c r="O26" s="152"/>
      <c r="P26" s="152"/>
      <c r="Q26" s="152">
        <f t="shared" si="142"/>
        <v>0.375</v>
      </c>
      <c r="R26" s="152" t="e">
        <f t="shared" si="143"/>
        <v>#NUM!</v>
      </c>
      <c r="S26" s="152">
        <f t="shared" si="144"/>
        <v>0</v>
      </c>
      <c r="T26" s="152">
        <f t="shared" si="145"/>
        <v>0</v>
      </c>
      <c r="U26" s="152" t="e">
        <f t="shared" ca="1" si="146"/>
        <v>#NUM!</v>
      </c>
      <c r="V26" s="148" t="e">
        <f t="shared" si="147"/>
        <v>#NUM!</v>
      </c>
      <c r="W26" s="148" t="e">
        <f t="shared" si="148"/>
        <v>#NUM!</v>
      </c>
      <c r="X26" s="148" t="e">
        <f t="shared" si="149"/>
        <v>#NUM!</v>
      </c>
      <c r="Y26" s="148" t="e">
        <f t="shared" si="150"/>
        <v>#NUM!</v>
      </c>
      <c r="Z26" s="148" t="e">
        <f t="shared" si="151"/>
        <v>#NUM!</v>
      </c>
      <c r="AA26" s="148" t="e">
        <f t="shared" si="152"/>
        <v>#NUM!</v>
      </c>
      <c r="AB26" s="148" t="e">
        <f t="shared" si="153"/>
        <v>#NUM!</v>
      </c>
      <c r="AC26" s="148" t="e">
        <f t="shared" si="154"/>
        <v>#NUM!</v>
      </c>
      <c r="AD26" s="148" t="e">
        <f t="shared" si="155"/>
        <v>#NUM!</v>
      </c>
      <c r="AE26" s="148" t="e">
        <f t="shared" si="156"/>
        <v>#NUM!</v>
      </c>
      <c r="AF26" s="148" t="e">
        <f t="shared" si="157"/>
        <v>#NUM!</v>
      </c>
      <c r="AG26" s="318" t="e">
        <f t="shared" si="158"/>
        <v>#NUM!</v>
      </c>
      <c r="AH26" s="148" t="e">
        <f t="shared" si="159"/>
        <v>#NUM!</v>
      </c>
      <c r="AI26" s="148" t="e">
        <f t="shared" si="160"/>
        <v>#NUM!</v>
      </c>
      <c r="AJ26" s="318" t="e">
        <f t="shared" si="161"/>
        <v>#NUM!</v>
      </c>
      <c r="AK26" s="148" t="e">
        <f t="shared" si="162"/>
        <v>#NUM!</v>
      </c>
      <c r="AL26" s="148" t="e">
        <f t="shared" si="163"/>
        <v>#NUM!</v>
      </c>
      <c r="AM26" s="148" t="e">
        <f t="shared" si="164"/>
        <v>#NUM!</v>
      </c>
      <c r="AN26" s="148" t="e">
        <f t="shared" si="165"/>
        <v>#NUM!</v>
      </c>
      <c r="AO26" s="148" t="e">
        <f t="shared" si="166"/>
        <v>#NUM!</v>
      </c>
      <c r="AP26" s="148" t="e">
        <f t="shared" si="167"/>
        <v>#NUM!</v>
      </c>
      <c r="AQ26" s="148" t="e">
        <f t="shared" si="168"/>
        <v>#NUM!</v>
      </c>
      <c r="AR26" s="148" t="e">
        <f t="shared" si="169"/>
        <v>#NUM!</v>
      </c>
      <c r="AS26" s="148" t="e">
        <f t="shared" si="170"/>
        <v>#NUM!</v>
      </c>
      <c r="AT26" s="148" t="e">
        <f t="shared" si="171"/>
        <v>#NUM!</v>
      </c>
      <c r="AU26" s="148" t="e">
        <f t="shared" si="172"/>
        <v>#NUM!</v>
      </c>
      <c r="AV26" s="148" t="e">
        <f t="shared" si="173"/>
        <v>#NUM!</v>
      </c>
      <c r="AW26" s="148" t="e">
        <f t="shared" si="174"/>
        <v>#NUM!</v>
      </c>
      <c r="AX26" s="148" t="e">
        <f t="shared" si="175"/>
        <v>#NUM!</v>
      </c>
      <c r="AY26" s="148" t="e">
        <f t="shared" si="176"/>
        <v>#NUM!</v>
      </c>
      <c r="AZ26" s="148" t="e">
        <f t="shared" si="177"/>
        <v>#NUM!</v>
      </c>
      <c r="BA26" s="148" t="e">
        <f t="shared" si="178"/>
        <v>#NUM!</v>
      </c>
      <c r="BB26" s="148" t="e">
        <f t="shared" si="179"/>
        <v>#NUM!</v>
      </c>
      <c r="BC26" s="148" t="e">
        <f t="shared" si="180"/>
        <v>#NUM!</v>
      </c>
      <c r="BD26" s="148" t="e">
        <f t="shared" si="181"/>
        <v>#NUM!</v>
      </c>
      <c r="BE26" s="148" t="e">
        <f t="shared" si="182"/>
        <v>#NUM!</v>
      </c>
      <c r="BF26" s="148" t="e">
        <f t="shared" si="183"/>
        <v>#NUM!</v>
      </c>
      <c r="BG26" s="148" t="e">
        <f t="shared" si="184"/>
        <v>#NUM!</v>
      </c>
      <c r="BH26" s="148" t="e">
        <f t="shared" si="185"/>
        <v>#NUM!</v>
      </c>
      <c r="BI26" s="148" t="e">
        <f t="shared" si="186"/>
        <v>#NUM!</v>
      </c>
      <c r="BJ26" s="148" t="e">
        <f t="shared" si="187"/>
        <v>#NUM!</v>
      </c>
      <c r="BK26" s="148" t="e">
        <f t="shared" si="188"/>
        <v>#NUM!</v>
      </c>
      <c r="BL26" s="148" t="e">
        <f t="shared" si="189"/>
        <v>#NUM!</v>
      </c>
      <c r="BM26" s="148" t="e">
        <f t="shared" si="190"/>
        <v>#NUM!</v>
      </c>
      <c r="BN26" s="148" t="e">
        <f t="shared" si="191"/>
        <v>#NUM!</v>
      </c>
      <c r="BO26" s="148" t="e">
        <f t="shared" si="192"/>
        <v>#NUM!</v>
      </c>
      <c r="BP26" s="148" t="e">
        <f t="shared" si="193"/>
        <v>#NUM!</v>
      </c>
      <c r="BQ26" s="148" t="e">
        <f t="shared" si="194"/>
        <v>#NUM!</v>
      </c>
      <c r="BR26" s="148" t="e">
        <f t="shared" si="195"/>
        <v>#NUM!</v>
      </c>
      <c r="BS26" s="148" t="e">
        <f t="shared" si="196"/>
        <v>#NUM!</v>
      </c>
      <c r="BT26" s="148" t="e">
        <f t="shared" si="197"/>
        <v>#NUM!</v>
      </c>
      <c r="BU26" s="148" t="e">
        <f t="shared" si="198"/>
        <v>#NUM!</v>
      </c>
      <c r="BV26" s="148" t="e">
        <f t="shared" si="199"/>
        <v>#NUM!</v>
      </c>
      <c r="BW26" s="148"/>
      <c r="BX26" s="148"/>
      <c r="BY26" s="148"/>
      <c r="BZ26" s="148"/>
      <c r="CA26" s="148"/>
      <c r="CB26" s="148" t="e">
        <f t="shared" si="200"/>
        <v>#NUM!</v>
      </c>
      <c r="CC26" s="148" t="e">
        <f t="shared" si="201"/>
        <v>#NUM!</v>
      </c>
      <c r="CD26" s="148" t="e">
        <f t="shared" si="202"/>
        <v>#NUM!</v>
      </c>
      <c r="CE26" s="148" t="e">
        <f t="shared" si="203"/>
        <v>#NUM!</v>
      </c>
      <c r="CF26" s="148" t="e">
        <f t="shared" si="204"/>
        <v>#NUM!</v>
      </c>
      <c r="CG26" s="148" t="e">
        <f t="shared" si="205"/>
        <v>#NUM!</v>
      </c>
      <c r="CH26" s="148" t="e">
        <f t="shared" si="206"/>
        <v>#NUM!</v>
      </c>
      <c r="CI26" s="148" t="e">
        <f t="shared" si="207"/>
        <v>#NUM!</v>
      </c>
    </row>
    <row r="27" spans="1:87" x14ac:dyDescent="0.25">
      <c r="F27" s="263">
        <v>42857</v>
      </c>
      <c r="G27" s="439"/>
      <c r="H27" s="440"/>
      <c r="I27" s="303"/>
      <c r="J27" s="152"/>
      <c r="K27" s="152"/>
      <c r="L27" s="152"/>
      <c r="M27" s="152"/>
      <c r="N27" s="152"/>
      <c r="O27" s="152"/>
      <c r="P27" s="152"/>
      <c r="Q27" s="152">
        <f t="shared" si="142"/>
        <v>0.375</v>
      </c>
      <c r="R27" s="152" t="e">
        <f t="shared" si="143"/>
        <v>#NUM!</v>
      </c>
      <c r="S27" s="152">
        <f t="shared" si="144"/>
        <v>0</v>
      </c>
      <c r="T27" s="152">
        <f t="shared" si="145"/>
        <v>0</v>
      </c>
      <c r="U27" s="152" t="e">
        <f t="shared" ca="1" si="146"/>
        <v>#NUM!</v>
      </c>
      <c r="V27" s="148" t="e">
        <f t="shared" si="147"/>
        <v>#NUM!</v>
      </c>
      <c r="W27" s="148" t="e">
        <f t="shared" si="148"/>
        <v>#NUM!</v>
      </c>
      <c r="X27" s="148" t="e">
        <f t="shared" si="149"/>
        <v>#NUM!</v>
      </c>
      <c r="Y27" s="148" t="e">
        <f t="shared" si="150"/>
        <v>#NUM!</v>
      </c>
      <c r="Z27" s="148" t="e">
        <f t="shared" si="151"/>
        <v>#NUM!</v>
      </c>
      <c r="AA27" s="148" t="e">
        <f t="shared" si="152"/>
        <v>#NUM!</v>
      </c>
      <c r="AB27" s="148" t="e">
        <f t="shared" si="153"/>
        <v>#NUM!</v>
      </c>
      <c r="AC27" s="148" t="e">
        <f t="shared" si="154"/>
        <v>#NUM!</v>
      </c>
      <c r="AD27" s="148" t="e">
        <f t="shared" si="155"/>
        <v>#NUM!</v>
      </c>
      <c r="AE27" s="148" t="e">
        <f t="shared" si="156"/>
        <v>#NUM!</v>
      </c>
      <c r="AF27" s="148" t="e">
        <f t="shared" si="157"/>
        <v>#NUM!</v>
      </c>
      <c r="AG27" s="318" t="e">
        <f t="shared" si="158"/>
        <v>#NUM!</v>
      </c>
      <c r="AH27" s="148" t="e">
        <f t="shared" si="159"/>
        <v>#NUM!</v>
      </c>
      <c r="AI27" s="148" t="e">
        <f t="shared" si="160"/>
        <v>#NUM!</v>
      </c>
      <c r="AJ27" s="318" t="e">
        <f t="shared" si="161"/>
        <v>#NUM!</v>
      </c>
      <c r="AK27" s="148" t="e">
        <f t="shared" si="162"/>
        <v>#NUM!</v>
      </c>
      <c r="AL27" s="148" t="e">
        <f t="shared" si="163"/>
        <v>#NUM!</v>
      </c>
      <c r="AM27" s="148" t="e">
        <f t="shared" si="164"/>
        <v>#NUM!</v>
      </c>
      <c r="AN27" s="148" t="e">
        <f t="shared" si="165"/>
        <v>#NUM!</v>
      </c>
      <c r="AO27" s="148" t="e">
        <f t="shared" si="166"/>
        <v>#NUM!</v>
      </c>
      <c r="AP27" s="148" t="e">
        <f t="shared" si="167"/>
        <v>#NUM!</v>
      </c>
      <c r="AQ27" s="148" t="e">
        <f t="shared" si="168"/>
        <v>#NUM!</v>
      </c>
      <c r="AR27" s="148" t="e">
        <f t="shared" si="169"/>
        <v>#NUM!</v>
      </c>
      <c r="AS27" s="148" t="e">
        <f t="shared" si="170"/>
        <v>#NUM!</v>
      </c>
      <c r="AT27" s="148" t="e">
        <f t="shared" si="171"/>
        <v>#NUM!</v>
      </c>
      <c r="AU27" s="148" t="e">
        <f t="shared" si="172"/>
        <v>#NUM!</v>
      </c>
      <c r="AV27" s="148" t="e">
        <f t="shared" si="173"/>
        <v>#NUM!</v>
      </c>
      <c r="AW27" s="148" t="e">
        <f t="shared" si="174"/>
        <v>#NUM!</v>
      </c>
      <c r="AX27" s="148" t="e">
        <f t="shared" si="175"/>
        <v>#NUM!</v>
      </c>
      <c r="AY27" s="148" t="e">
        <f t="shared" si="176"/>
        <v>#NUM!</v>
      </c>
      <c r="AZ27" s="148" t="e">
        <f t="shared" si="177"/>
        <v>#NUM!</v>
      </c>
      <c r="BA27" s="148" t="e">
        <f t="shared" si="178"/>
        <v>#NUM!</v>
      </c>
      <c r="BB27" s="148" t="e">
        <f t="shared" si="179"/>
        <v>#NUM!</v>
      </c>
      <c r="BC27" s="148" t="e">
        <f t="shared" si="180"/>
        <v>#NUM!</v>
      </c>
      <c r="BD27" s="148" t="e">
        <f t="shared" si="181"/>
        <v>#NUM!</v>
      </c>
      <c r="BE27" s="148" t="e">
        <f t="shared" si="182"/>
        <v>#NUM!</v>
      </c>
      <c r="BF27" s="148" t="e">
        <f t="shared" si="183"/>
        <v>#NUM!</v>
      </c>
      <c r="BG27" s="148" t="e">
        <f t="shared" si="184"/>
        <v>#NUM!</v>
      </c>
      <c r="BH27" s="148" t="e">
        <f t="shared" si="185"/>
        <v>#NUM!</v>
      </c>
      <c r="BI27" s="148" t="e">
        <f t="shared" si="186"/>
        <v>#NUM!</v>
      </c>
      <c r="BJ27" s="148" t="e">
        <f t="shared" si="187"/>
        <v>#NUM!</v>
      </c>
      <c r="BK27" s="148" t="e">
        <f t="shared" si="188"/>
        <v>#NUM!</v>
      </c>
      <c r="BL27" s="148" t="e">
        <f t="shared" si="189"/>
        <v>#NUM!</v>
      </c>
      <c r="BM27" s="148" t="e">
        <f t="shared" si="190"/>
        <v>#NUM!</v>
      </c>
      <c r="BN27" s="148" t="e">
        <f t="shared" si="191"/>
        <v>#NUM!</v>
      </c>
      <c r="BO27" s="148" t="e">
        <f t="shared" si="192"/>
        <v>#NUM!</v>
      </c>
      <c r="BP27" s="148" t="e">
        <f t="shared" si="193"/>
        <v>#NUM!</v>
      </c>
      <c r="BQ27" s="148" t="e">
        <f t="shared" si="194"/>
        <v>#NUM!</v>
      </c>
      <c r="BR27" s="148" t="e">
        <f t="shared" si="195"/>
        <v>#NUM!</v>
      </c>
      <c r="BS27" s="148" t="e">
        <f t="shared" si="196"/>
        <v>#NUM!</v>
      </c>
      <c r="BT27" s="148" t="e">
        <f t="shared" si="197"/>
        <v>#NUM!</v>
      </c>
      <c r="BU27" s="148" t="e">
        <f t="shared" si="198"/>
        <v>#NUM!</v>
      </c>
      <c r="BV27" s="148" t="e">
        <f t="shared" si="199"/>
        <v>#NUM!</v>
      </c>
      <c r="BW27" s="148"/>
      <c r="BX27" s="148"/>
      <c r="BY27" s="148"/>
      <c r="BZ27" s="148"/>
      <c r="CA27" s="148"/>
      <c r="CB27" s="148" t="e">
        <f t="shared" si="200"/>
        <v>#NUM!</v>
      </c>
      <c r="CC27" s="148" t="e">
        <f t="shared" si="201"/>
        <v>#NUM!</v>
      </c>
      <c r="CD27" s="148" t="e">
        <f t="shared" si="202"/>
        <v>#NUM!</v>
      </c>
      <c r="CE27" s="148" t="e">
        <f t="shared" si="203"/>
        <v>#NUM!</v>
      </c>
      <c r="CF27" s="148" t="e">
        <f t="shared" si="204"/>
        <v>#NUM!</v>
      </c>
      <c r="CG27" s="148" t="e">
        <f t="shared" si="205"/>
        <v>#NUM!</v>
      </c>
      <c r="CH27" s="148" t="e">
        <f t="shared" si="206"/>
        <v>#NUM!</v>
      </c>
      <c r="CI27" s="148" t="e">
        <f t="shared" si="207"/>
        <v>#NUM!</v>
      </c>
    </row>
    <row r="28" spans="1:87" x14ac:dyDescent="0.25">
      <c r="F28" s="263">
        <v>42857</v>
      </c>
      <c r="G28" s="439"/>
      <c r="H28" s="440"/>
      <c r="I28" s="303"/>
      <c r="J28" s="152"/>
      <c r="K28" s="152"/>
      <c r="L28" s="152"/>
      <c r="M28" s="152"/>
      <c r="N28" s="152"/>
      <c r="O28" s="152"/>
      <c r="P28" s="152"/>
      <c r="Q28" s="152">
        <f t="shared" si="142"/>
        <v>0.375</v>
      </c>
      <c r="R28" s="152" t="e">
        <f t="shared" si="143"/>
        <v>#NUM!</v>
      </c>
      <c r="S28" s="152">
        <f t="shared" si="144"/>
        <v>0</v>
      </c>
      <c r="T28" s="152">
        <f t="shared" si="145"/>
        <v>0</v>
      </c>
      <c r="U28" s="152" t="e">
        <f t="shared" ca="1" si="146"/>
        <v>#NUM!</v>
      </c>
      <c r="V28" s="148" t="e">
        <f t="shared" si="147"/>
        <v>#NUM!</v>
      </c>
      <c r="W28" s="148" t="e">
        <f t="shared" si="148"/>
        <v>#NUM!</v>
      </c>
      <c r="X28" s="148" t="e">
        <f t="shared" si="149"/>
        <v>#NUM!</v>
      </c>
      <c r="Y28" s="148" t="e">
        <f t="shared" si="150"/>
        <v>#NUM!</v>
      </c>
      <c r="Z28" s="148" t="e">
        <f t="shared" si="151"/>
        <v>#NUM!</v>
      </c>
      <c r="AA28" s="148" t="e">
        <f t="shared" si="152"/>
        <v>#NUM!</v>
      </c>
      <c r="AB28" s="148" t="e">
        <f t="shared" si="153"/>
        <v>#NUM!</v>
      </c>
      <c r="AC28" s="148" t="e">
        <f t="shared" si="154"/>
        <v>#NUM!</v>
      </c>
      <c r="AD28" s="148" t="e">
        <f t="shared" si="155"/>
        <v>#NUM!</v>
      </c>
      <c r="AE28" s="148" t="e">
        <f t="shared" si="156"/>
        <v>#NUM!</v>
      </c>
      <c r="AF28" s="148" t="e">
        <f t="shared" si="157"/>
        <v>#NUM!</v>
      </c>
      <c r="AG28" s="318" t="e">
        <f t="shared" si="158"/>
        <v>#NUM!</v>
      </c>
      <c r="AH28" s="148" t="e">
        <f t="shared" si="159"/>
        <v>#NUM!</v>
      </c>
      <c r="AI28" s="148" t="e">
        <f t="shared" si="160"/>
        <v>#NUM!</v>
      </c>
      <c r="AJ28" s="318" t="e">
        <f t="shared" si="161"/>
        <v>#NUM!</v>
      </c>
      <c r="AK28" s="148" t="e">
        <f t="shared" si="162"/>
        <v>#NUM!</v>
      </c>
      <c r="AL28" s="148" t="e">
        <f t="shared" si="163"/>
        <v>#NUM!</v>
      </c>
      <c r="AM28" s="148" t="e">
        <f t="shared" si="164"/>
        <v>#NUM!</v>
      </c>
      <c r="AN28" s="148" t="e">
        <f t="shared" si="165"/>
        <v>#NUM!</v>
      </c>
      <c r="AO28" s="148" t="e">
        <f t="shared" si="166"/>
        <v>#NUM!</v>
      </c>
      <c r="AP28" s="148" t="e">
        <f t="shared" si="167"/>
        <v>#NUM!</v>
      </c>
      <c r="AQ28" s="148" t="e">
        <f t="shared" si="168"/>
        <v>#NUM!</v>
      </c>
      <c r="AR28" s="148" t="e">
        <f t="shared" si="169"/>
        <v>#NUM!</v>
      </c>
      <c r="AS28" s="148" t="e">
        <f t="shared" si="170"/>
        <v>#NUM!</v>
      </c>
      <c r="AT28" s="148" t="e">
        <f t="shared" si="171"/>
        <v>#NUM!</v>
      </c>
      <c r="AU28" s="148" t="e">
        <f t="shared" si="172"/>
        <v>#NUM!</v>
      </c>
      <c r="AV28" s="148" t="e">
        <f t="shared" si="173"/>
        <v>#NUM!</v>
      </c>
      <c r="AW28" s="148" t="e">
        <f t="shared" si="174"/>
        <v>#NUM!</v>
      </c>
      <c r="AX28" s="148" t="e">
        <f t="shared" si="175"/>
        <v>#NUM!</v>
      </c>
      <c r="AY28" s="148" t="e">
        <f t="shared" si="176"/>
        <v>#NUM!</v>
      </c>
      <c r="AZ28" s="148" t="e">
        <f t="shared" si="177"/>
        <v>#NUM!</v>
      </c>
      <c r="BA28" s="148" t="e">
        <f t="shared" si="178"/>
        <v>#NUM!</v>
      </c>
      <c r="BB28" s="148" t="e">
        <f t="shared" si="179"/>
        <v>#NUM!</v>
      </c>
      <c r="BC28" s="148" t="e">
        <f t="shared" si="180"/>
        <v>#NUM!</v>
      </c>
      <c r="BD28" s="148" t="e">
        <f t="shared" si="181"/>
        <v>#NUM!</v>
      </c>
      <c r="BE28" s="148" t="e">
        <f t="shared" si="182"/>
        <v>#NUM!</v>
      </c>
      <c r="BF28" s="148" t="e">
        <f t="shared" si="183"/>
        <v>#NUM!</v>
      </c>
      <c r="BG28" s="148" t="e">
        <f t="shared" si="184"/>
        <v>#NUM!</v>
      </c>
      <c r="BH28" s="148" t="e">
        <f t="shared" si="185"/>
        <v>#NUM!</v>
      </c>
      <c r="BI28" s="148" t="e">
        <f t="shared" si="186"/>
        <v>#NUM!</v>
      </c>
      <c r="BJ28" s="148" t="e">
        <f t="shared" si="187"/>
        <v>#NUM!</v>
      </c>
      <c r="BK28" s="148" t="e">
        <f t="shared" si="188"/>
        <v>#NUM!</v>
      </c>
      <c r="BL28" s="148" t="e">
        <f t="shared" si="189"/>
        <v>#NUM!</v>
      </c>
      <c r="BM28" s="148" t="e">
        <f t="shared" si="190"/>
        <v>#NUM!</v>
      </c>
      <c r="BN28" s="148" t="e">
        <f t="shared" si="191"/>
        <v>#NUM!</v>
      </c>
      <c r="BO28" s="148" t="e">
        <f t="shared" si="192"/>
        <v>#NUM!</v>
      </c>
      <c r="BP28" s="148" t="e">
        <f t="shared" si="193"/>
        <v>#NUM!</v>
      </c>
      <c r="BQ28" s="148" t="e">
        <f t="shared" si="194"/>
        <v>#NUM!</v>
      </c>
      <c r="BR28" s="148" t="e">
        <f t="shared" si="195"/>
        <v>#NUM!</v>
      </c>
      <c r="BS28" s="148" t="e">
        <f t="shared" si="196"/>
        <v>#NUM!</v>
      </c>
      <c r="BT28" s="148" t="e">
        <f t="shared" si="197"/>
        <v>#NUM!</v>
      </c>
      <c r="BU28" s="148" t="e">
        <f t="shared" si="198"/>
        <v>#NUM!</v>
      </c>
      <c r="BV28" s="148" t="e">
        <f t="shared" si="199"/>
        <v>#NUM!</v>
      </c>
      <c r="BW28" s="148"/>
      <c r="BX28" s="148"/>
      <c r="BY28" s="148"/>
      <c r="BZ28" s="148"/>
      <c r="CA28" s="148"/>
      <c r="CB28" s="148" t="e">
        <f t="shared" si="200"/>
        <v>#NUM!</v>
      </c>
      <c r="CC28" s="148" t="e">
        <f t="shared" si="201"/>
        <v>#NUM!</v>
      </c>
      <c r="CD28" s="148" t="e">
        <f t="shared" si="202"/>
        <v>#NUM!</v>
      </c>
      <c r="CE28" s="148" t="e">
        <f t="shared" si="203"/>
        <v>#NUM!</v>
      </c>
      <c r="CF28" s="148" t="e">
        <f t="shared" si="204"/>
        <v>#NUM!</v>
      </c>
      <c r="CG28" s="148" t="e">
        <f t="shared" si="205"/>
        <v>#NUM!</v>
      </c>
      <c r="CH28" s="148" t="e">
        <f t="shared" si="206"/>
        <v>#NUM!</v>
      </c>
      <c r="CI28" s="148" t="e">
        <f t="shared" si="207"/>
        <v>#NUM!</v>
      </c>
    </row>
    <row r="29" spans="1:87" x14ac:dyDescent="0.25">
      <c r="F29" s="263">
        <v>42857</v>
      </c>
      <c r="G29" s="439"/>
      <c r="H29" s="440"/>
      <c r="I29" s="303"/>
      <c r="J29" s="152"/>
      <c r="K29" s="152"/>
      <c r="L29" s="152"/>
      <c r="M29" s="152"/>
      <c r="N29" s="152"/>
      <c r="O29" s="152"/>
      <c r="P29" s="152"/>
      <c r="Q29" s="152">
        <f t="shared" si="142"/>
        <v>0.375</v>
      </c>
      <c r="R29" s="152" t="e">
        <f t="shared" si="143"/>
        <v>#NUM!</v>
      </c>
      <c r="S29" s="152">
        <f t="shared" si="144"/>
        <v>0</v>
      </c>
      <c r="T29" s="152">
        <f t="shared" si="145"/>
        <v>0</v>
      </c>
      <c r="U29" s="152" t="e">
        <f t="shared" ca="1" si="146"/>
        <v>#NUM!</v>
      </c>
      <c r="V29" s="148" t="e">
        <f t="shared" si="147"/>
        <v>#NUM!</v>
      </c>
      <c r="W29" s="148" t="e">
        <f t="shared" si="148"/>
        <v>#NUM!</v>
      </c>
      <c r="X29" s="148" t="e">
        <f t="shared" si="149"/>
        <v>#NUM!</v>
      </c>
      <c r="Y29" s="148" t="e">
        <f t="shared" si="150"/>
        <v>#NUM!</v>
      </c>
      <c r="Z29" s="148" t="e">
        <f t="shared" si="151"/>
        <v>#NUM!</v>
      </c>
      <c r="AA29" s="148" t="e">
        <f t="shared" si="152"/>
        <v>#NUM!</v>
      </c>
      <c r="AB29" s="148" t="e">
        <f t="shared" si="153"/>
        <v>#NUM!</v>
      </c>
      <c r="AC29" s="148" t="e">
        <f t="shared" si="154"/>
        <v>#NUM!</v>
      </c>
      <c r="AD29" s="148" t="e">
        <f t="shared" si="155"/>
        <v>#NUM!</v>
      </c>
      <c r="AE29" s="148" t="e">
        <f t="shared" si="156"/>
        <v>#NUM!</v>
      </c>
      <c r="AF29" s="148" t="e">
        <f t="shared" si="157"/>
        <v>#NUM!</v>
      </c>
      <c r="AG29" s="318" t="e">
        <f t="shared" si="158"/>
        <v>#NUM!</v>
      </c>
      <c r="AH29" s="148" t="e">
        <f t="shared" si="159"/>
        <v>#NUM!</v>
      </c>
      <c r="AI29" s="148" t="e">
        <f t="shared" si="160"/>
        <v>#NUM!</v>
      </c>
      <c r="AJ29" s="318" t="e">
        <f t="shared" si="161"/>
        <v>#NUM!</v>
      </c>
      <c r="AK29" s="148" t="e">
        <f t="shared" si="162"/>
        <v>#NUM!</v>
      </c>
      <c r="AL29" s="148" t="e">
        <f t="shared" si="163"/>
        <v>#NUM!</v>
      </c>
      <c r="AM29" s="148" t="e">
        <f t="shared" si="164"/>
        <v>#NUM!</v>
      </c>
      <c r="AN29" s="148" t="e">
        <f t="shared" si="165"/>
        <v>#NUM!</v>
      </c>
      <c r="AO29" s="148" t="e">
        <f t="shared" si="166"/>
        <v>#NUM!</v>
      </c>
      <c r="AP29" s="148" t="e">
        <f t="shared" si="167"/>
        <v>#NUM!</v>
      </c>
      <c r="AQ29" s="148" t="e">
        <f t="shared" si="168"/>
        <v>#NUM!</v>
      </c>
      <c r="AR29" s="148" t="e">
        <f t="shared" si="169"/>
        <v>#NUM!</v>
      </c>
      <c r="AS29" s="148" t="e">
        <f t="shared" si="170"/>
        <v>#NUM!</v>
      </c>
      <c r="AT29" s="148" t="e">
        <f t="shared" si="171"/>
        <v>#NUM!</v>
      </c>
      <c r="AU29" s="148" t="e">
        <f t="shared" si="172"/>
        <v>#NUM!</v>
      </c>
      <c r="AV29" s="148" t="e">
        <f t="shared" si="173"/>
        <v>#NUM!</v>
      </c>
      <c r="AW29" s="148" t="e">
        <f t="shared" si="174"/>
        <v>#NUM!</v>
      </c>
      <c r="AX29" s="148" t="e">
        <f t="shared" si="175"/>
        <v>#NUM!</v>
      </c>
      <c r="AY29" s="148" t="e">
        <f t="shared" si="176"/>
        <v>#NUM!</v>
      </c>
      <c r="AZ29" s="148" t="e">
        <f t="shared" si="177"/>
        <v>#NUM!</v>
      </c>
      <c r="BA29" s="148" t="e">
        <f t="shared" si="178"/>
        <v>#NUM!</v>
      </c>
      <c r="BB29" s="148" t="e">
        <f t="shared" si="179"/>
        <v>#NUM!</v>
      </c>
      <c r="BC29" s="148" t="e">
        <f t="shared" si="180"/>
        <v>#NUM!</v>
      </c>
      <c r="BD29" s="148" t="e">
        <f t="shared" si="181"/>
        <v>#NUM!</v>
      </c>
      <c r="BE29" s="148" t="e">
        <f t="shared" si="182"/>
        <v>#NUM!</v>
      </c>
      <c r="BF29" s="148" t="e">
        <f t="shared" si="183"/>
        <v>#NUM!</v>
      </c>
      <c r="BG29" s="148" t="e">
        <f t="shared" si="184"/>
        <v>#NUM!</v>
      </c>
      <c r="BH29" s="148" t="e">
        <f t="shared" si="185"/>
        <v>#NUM!</v>
      </c>
      <c r="BI29" s="148" t="e">
        <f t="shared" si="186"/>
        <v>#NUM!</v>
      </c>
      <c r="BJ29" s="148" t="e">
        <f t="shared" si="187"/>
        <v>#NUM!</v>
      </c>
      <c r="BK29" s="148" t="e">
        <f t="shared" si="188"/>
        <v>#NUM!</v>
      </c>
      <c r="BL29" s="148" t="e">
        <f t="shared" si="189"/>
        <v>#NUM!</v>
      </c>
      <c r="BM29" s="148" t="e">
        <f t="shared" si="190"/>
        <v>#NUM!</v>
      </c>
      <c r="BN29" s="148" t="e">
        <f t="shared" si="191"/>
        <v>#NUM!</v>
      </c>
      <c r="BO29" s="148" t="e">
        <f t="shared" si="192"/>
        <v>#NUM!</v>
      </c>
      <c r="BP29" s="148" t="e">
        <f t="shared" si="193"/>
        <v>#NUM!</v>
      </c>
      <c r="BQ29" s="148" t="e">
        <f t="shared" si="194"/>
        <v>#NUM!</v>
      </c>
      <c r="BR29" s="148" t="e">
        <f t="shared" si="195"/>
        <v>#NUM!</v>
      </c>
      <c r="BS29" s="148" t="e">
        <f t="shared" si="196"/>
        <v>#NUM!</v>
      </c>
      <c r="BT29" s="148" t="e">
        <f t="shared" si="197"/>
        <v>#NUM!</v>
      </c>
      <c r="BU29" s="148" t="e">
        <f t="shared" si="198"/>
        <v>#NUM!</v>
      </c>
      <c r="BV29" s="148" t="e">
        <f t="shared" si="199"/>
        <v>#NUM!</v>
      </c>
      <c r="BW29" s="148"/>
      <c r="BX29" s="148"/>
      <c r="BY29" s="148"/>
      <c r="BZ29" s="148"/>
      <c r="CA29" s="148"/>
      <c r="CB29" s="148" t="e">
        <f t="shared" si="200"/>
        <v>#NUM!</v>
      </c>
      <c r="CC29" s="148" t="e">
        <f t="shared" si="201"/>
        <v>#NUM!</v>
      </c>
      <c r="CD29" s="148" t="e">
        <f t="shared" si="202"/>
        <v>#NUM!</v>
      </c>
      <c r="CE29" s="148" t="e">
        <f t="shared" si="203"/>
        <v>#NUM!</v>
      </c>
      <c r="CF29" s="148" t="e">
        <f t="shared" si="204"/>
        <v>#NUM!</v>
      </c>
      <c r="CG29" s="148" t="e">
        <f t="shared" si="205"/>
        <v>#NUM!</v>
      </c>
      <c r="CH29" s="148" t="e">
        <f t="shared" si="206"/>
        <v>#NUM!</v>
      </c>
      <c r="CI29" s="148" t="e">
        <f t="shared" si="207"/>
        <v>#NUM!</v>
      </c>
    </row>
    <row r="30" spans="1:87" x14ac:dyDescent="0.25">
      <c r="F30" s="263">
        <v>42857</v>
      </c>
      <c r="G30" s="439"/>
      <c r="H30" s="440"/>
      <c r="I30" s="303"/>
      <c r="J30" s="152"/>
      <c r="K30" s="152"/>
      <c r="L30" s="152"/>
      <c r="M30" s="152"/>
      <c r="N30" s="152"/>
      <c r="O30" s="152"/>
      <c r="P30" s="152"/>
      <c r="Q30" s="152">
        <f t="shared" si="142"/>
        <v>0.375</v>
      </c>
      <c r="R30" s="152" t="e">
        <f t="shared" si="143"/>
        <v>#NUM!</v>
      </c>
      <c r="S30" s="152">
        <f t="shared" si="144"/>
        <v>0</v>
      </c>
      <c r="T30" s="152">
        <f t="shared" si="145"/>
        <v>0</v>
      </c>
      <c r="U30" s="152" t="e">
        <f t="shared" ca="1" si="146"/>
        <v>#NUM!</v>
      </c>
      <c r="V30" s="148" t="e">
        <f t="shared" si="147"/>
        <v>#NUM!</v>
      </c>
      <c r="W30" s="148" t="e">
        <f t="shared" si="148"/>
        <v>#NUM!</v>
      </c>
      <c r="X30" s="148" t="e">
        <f t="shared" si="149"/>
        <v>#NUM!</v>
      </c>
      <c r="Y30" s="148" t="e">
        <f t="shared" si="150"/>
        <v>#NUM!</v>
      </c>
      <c r="Z30" s="148" t="e">
        <f t="shared" si="151"/>
        <v>#NUM!</v>
      </c>
      <c r="AA30" s="148" t="e">
        <f t="shared" si="152"/>
        <v>#NUM!</v>
      </c>
      <c r="AB30" s="148" t="e">
        <f t="shared" si="153"/>
        <v>#NUM!</v>
      </c>
      <c r="AC30" s="148" t="e">
        <f t="shared" si="154"/>
        <v>#NUM!</v>
      </c>
      <c r="AD30" s="148" t="e">
        <f t="shared" si="155"/>
        <v>#NUM!</v>
      </c>
      <c r="AE30" s="148" t="e">
        <f t="shared" si="156"/>
        <v>#NUM!</v>
      </c>
      <c r="AF30" s="148" t="e">
        <f t="shared" si="157"/>
        <v>#NUM!</v>
      </c>
      <c r="AG30" s="318" t="e">
        <f t="shared" si="158"/>
        <v>#NUM!</v>
      </c>
      <c r="AH30" s="148" t="e">
        <f t="shared" si="159"/>
        <v>#NUM!</v>
      </c>
      <c r="AI30" s="148" t="e">
        <f t="shared" si="160"/>
        <v>#NUM!</v>
      </c>
      <c r="AJ30" s="318" t="e">
        <f t="shared" si="161"/>
        <v>#NUM!</v>
      </c>
      <c r="AK30" s="148" t="e">
        <f t="shared" si="162"/>
        <v>#NUM!</v>
      </c>
      <c r="AL30" s="148" t="e">
        <f t="shared" si="163"/>
        <v>#NUM!</v>
      </c>
      <c r="AM30" s="148" t="e">
        <f t="shared" si="164"/>
        <v>#NUM!</v>
      </c>
      <c r="AN30" s="148" t="e">
        <f t="shared" si="165"/>
        <v>#NUM!</v>
      </c>
      <c r="AO30" s="148" t="e">
        <f t="shared" si="166"/>
        <v>#NUM!</v>
      </c>
      <c r="AP30" s="148" t="e">
        <f t="shared" si="167"/>
        <v>#NUM!</v>
      </c>
      <c r="AQ30" s="148" t="e">
        <f t="shared" si="168"/>
        <v>#NUM!</v>
      </c>
      <c r="AR30" s="148" t="e">
        <f t="shared" si="169"/>
        <v>#NUM!</v>
      </c>
      <c r="AS30" s="148" t="e">
        <f t="shared" si="170"/>
        <v>#NUM!</v>
      </c>
      <c r="AT30" s="148" t="e">
        <f t="shared" si="171"/>
        <v>#NUM!</v>
      </c>
      <c r="AU30" s="148" t="e">
        <f t="shared" si="172"/>
        <v>#NUM!</v>
      </c>
      <c r="AV30" s="148" t="e">
        <f t="shared" si="173"/>
        <v>#NUM!</v>
      </c>
      <c r="AW30" s="148" t="e">
        <f t="shared" si="174"/>
        <v>#NUM!</v>
      </c>
      <c r="AX30" s="148" t="e">
        <f t="shared" si="175"/>
        <v>#NUM!</v>
      </c>
      <c r="AY30" s="148" t="e">
        <f t="shared" si="176"/>
        <v>#NUM!</v>
      </c>
      <c r="AZ30" s="148" t="e">
        <f t="shared" si="177"/>
        <v>#NUM!</v>
      </c>
      <c r="BA30" s="148" t="e">
        <f t="shared" si="178"/>
        <v>#NUM!</v>
      </c>
      <c r="BB30" s="148" t="e">
        <f t="shared" si="179"/>
        <v>#NUM!</v>
      </c>
      <c r="BC30" s="148" t="e">
        <f t="shared" si="180"/>
        <v>#NUM!</v>
      </c>
      <c r="BD30" s="148" t="e">
        <f t="shared" si="181"/>
        <v>#NUM!</v>
      </c>
      <c r="BE30" s="148" t="e">
        <f t="shared" si="182"/>
        <v>#NUM!</v>
      </c>
      <c r="BF30" s="148" t="e">
        <f t="shared" si="183"/>
        <v>#NUM!</v>
      </c>
      <c r="BG30" s="148" t="e">
        <f t="shared" si="184"/>
        <v>#NUM!</v>
      </c>
      <c r="BH30" s="148" t="e">
        <f t="shared" si="185"/>
        <v>#NUM!</v>
      </c>
      <c r="BI30" s="148" t="e">
        <f t="shared" si="186"/>
        <v>#NUM!</v>
      </c>
      <c r="BJ30" s="148" t="e">
        <f t="shared" si="187"/>
        <v>#NUM!</v>
      </c>
      <c r="BK30" s="148" t="e">
        <f t="shared" si="188"/>
        <v>#NUM!</v>
      </c>
      <c r="BL30" s="148" t="e">
        <f t="shared" si="189"/>
        <v>#NUM!</v>
      </c>
      <c r="BM30" s="148" t="e">
        <f t="shared" si="190"/>
        <v>#NUM!</v>
      </c>
      <c r="BN30" s="148" t="e">
        <f t="shared" si="191"/>
        <v>#NUM!</v>
      </c>
      <c r="BO30" s="148" t="e">
        <f t="shared" si="192"/>
        <v>#NUM!</v>
      </c>
      <c r="BP30" s="148" t="e">
        <f t="shared" si="193"/>
        <v>#NUM!</v>
      </c>
      <c r="BQ30" s="148" t="e">
        <f t="shared" si="194"/>
        <v>#NUM!</v>
      </c>
      <c r="BR30" s="148" t="e">
        <f t="shared" si="195"/>
        <v>#NUM!</v>
      </c>
      <c r="BS30" s="148" t="e">
        <f t="shared" si="196"/>
        <v>#NUM!</v>
      </c>
      <c r="BT30" s="148" t="e">
        <f t="shared" si="197"/>
        <v>#NUM!</v>
      </c>
      <c r="BU30" s="148" t="e">
        <f t="shared" si="198"/>
        <v>#NUM!</v>
      </c>
      <c r="BV30" s="148" t="e">
        <f t="shared" si="199"/>
        <v>#NUM!</v>
      </c>
      <c r="BW30" s="148"/>
      <c r="BX30" s="148"/>
      <c r="BY30" s="148"/>
      <c r="BZ30" s="148"/>
      <c r="CA30" s="148"/>
      <c r="CB30" s="148" t="e">
        <f t="shared" si="200"/>
        <v>#NUM!</v>
      </c>
      <c r="CC30" s="148" t="e">
        <f t="shared" si="201"/>
        <v>#NUM!</v>
      </c>
      <c r="CD30" s="148" t="e">
        <f t="shared" si="202"/>
        <v>#NUM!</v>
      </c>
      <c r="CE30" s="148" t="e">
        <f t="shared" si="203"/>
        <v>#NUM!</v>
      </c>
      <c r="CF30" s="148" t="e">
        <f t="shared" si="204"/>
        <v>#NUM!</v>
      </c>
      <c r="CG30" s="148" t="e">
        <f t="shared" si="205"/>
        <v>#NUM!</v>
      </c>
      <c r="CH30" s="148" t="e">
        <f t="shared" si="206"/>
        <v>#NUM!</v>
      </c>
      <c r="CI30" s="148" t="e">
        <f t="shared" si="207"/>
        <v>#NUM!</v>
      </c>
    </row>
    <row r="31" spans="1:87" x14ac:dyDescent="0.25">
      <c r="F31" s="263">
        <v>42857</v>
      </c>
      <c r="G31" s="439"/>
      <c r="H31" s="440"/>
      <c r="I31" s="303"/>
      <c r="J31" s="152"/>
      <c r="K31" s="152"/>
      <c r="L31" s="152"/>
      <c r="M31" s="152"/>
      <c r="N31" s="152"/>
      <c r="O31" s="152"/>
      <c r="P31" s="152"/>
      <c r="Q31" s="152">
        <f t="shared" si="142"/>
        <v>0.375</v>
      </c>
      <c r="R31" s="152" t="e">
        <f t="shared" si="143"/>
        <v>#NUM!</v>
      </c>
      <c r="S31" s="152">
        <f t="shared" si="144"/>
        <v>0</v>
      </c>
      <c r="T31" s="152">
        <f t="shared" si="145"/>
        <v>0</v>
      </c>
      <c r="U31" s="152" t="e">
        <f t="shared" ca="1" si="146"/>
        <v>#NUM!</v>
      </c>
      <c r="V31" s="148" t="e">
        <f t="shared" si="147"/>
        <v>#NUM!</v>
      </c>
      <c r="W31" s="148" t="e">
        <f t="shared" si="148"/>
        <v>#NUM!</v>
      </c>
      <c r="X31" s="148" t="e">
        <f t="shared" si="149"/>
        <v>#NUM!</v>
      </c>
      <c r="Y31" s="148" t="e">
        <f t="shared" si="150"/>
        <v>#NUM!</v>
      </c>
      <c r="Z31" s="148" t="e">
        <f t="shared" si="151"/>
        <v>#NUM!</v>
      </c>
      <c r="AA31" s="148" t="e">
        <f t="shared" si="152"/>
        <v>#NUM!</v>
      </c>
      <c r="AB31" s="148" t="e">
        <f t="shared" si="153"/>
        <v>#NUM!</v>
      </c>
      <c r="AC31" s="148" t="e">
        <f t="shared" si="154"/>
        <v>#NUM!</v>
      </c>
      <c r="AD31" s="148" t="e">
        <f t="shared" si="155"/>
        <v>#NUM!</v>
      </c>
      <c r="AE31" s="148" t="e">
        <f t="shared" si="156"/>
        <v>#NUM!</v>
      </c>
      <c r="AF31" s="148" t="e">
        <f t="shared" si="157"/>
        <v>#NUM!</v>
      </c>
      <c r="AG31" s="318" t="e">
        <f t="shared" si="158"/>
        <v>#NUM!</v>
      </c>
      <c r="AH31" s="148" t="e">
        <f t="shared" si="159"/>
        <v>#NUM!</v>
      </c>
      <c r="AI31" s="148" t="e">
        <f t="shared" si="160"/>
        <v>#NUM!</v>
      </c>
      <c r="AJ31" s="318" t="e">
        <f t="shared" si="161"/>
        <v>#NUM!</v>
      </c>
      <c r="AK31" s="148" t="e">
        <f t="shared" si="162"/>
        <v>#NUM!</v>
      </c>
      <c r="AL31" s="148" t="e">
        <f t="shared" si="163"/>
        <v>#NUM!</v>
      </c>
      <c r="AM31" s="148" t="e">
        <f t="shared" si="164"/>
        <v>#NUM!</v>
      </c>
      <c r="AN31" s="148" t="e">
        <f t="shared" si="165"/>
        <v>#NUM!</v>
      </c>
      <c r="AO31" s="148" t="e">
        <f t="shared" si="166"/>
        <v>#NUM!</v>
      </c>
      <c r="AP31" s="148" t="e">
        <f t="shared" si="167"/>
        <v>#NUM!</v>
      </c>
      <c r="AQ31" s="148" t="e">
        <f t="shared" si="168"/>
        <v>#NUM!</v>
      </c>
      <c r="AR31" s="148" t="e">
        <f t="shared" si="169"/>
        <v>#NUM!</v>
      </c>
      <c r="AS31" s="148" t="e">
        <f t="shared" si="170"/>
        <v>#NUM!</v>
      </c>
      <c r="AT31" s="148" t="e">
        <f t="shared" si="171"/>
        <v>#NUM!</v>
      </c>
      <c r="AU31" s="148" t="e">
        <f t="shared" si="172"/>
        <v>#NUM!</v>
      </c>
      <c r="AV31" s="148" t="e">
        <f t="shared" si="173"/>
        <v>#NUM!</v>
      </c>
      <c r="AW31" s="148" t="e">
        <f t="shared" si="174"/>
        <v>#NUM!</v>
      </c>
      <c r="AX31" s="148" t="e">
        <f t="shared" si="175"/>
        <v>#NUM!</v>
      </c>
      <c r="AY31" s="148" t="e">
        <f t="shared" si="176"/>
        <v>#NUM!</v>
      </c>
      <c r="AZ31" s="148" t="e">
        <f t="shared" si="177"/>
        <v>#NUM!</v>
      </c>
      <c r="BA31" s="148" t="e">
        <f t="shared" si="178"/>
        <v>#NUM!</v>
      </c>
      <c r="BB31" s="148" t="e">
        <f t="shared" si="179"/>
        <v>#NUM!</v>
      </c>
      <c r="BC31" s="148" t="e">
        <f t="shared" si="180"/>
        <v>#NUM!</v>
      </c>
      <c r="BD31" s="148" t="e">
        <f t="shared" si="181"/>
        <v>#NUM!</v>
      </c>
      <c r="BE31" s="148" t="e">
        <f t="shared" si="182"/>
        <v>#NUM!</v>
      </c>
      <c r="BF31" s="148" t="e">
        <f t="shared" si="183"/>
        <v>#NUM!</v>
      </c>
      <c r="BG31" s="148" t="e">
        <f t="shared" si="184"/>
        <v>#NUM!</v>
      </c>
      <c r="BH31" s="148" t="e">
        <f t="shared" si="185"/>
        <v>#NUM!</v>
      </c>
      <c r="BI31" s="148" t="e">
        <f t="shared" si="186"/>
        <v>#NUM!</v>
      </c>
      <c r="BJ31" s="148" t="e">
        <f t="shared" si="187"/>
        <v>#NUM!</v>
      </c>
      <c r="BK31" s="148" t="e">
        <f t="shared" si="188"/>
        <v>#NUM!</v>
      </c>
      <c r="BL31" s="148" t="e">
        <f t="shared" si="189"/>
        <v>#NUM!</v>
      </c>
      <c r="BM31" s="148" t="e">
        <f t="shared" si="190"/>
        <v>#NUM!</v>
      </c>
      <c r="BN31" s="148" t="e">
        <f t="shared" si="191"/>
        <v>#NUM!</v>
      </c>
      <c r="BO31" s="148" t="e">
        <f t="shared" si="192"/>
        <v>#NUM!</v>
      </c>
      <c r="BP31" s="148" t="e">
        <f t="shared" si="193"/>
        <v>#NUM!</v>
      </c>
      <c r="BQ31" s="148" t="e">
        <f t="shared" si="194"/>
        <v>#NUM!</v>
      </c>
      <c r="BR31" s="148" t="e">
        <f t="shared" si="195"/>
        <v>#NUM!</v>
      </c>
      <c r="BS31" s="148" t="e">
        <f t="shared" si="196"/>
        <v>#NUM!</v>
      </c>
      <c r="BT31" s="148" t="e">
        <f t="shared" si="197"/>
        <v>#NUM!</v>
      </c>
      <c r="BU31" s="148" t="e">
        <f t="shared" si="198"/>
        <v>#NUM!</v>
      </c>
      <c r="BV31" s="148" t="e">
        <f t="shared" si="199"/>
        <v>#NUM!</v>
      </c>
      <c r="BW31" s="148"/>
      <c r="BX31" s="148"/>
      <c r="BY31" s="148"/>
      <c r="BZ31" s="148"/>
      <c r="CA31" s="148"/>
      <c r="CB31" s="148" t="e">
        <f t="shared" si="200"/>
        <v>#NUM!</v>
      </c>
      <c r="CC31" s="148" t="e">
        <f t="shared" si="201"/>
        <v>#NUM!</v>
      </c>
      <c r="CD31" s="148" t="e">
        <f t="shared" si="202"/>
        <v>#NUM!</v>
      </c>
      <c r="CE31" s="148" t="e">
        <f t="shared" si="203"/>
        <v>#NUM!</v>
      </c>
      <c r="CF31" s="148" t="e">
        <f t="shared" si="204"/>
        <v>#NUM!</v>
      </c>
      <c r="CG31" s="148" t="e">
        <f t="shared" si="205"/>
        <v>#NUM!</v>
      </c>
      <c r="CH31" s="148" t="e">
        <f t="shared" si="206"/>
        <v>#NUM!</v>
      </c>
      <c r="CI31" s="148" t="e">
        <f t="shared" si="207"/>
        <v>#NUM!</v>
      </c>
    </row>
    <row r="32" spans="1:87" x14ac:dyDescent="0.25">
      <c r="F32" s="263">
        <v>42857</v>
      </c>
      <c r="G32" s="439"/>
      <c r="H32" s="440"/>
      <c r="I32" s="303"/>
      <c r="J32" s="152"/>
      <c r="K32" s="152"/>
      <c r="L32" s="152"/>
      <c r="M32" s="152"/>
      <c r="N32" s="152"/>
      <c r="O32" s="152"/>
      <c r="P32" s="152"/>
      <c r="Q32" s="152">
        <f t="shared" si="142"/>
        <v>0.375</v>
      </c>
      <c r="R32" s="152" t="e">
        <f t="shared" si="143"/>
        <v>#NUM!</v>
      </c>
      <c r="S32" s="152">
        <f t="shared" si="144"/>
        <v>0</v>
      </c>
      <c r="T32" s="152">
        <f t="shared" si="145"/>
        <v>0</v>
      </c>
      <c r="U32" s="152" t="e">
        <f t="shared" ca="1" si="146"/>
        <v>#NUM!</v>
      </c>
      <c r="V32" s="148" t="e">
        <f t="shared" si="147"/>
        <v>#NUM!</v>
      </c>
      <c r="W32" s="148" t="e">
        <f t="shared" si="148"/>
        <v>#NUM!</v>
      </c>
      <c r="X32" s="148" t="e">
        <f t="shared" si="149"/>
        <v>#NUM!</v>
      </c>
      <c r="Y32" s="148" t="e">
        <f t="shared" si="150"/>
        <v>#NUM!</v>
      </c>
      <c r="Z32" s="148" t="e">
        <f t="shared" si="151"/>
        <v>#NUM!</v>
      </c>
      <c r="AA32" s="148" t="e">
        <f t="shared" si="152"/>
        <v>#NUM!</v>
      </c>
      <c r="AB32" s="148" t="e">
        <f t="shared" si="153"/>
        <v>#NUM!</v>
      </c>
      <c r="AC32" s="148" t="e">
        <f t="shared" si="154"/>
        <v>#NUM!</v>
      </c>
      <c r="AD32" s="148" t="e">
        <f t="shared" si="155"/>
        <v>#NUM!</v>
      </c>
      <c r="AE32" s="148" t="e">
        <f t="shared" si="156"/>
        <v>#NUM!</v>
      </c>
      <c r="AF32" s="148" t="e">
        <f t="shared" si="157"/>
        <v>#NUM!</v>
      </c>
      <c r="AG32" s="318" t="e">
        <f t="shared" si="158"/>
        <v>#NUM!</v>
      </c>
      <c r="AH32" s="148" t="e">
        <f t="shared" si="159"/>
        <v>#NUM!</v>
      </c>
      <c r="AI32" s="148" t="e">
        <f t="shared" si="160"/>
        <v>#NUM!</v>
      </c>
      <c r="AJ32" s="318" t="e">
        <f t="shared" si="161"/>
        <v>#NUM!</v>
      </c>
      <c r="AK32" s="148" t="e">
        <f t="shared" si="162"/>
        <v>#NUM!</v>
      </c>
      <c r="AL32" s="148" t="e">
        <f t="shared" si="163"/>
        <v>#NUM!</v>
      </c>
      <c r="AM32" s="148" t="e">
        <f t="shared" si="164"/>
        <v>#NUM!</v>
      </c>
      <c r="AN32" s="148" t="e">
        <f t="shared" si="165"/>
        <v>#NUM!</v>
      </c>
      <c r="AO32" s="148" t="e">
        <f t="shared" si="166"/>
        <v>#NUM!</v>
      </c>
      <c r="AP32" s="148" t="e">
        <f t="shared" si="167"/>
        <v>#NUM!</v>
      </c>
      <c r="AQ32" s="148" t="e">
        <f t="shared" si="168"/>
        <v>#NUM!</v>
      </c>
      <c r="AR32" s="148" t="e">
        <f t="shared" si="169"/>
        <v>#NUM!</v>
      </c>
      <c r="AS32" s="148" t="e">
        <f t="shared" si="170"/>
        <v>#NUM!</v>
      </c>
      <c r="AT32" s="148" t="e">
        <f t="shared" si="171"/>
        <v>#NUM!</v>
      </c>
      <c r="AU32" s="148" t="e">
        <f t="shared" si="172"/>
        <v>#NUM!</v>
      </c>
      <c r="AV32" s="148" t="e">
        <f t="shared" si="173"/>
        <v>#NUM!</v>
      </c>
      <c r="AW32" s="148" t="e">
        <f t="shared" si="174"/>
        <v>#NUM!</v>
      </c>
      <c r="AX32" s="148" t="e">
        <f t="shared" si="175"/>
        <v>#NUM!</v>
      </c>
      <c r="AY32" s="148" t="e">
        <f t="shared" si="176"/>
        <v>#NUM!</v>
      </c>
      <c r="AZ32" s="148" t="e">
        <f t="shared" si="177"/>
        <v>#NUM!</v>
      </c>
      <c r="BA32" s="148" t="e">
        <f t="shared" si="178"/>
        <v>#NUM!</v>
      </c>
      <c r="BB32" s="148" t="e">
        <f t="shared" si="179"/>
        <v>#NUM!</v>
      </c>
      <c r="BC32" s="148" t="e">
        <f t="shared" si="180"/>
        <v>#NUM!</v>
      </c>
      <c r="BD32" s="148" t="e">
        <f t="shared" si="181"/>
        <v>#NUM!</v>
      </c>
      <c r="BE32" s="148" t="e">
        <f t="shared" si="182"/>
        <v>#NUM!</v>
      </c>
      <c r="BF32" s="148" t="e">
        <f t="shared" si="183"/>
        <v>#NUM!</v>
      </c>
      <c r="BG32" s="148" t="e">
        <f t="shared" si="184"/>
        <v>#NUM!</v>
      </c>
      <c r="BH32" s="148" t="e">
        <f t="shared" si="185"/>
        <v>#NUM!</v>
      </c>
      <c r="BI32" s="148" t="e">
        <f t="shared" si="186"/>
        <v>#NUM!</v>
      </c>
      <c r="BJ32" s="148" t="e">
        <f t="shared" si="187"/>
        <v>#NUM!</v>
      </c>
      <c r="BK32" s="148" t="e">
        <f t="shared" si="188"/>
        <v>#NUM!</v>
      </c>
      <c r="BL32" s="148" t="e">
        <f t="shared" si="189"/>
        <v>#NUM!</v>
      </c>
      <c r="BM32" s="148" t="e">
        <f t="shared" si="190"/>
        <v>#NUM!</v>
      </c>
      <c r="BN32" s="148" t="e">
        <f t="shared" si="191"/>
        <v>#NUM!</v>
      </c>
      <c r="BO32" s="148" t="e">
        <f t="shared" si="192"/>
        <v>#NUM!</v>
      </c>
      <c r="BP32" s="148" t="e">
        <f t="shared" si="193"/>
        <v>#NUM!</v>
      </c>
      <c r="BQ32" s="148" t="e">
        <f t="shared" si="194"/>
        <v>#NUM!</v>
      </c>
      <c r="BR32" s="148" t="e">
        <f t="shared" si="195"/>
        <v>#NUM!</v>
      </c>
      <c r="BS32" s="148" t="e">
        <f t="shared" si="196"/>
        <v>#NUM!</v>
      </c>
      <c r="BT32" s="148" t="e">
        <f t="shared" si="197"/>
        <v>#NUM!</v>
      </c>
      <c r="BU32" s="148" t="e">
        <f t="shared" si="198"/>
        <v>#NUM!</v>
      </c>
      <c r="BV32" s="148" t="e">
        <f t="shared" si="199"/>
        <v>#NUM!</v>
      </c>
      <c r="BW32" s="148"/>
      <c r="BX32" s="148"/>
      <c r="BY32" s="148"/>
      <c r="BZ32" s="148"/>
      <c r="CA32" s="148"/>
      <c r="CB32" s="148" t="e">
        <f t="shared" si="200"/>
        <v>#NUM!</v>
      </c>
      <c r="CC32" s="148" t="e">
        <f t="shared" si="201"/>
        <v>#NUM!</v>
      </c>
      <c r="CD32" s="148" t="e">
        <f t="shared" si="202"/>
        <v>#NUM!</v>
      </c>
      <c r="CE32" s="148" t="e">
        <f t="shared" si="203"/>
        <v>#NUM!</v>
      </c>
      <c r="CF32" s="148" t="e">
        <f t="shared" si="204"/>
        <v>#NUM!</v>
      </c>
      <c r="CG32" s="148" t="e">
        <f t="shared" si="205"/>
        <v>#NUM!</v>
      </c>
      <c r="CH32" s="148" t="e">
        <f t="shared" si="206"/>
        <v>#NUM!</v>
      </c>
      <c r="CI32" s="148" t="e">
        <f t="shared" si="207"/>
        <v>#NUM!</v>
      </c>
    </row>
    <row r="33" spans="6:87" x14ac:dyDescent="0.25">
      <c r="F33" s="263">
        <v>42857</v>
      </c>
      <c r="G33" s="439"/>
      <c r="H33" s="440"/>
      <c r="I33" s="303"/>
      <c r="J33" s="152"/>
      <c r="K33" s="152"/>
      <c r="L33" s="152"/>
      <c r="M33" s="152"/>
      <c r="N33" s="152"/>
      <c r="O33" s="152"/>
      <c r="P33" s="152"/>
      <c r="Q33" s="152">
        <f t="shared" si="142"/>
        <v>0.375</v>
      </c>
      <c r="R33" s="152" t="e">
        <f t="shared" si="143"/>
        <v>#NUM!</v>
      </c>
      <c r="S33" s="152">
        <f t="shared" si="144"/>
        <v>0</v>
      </c>
      <c r="T33" s="152">
        <f t="shared" si="145"/>
        <v>0</v>
      </c>
      <c r="U33" s="152" t="e">
        <f t="shared" ca="1" si="146"/>
        <v>#NUM!</v>
      </c>
      <c r="V33" s="148" t="e">
        <f t="shared" si="147"/>
        <v>#NUM!</v>
      </c>
      <c r="W33" s="148" t="e">
        <f t="shared" si="148"/>
        <v>#NUM!</v>
      </c>
      <c r="X33" s="148" t="e">
        <f t="shared" si="149"/>
        <v>#NUM!</v>
      </c>
      <c r="Y33" s="148" t="e">
        <f t="shared" si="150"/>
        <v>#NUM!</v>
      </c>
      <c r="Z33" s="148" t="e">
        <f t="shared" si="151"/>
        <v>#NUM!</v>
      </c>
      <c r="AA33" s="148" t="e">
        <f t="shared" si="152"/>
        <v>#NUM!</v>
      </c>
      <c r="AB33" s="148" t="e">
        <f t="shared" si="153"/>
        <v>#NUM!</v>
      </c>
      <c r="AC33" s="148" t="e">
        <f t="shared" si="154"/>
        <v>#NUM!</v>
      </c>
      <c r="AD33" s="148" t="e">
        <f t="shared" si="155"/>
        <v>#NUM!</v>
      </c>
      <c r="AE33" s="148" t="e">
        <f t="shared" si="156"/>
        <v>#NUM!</v>
      </c>
      <c r="AF33" s="148" t="e">
        <f t="shared" si="157"/>
        <v>#NUM!</v>
      </c>
      <c r="AG33" s="318" t="e">
        <f t="shared" si="158"/>
        <v>#NUM!</v>
      </c>
      <c r="AH33" s="148" t="e">
        <f t="shared" si="159"/>
        <v>#NUM!</v>
      </c>
      <c r="AI33" s="148" t="e">
        <f t="shared" si="160"/>
        <v>#NUM!</v>
      </c>
      <c r="AJ33" s="318" t="e">
        <f t="shared" si="161"/>
        <v>#NUM!</v>
      </c>
      <c r="AK33" s="148" t="e">
        <f t="shared" si="162"/>
        <v>#NUM!</v>
      </c>
      <c r="AL33" s="148" t="e">
        <f t="shared" si="163"/>
        <v>#NUM!</v>
      </c>
      <c r="AM33" s="148" t="e">
        <f t="shared" si="164"/>
        <v>#NUM!</v>
      </c>
      <c r="AN33" s="148" t="e">
        <f t="shared" si="165"/>
        <v>#NUM!</v>
      </c>
      <c r="AO33" s="148" t="e">
        <f t="shared" si="166"/>
        <v>#NUM!</v>
      </c>
      <c r="AP33" s="148" t="e">
        <f t="shared" si="167"/>
        <v>#NUM!</v>
      </c>
      <c r="AQ33" s="148" t="e">
        <f t="shared" si="168"/>
        <v>#NUM!</v>
      </c>
      <c r="AR33" s="148" t="e">
        <f t="shared" si="169"/>
        <v>#NUM!</v>
      </c>
      <c r="AS33" s="148" t="e">
        <f t="shared" si="170"/>
        <v>#NUM!</v>
      </c>
      <c r="AT33" s="148" t="e">
        <f t="shared" si="171"/>
        <v>#NUM!</v>
      </c>
      <c r="AU33" s="148" t="e">
        <f t="shared" si="172"/>
        <v>#NUM!</v>
      </c>
      <c r="AV33" s="148" t="e">
        <f t="shared" si="173"/>
        <v>#NUM!</v>
      </c>
      <c r="AW33" s="148" t="e">
        <f t="shared" si="174"/>
        <v>#NUM!</v>
      </c>
      <c r="AX33" s="148" t="e">
        <f t="shared" si="175"/>
        <v>#NUM!</v>
      </c>
      <c r="AY33" s="148" t="e">
        <f t="shared" si="176"/>
        <v>#NUM!</v>
      </c>
      <c r="AZ33" s="148" t="e">
        <f t="shared" si="177"/>
        <v>#NUM!</v>
      </c>
      <c r="BA33" s="148" t="e">
        <f t="shared" si="178"/>
        <v>#NUM!</v>
      </c>
      <c r="BB33" s="148" t="e">
        <f t="shared" si="179"/>
        <v>#NUM!</v>
      </c>
      <c r="BC33" s="148" t="e">
        <f t="shared" si="180"/>
        <v>#NUM!</v>
      </c>
      <c r="BD33" s="148" t="e">
        <f t="shared" si="181"/>
        <v>#NUM!</v>
      </c>
      <c r="BE33" s="148" t="e">
        <f t="shared" si="182"/>
        <v>#NUM!</v>
      </c>
      <c r="BF33" s="148" t="e">
        <f t="shared" si="183"/>
        <v>#NUM!</v>
      </c>
      <c r="BG33" s="148" t="e">
        <f t="shared" si="184"/>
        <v>#NUM!</v>
      </c>
      <c r="BH33" s="148" t="e">
        <f t="shared" si="185"/>
        <v>#NUM!</v>
      </c>
      <c r="BI33" s="148" t="e">
        <f t="shared" si="186"/>
        <v>#NUM!</v>
      </c>
      <c r="BJ33" s="148" t="e">
        <f t="shared" si="187"/>
        <v>#NUM!</v>
      </c>
      <c r="BK33" s="148" t="e">
        <f t="shared" si="188"/>
        <v>#NUM!</v>
      </c>
      <c r="BL33" s="148" t="e">
        <f t="shared" si="189"/>
        <v>#NUM!</v>
      </c>
      <c r="BM33" s="148" t="e">
        <f t="shared" si="190"/>
        <v>#NUM!</v>
      </c>
      <c r="BN33" s="148" t="e">
        <f t="shared" si="191"/>
        <v>#NUM!</v>
      </c>
      <c r="BO33" s="148" t="e">
        <f t="shared" si="192"/>
        <v>#NUM!</v>
      </c>
      <c r="BP33" s="148" t="e">
        <f t="shared" si="193"/>
        <v>#NUM!</v>
      </c>
      <c r="BQ33" s="148" t="e">
        <f t="shared" si="194"/>
        <v>#NUM!</v>
      </c>
      <c r="BR33" s="148" t="e">
        <f t="shared" si="195"/>
        <v>#NUM!</v>
      </c>
      <c r="BS33" s="148" t="e">
        <f t="shared" si="196"/>
        <v>#NUM!</v>
      </c>
      <c r="BT33" s="148" t="e">
        <f t="shared" si="197"/>
        <v>#NUM!</v>
      </c>
      <c r="BU33" s="148" t="e">
        <f t="shared" si="198"/>
        <v>#NUM!</v>
      </c>
      <c r="BV33" s="148" t="e">
        <f t="shared" si="199"/>
        <v>#NUM!</v>
      </c>
      <c r="BW33" s="148"/>
      <c r="BX33" s="148"/>
      <c r="BY33" s="148"/>
      <c r="BZ33" s="148"/>
      <c r="CA33" s="148"/>
      <c r="CB33" s="148" t="e">
        <f t="shared" si="200"/>
        <v>#NUM!</v>
      </c>
      <c r="CC33" s="148" t="e">
        <f t="shared" si="201"/>
        <v>#NUM!</v>
      </c>
      <c r="CD33" s="148" t="e">
        <f t="shared" si="202"/>
        <v>#NUM!</v>
      </c>
      <c r="CE33" s="148" t="e">
        <f t="shared" si="203"/>
        <v>#NUM!</v>
      </c>
      <c r="CF33" s="148" t="e">
        <f t="shared" si="204"/>
        <v>#NUM!</v>
      </c>
      <c r="CG33" s="148" t="e">
        <f t="shared" si="205"/>
        <v>#NUM!</v>
      </c>
      <c r="CH33" s="148" t="e">
        <f t="shared" si="206"/>
        <v>#NUM!</v>
      </c>
      <c r="CI33" s="148" t="e">
        <f t="shared" si="207"/>
        <v>#NUM!</v>
      </c>
    </row>
    <row r="34" spans="6:87" x14ac:dyDescent="0.25">
      <c r="F34" s="263">
        <v>42857</v>
      </c>
      <c r="G34" s="439"/>
      <c r="H34" s="440"/>
      <c r="I34" s="303"/>
      <c r="J34" s="152"/>
      <c r="K34" s="152"/>
      <c r="L34" s="152"/>
      <c r="M34" s="152"/>
      <c r="N34" s="152"/>
      <c r="O34" s="152"/>
      <c r="P34" s="152"/>
      <c r="Q34" s="152">
        <f t="shared" si="142"/>
        <v>0.375</v>
      </c>
      <c r="R34" s="152" t="e">
        <f t="shared" si="143"/>
        <v>#NUM!</v>
      </c>
      <c r="S34" s="152">
        <f t="shared" si="144"/>
        <v>0</v>
      </c>
      <c r="T34" s="152">
        <f t="shared" si="145"/>
        <v>0</v>
      </c>
      <c r="U34" s="152" t="e">
        <f t="shared" ca="1" si="146"/>
        <v>#NUM!</v>
      </c>
      <c r="V34" s="148" t="e">
        <f t="shared" si="147"/>
        <v>#NUM!</v>
      </c>
      <c r="W34" s="148" t="e">
        <f t="shared" si="148"/>
        <v>#NUM!</v>
      </c>
      <c r="X34" s="148" t="e">
        <f t="shared" si="149"/>
        <v>#NUM!</v>
      </c>
      <c r="Y34" s="148" t="e">
        <f t="shared" si="150"/>
        <v>#NUM!</v>
      </c>
      <c r="Z34" s="148" t="e">
        <f t="shared" si="151"/>
        <v>#NUM!</v>
      </c>
      <c r="AA34" s="148" t="e">
        <f t="shared" si="152"/>
        <v>#NUM!</v>
      </c>
      <c r="AB34" s="148" t="e">
        <f t="shared" si="153"/>
        <v>#NUM!</v>
      </c>
      <c r="AC34" s="148" t="e">
        <f t="shared" si="154"/>
        <v>#NUM!</v>
      </c>
      <c r="AD34" s="148" t="e">
        <f t="shared" si="155"/>
        <v>#NUM!</v>
      </c>
      <c r="AE34" s="148" t="e">
        <f t="shared" si="156"/>
        <v>#NUM!</v>
      </c>
      <c r="AF34" s="148" t="e">
        <f t="shared" si="157"/>
        <v>#NUM!</v>
      </c>
      <c r="AG34" s="318" t="e">
        <f t="shared" si="158"/>
        <v>#NUM!</v>
      </c>
      <c r="AH34" s="148" t="e">
        <f t="shared" si="159"/>
        <v>#NUM!</v>
      </c>
      <c r="AI34" s="148" t="e">
        <f t="shared" si="160"/>
        <v>#NUM!</v>
      </c>
      <c r="AJ34" s="318" t="e">
        <f t="shared" si="161"/>
        <v>#NUM!</v>
      </c>
      <c r="AK34" s="148" t="e">
        <f t="shared" si="162"/>
        <v>#NUM!</v>
      </c>
      <c r="AL34" s="148" t="e">
        <f t="shared" si="163"/>
        <v>#NUM!</v>
      </c>
      <c r="AM34" s="148" t="e">
        <f t="shared" si="164"/>
        <v>#NUM!</v>
      </c>
      <c r="AN34" s="148" t="e">
        <f t="shared" si="165"/>
        <v>#NUM!</v>
      </c>
      <c r="AO34" s="148" t="e">
        <f t="shared" si="166"/>
        <v>#NUM!</v>
      </c>
      <c r="AP34" s="148" t="e">
        <f t="shared" si="167"/>
        <v>#NUM!</v>
      </c>
      <c r="AQ34" s="148" t="e">
        <f t="shared" si="168"/>
        <v>#NUM!</v>
      </c>
      <c r="AR34" s="148" t="e">
        <f t="shared" si="169"/>
        <v>#NUM!</v>
      </c>
      <c r="AS34" s="148" t="e">
        <f t="shared" si="170"/>
        <v>#NUM!</v>
      </c>
      <c r="AT34" s="148" t="e">
        <f t="shared" si="171"/>
        <v>#NUM!</v>
      </c>
      <c r="AU34" s="148" t="e">
        <f t="shared" si="172"/>
        <v>#NUM!</v>
      </c>
      <c r="AV34" s="148" t="e">
        <f t="shared" si="173"/>
        <v>#NUM!</v>
      </c>
      <c r="AW34" s="148" t="e">
        <f t="shared" si="174"/>
        <v>#NUM!</v>
      </c>
      <c r="AX34" s="148" t="e">
        <f t="shared" si="175"/>
        <v>#NUM!</v>
      </c>
      <c r="AY34" s="148" t="e">
        <f t="shared" si="176"/>
        <v>#NUM!</v>
      </c>
      <c r="AZ34" s="148" t="e">
        <f t="shared" si="177"/>
        <v>#NUM!</v>
      </c>
      <c r="BA34" s="148" t="e">
        <f t="shared" si="178"/>
        <v>#NUM!</v>
      </c>
      <c r="BB34" s="148" t="e">
        <f t="shared" si="179"/>
        <v>#NUM!</v>
      </c>
      <c r="BC34" s="148" t="e">
        <f t="shared" si="180"/>
        <v>#NUM!</v>
      </c>
      <c r="BD34" s="148" t="e">
        <f t="shared" si="181"/>
        <v>#NUM!</v>
      </c>
      <c r="BE34" s="148" t="e">
        <f t="shared" si="182"/>
        <v>#NUM!</v>
      </c>
      <c r="BF34" s="148" t="e">
        <f t="shared" si="183"/>
        <v>#NUM!</v>
      </c>
      <c r="BG34" s="148" t="e">
        <f t="shared" si="184"/>
        <v>#NUM!</v>
      </c>
      <c r="BH34" s="148" t="e">
        <f t="shared" si="185"/>
        <v>#NUM!</v>
      </c>
      <c r="BI34" s="148" t="e">
        <f t="shared" si="186"/>
        <v>#NUM!</v>
      </c>
      <c r="BJ34" s="148" t="e">
        <f t="shared" si="187"/>
        <v>#NUM!</v>
      </c>
      <c r="BK34" s="148" t="e">
        <f t="shared" si="188"/>
        <v>#NUM!</v>
      </c>
      <c r="BL34" s="148" t="e">
        <f t="shared" si="189"/>
        <v>#NUM!</v>
      </c>
      <c r="BM34" s="148" t="e">
        <f t="shared" si="190"/>
        <v>#NUM!</v>
      </c>
      <c r="BN34" s="148" t="e">
        <f t="shared" si="191"/>
        <v>#NUM!</v>
      </c>
      <c r="BO34" s="148" t="e">
        <f t="shared" si="192"/>
        <v>#NUM!</v>
      </c>
      <c r="BP34" s="148" t="e">
        <f t="shared" si="193"/>
        <v>#NUM!</v>
      </c>
      <c r="BQ34" s="148" t="e">
        <f t="shared" si="194"/>
        <v>#NUM!</v>
      </c>
      <c r="BR34" s="148" t="e">
        <f t="shared" si="195"/>
        <v>#NUM!</v>
      </c>
      <c r="BS34" s="148" t="e">
        <f t="shared" si="196"/>
        <v>#NUM!</v>
      </c>
      <c r="BT34" s="148" t="e">
        <f t="shared" si="197"/>
        <v>#NUM!</v>
      </c>
      <c r="BU34" s="148" t="e">
        <f t="shared" si="198"/>
        <v>#NUM!</v>
      </c>
      <c r="BV34" s="148" t="e">
        <f t="shared" si="199"/>
        <v>#NUM!</v>
      </c>
      <c r="BW34" s="148"/>
      <c r="BX34" s="148"/>
      <c r="BY34" s="148"/>
      <c r="BZ34" s="148"/>
      <c r="CA34" s="148"/>
      <c r="CB34" s="148" t="e">
        <f t="shared" si="200"/>
        <v>#NUM!</v>
      </c>
      <c r="CC34" s="148" t="e">
        <f t="shared" si="201"/>
        <v>#NUM!</v>
      </c>
      <c r="CD34" s="148" t="e">
        <f t="shared" si="202"/>
        <v>#NUM!</v>
      </c>
      <c r="CE34" s="148" t="e">
        <f t="shared" si="203"/>
        <v>#NUM!</v>
      </c>
      <c r="CF34" s="148" t="e">
        <f t="shared" si="204"/>
        <v>#NUM!</v>
      </c>
      <c r="CG34" s="148" t="e">
        <f t="shared" si="205"/>
        <v>#NUM!</v>
      </c>
      <c r="CH34" s="148" t="e">
        <f t="shared" si="206"/>
        <v>#NUM!</v>
      </c>
      <c r="CI34" s="148" t="e">
        <f t="shared" si="207"/>
        <v>#NUM!</v>
      </c>
    </row>
  </sheetData>
  <sortState ref="A23:CI40">
    <sortCondition descending="1" ref="CC23:CC40"/>
    <sortCondition descending="1" ref="CB23:CB40"/>
  </sortState>
  <conditionalFormatting sqref="U3:U34">
    <cfRule type="cellIs" dxfId="136" priority="101" operator="greaterThan">
      <formula>15</formula>
    </cfRule>
  </conditionalFormatting>
  <conditionalFormatting sqref="Q3:Q34">
    <cfRule type="cellIs" dxfId="135" priority="100" operator="greaterThan">
      <formula>3.2</formula>
    </cfRule>
  </conditionalFormatting>
  <conditionalFormatting sqref="S3:T34">
    <cfRule type="cellIs" dxfId="134"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133" priority="98" operator="greaterThan">
      <formula>12.5</formula>
    </cfRule>
  </conditionalFormatting>
  <conditionalFormatting sqref="BJ23 BE23 AR23">
    <cfRule type="cellIs" dxfId="132" priority="97" operator="greaterThan">
      <formula>12.5</formula>
    </cfRule>
  </conditionalFormatting>
  <conditionalFormatting sqref="H3:I4 H5:H22 H24:H34">
    <cfRule type="cellIs" dxfId="131" priority="95" operator="greaterThan">
      <formula>7</formula>
    </cfRule>
  </conditionalFormatting>
  <conditionalFormatting sqref="AY23">
    <cfRule type="cellIs" dxfId="130" priority="87" operator="greaterThan">
      <formula>12.5</formula>
    </cfRule>
  </conditionalFormatting>
  <conditionalFormatting sqref="Z3:Z22 AR3:AR22 AY3:AY22 BJ3:BJ22 BE3:BE22 AG16:AG22 Z24:Z34 AR24:AR34 AY24:AY34 BJ24:BJ34 BE24:BE34">
    <cfRule type="cellIs" dxfId="129" priority="83" operator="greaterThan">
      <formula>12</formula>
    </cfRule>
  </conditionalFormatting>
  <conditionalFormatting sqref="AG3:AG4">
    <cfRule type="cellIs" dxfId="128" priority="82" operator="greaterThan">
      <formula>12</formula>
    </cfRule>
  </conditionalFormatting>
  <conditionalFormatting sqref="BR23:BS23 BR3:BV4 BR5:BT15 BV5:BV15">
    <cfRule type="cellIs" dxfId="127" priority="78" operator="greaterThan">
      <formula>12.5</formula>
    </cfRule>
  </conditionalFormatting>
  <conditionalFormatting sqref="BT23">
    <cfRule type="cellIs" dxfId="126" priority="77" operator="greaterThan">
      <formula>12.5</formula>
    </cfRule>
  </conditionalFormatting>
  <conditionalFormatting sqref="BU23:BV23">
    <cfRule type="cellIs" dxfId="125" priority="76" operator="greaterThan">
      <formula>12.5</formula>
    </cfRule>
  </conditionalFormatting>
  <conditionalFormatting sqref="AG5:AG15 AG24:AG34">
    <cfRule type="cellIs" dxfId="124" priority="49" operator="lessThan">
      <formula>13</formula>
    </cfRule>
    <cfRule type="cellIs" dxfId="123" priority="50" operator="greaterThan">
      <formula>13.5</formula>
    </cfRule>
  </conditionalFormatting>
  <conditionalFormatting sqref="BU5:BU15 BU24:BU34">
    <cfRule type="cellIs" dxfId="122" priority="47" operator="lessThan">
      <formula>13</formula>
    </cfRule>
    <cfRule type="cellIs" dxfId="121" priority="48" operator="greaterThan">
      <formula>16</formula>
    </cfRule>
  </conditionalFormatting>
  <conditionalFormatting sqref="AG24:AG34">
    <cfRule type="cellIs" dxfId="120" priority="32" operator="greaterThan">
      <formula>13.42</formula>
    </cfRule>
  </conditionalFormatting>
  <conditionalFormatting sqref="AJ24:AJ34">
    <cfRule type="cellIs" dxfId="119"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199" bestFit="1" customWidth="1"/>
    <col min="4" max="4" width="14.140625" style="163" bestFit="1" customWidth="1"/>
    <col min="5" max="5" width="5.5703125" bestFit="1" customWidth="1"/>
    <col min="6" max="6" width="5" bestFit="1" customWidth="1"/>
    <col min="7" max="7" width="4.5703125" style="369" bestFit="1" customWidth="1"/>
    <col min="8" max="8" width="3.7109375" style="4" customWidth="1"/>
    <col min="9" max="9" width="4.5703125" customWidth="1"/>
    <col min="10" max="10" width="6.140625" style="145" customWidth="1"/>
    <col min="11" max="13" width="6.140625" customWidth="1"/>
    <col min="14" max="14" width="6.140625" bestFit="1" customWidth="1"/>
    <col min="15" max="15" width="5" bestFit="1" customWidth="1"/>
    <col min="16" max="16" width="6.140625" customWidth="1"/>
    <col min="17" max="17" width="5.5703125" style="397" customWidth="1"/>
    <col min="18" max="18" width="5" style="397" customWidth="1"/>
    <col min="19" max="24" width="6.7109375" style="369" customWidth="1"/>
    <col min="25" max="25" width="6.7109375" style="470" customWidth="1"/>
    <col min="26" max="26" width="6.7109375" style="369" customWidth="1"/>
    <col min="27" max="27" width="4.42578125" style="369" bestFit="1" customWidth="1"/>
    <col min="28" max="31" width="6.140625" style="369" bestFit="1" customWidth="1"/>
    <col min="32" max="32" width="5.5703125" style="369" bestFit="1" customWidth="1"/>
    <col min="33" max="33" width="5" style="369" bestFit="1" customWidth="1"/>
    <col min="34" max="34" width="6.140625" style="369"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48"/>
      <c r="T1" s="648"/>
      <c r="U1" s="648"/>
      <c r="V1" s="162"/>
      <c r="W1" s="648" t="s">
        <v>452</v>
      </c>
      <c r="X1" s="648"/>
      <c r="Z1" s="361">
        <f>S2+T2+U2+V2+W2+X2+Z2</f>
        <v>1</v>
      </c>
      <c r="AQ1" s="648" t="s">
        <v>490</v>
      </c>
      <c r="AR1" s="648"/>
      <c r="AS1" s="648"/>
      <c r="AT1" s="648"/>
      <c r="AU1" s="648"/>
      <c r="AV1" s="648"/>
      <c r="AW1" s="648"/>
      <c r="AX1" s="648"/>
      <c r="AY1" s="648"/>
      <c r="AZ1" s="648"/>
      <c r="BA1" s="648"/>
      <c r="BB1" s="648"/>
      <c r="BC1" s="648"/>
      <c r="BS1" s="386" t="s">
        <v>492</v>
      </c>
      <c r="BT1" s="386" t="s">
        <v>171</v>
      </c>
      <c r="BU1" s="386" t="s">
        <v>493</v>
      </c>
      <c r="BV1" s="387" t="s">
        <v>494</v>
      </c>
      <c r="BW1" s="385" t="s">
        <v>495</v>
      </c>
      <c r="BX1" s="385" t="s">
        <v>496</v>
      </c>
    </row>
    <row r="2" spans="1:76" s="224" customFormat="1" ht="18.75" x14ac:dyDescent="0.3">
      <c r="C2" s="225"/>
      <c r="D2" s="368">
        <f ca="1">TODAY()</f>
        <v>43630</v>
      </c>
      <c r="E2" s="638">
        <v>41471</v>
      </c>
      <c r="F2" s="638"/>
      <c r="G2" s="638"/>
      <c r="H2" s="226"/>
      <c r="I2" s="226"/>
      <c r="J2" s="282"/>
      <c r="K2" s="226"/>
      <c r="L2" s="226"/>
      <c r="M2" s="226"/>
      <c r="N2" s="226"/>
      <c r="O2" s="226"/>
      <c r="P2" s="226"/>
      <c r="Q2" s="355"/>
      <c r="R2" s="258"/>
      <c r="S2" s="362">
        <v>0</v>
      </c>
      <c r="T2" s="399">
        <v>0</v>
      </c>
      <c r="U2" s="399">
        <v>0</v>
      </c>
      <c r="V2" s="362">
        <v>0</v>
      </c>
      <c r="W2" s="360">
        <v>0</v>
      </c>
      <c r="X2" s="360">
        <v>0</v>
      </c>
      <c r="Y2" s="360">
        <v>0</v>
      </c>
      <c r="Z2" s="360">
        <v>1</v>
      </c>
      <c r="AA2" s="258">
        <v>0</v>
      </c>
      <c r="AB2" s="258"/>
      <c r="AC2" s="258"/>
      <c r="AD2" s="258"/>
      <c r="AE2" s="258"/>
      <c r="AF2" s="258"/>
      <c r="AG2" s="258"/>
      <c r="AH2" s="258"/>
      <c r="AS2" s="383">
        <f>SUM(AS4:AS14)*$BV$3</f>
        <v>0</v>
      </c>
      <c r="AT2" s="383">
        <f>SUM(AT4:AT14)*$BV$3</f>
        <v>0</v>
      </c>
      <c r="AU2" s="383">
        <f>SUM(AU4:AU14)*$BV$2</f>
        <v>0</v>
      </c>
      <c r="AV2" s="383">
        <f>SUM(AV4:AV14)*$BV$4</f>
        <v>0</v>
      </c>
      <c r="AW2" s="383">
        <f>SUM(AW4:AW14)*$BV$5</f>
        <v>0</v>
      </c>
      <c r="AX2" s="383">
        <f>SUM(AX4:AX14)*$BV$5</f>
        <v>0</v>
      </c>
      <c r="AY2" s="383">
        <f>SUM(AY4:AY14)*$BV$6</f>
        <v>0</v>
      </c>
      <c r="AZ2" s="384">
        <f>SUM(AZ4:AZ14)</f>
        <v>0.2099999999999998</v>
      </c>
      <c r="BA2" s="384">
        <f>SUM(BA4:BA14)</f>
        <v>0.2149999999999998</v>
      </c>
      <c r="BB2" s="384">
        <f t="shared" ref="BB2:BC2" si="0">SUM(BB4:BB14)</f>
        <v>12.4375</v>
      </c>
      <c r="BC2" s="384">
        <f t="shared" si="0"/>
        <v>0</v>
      </c>
      <c r="BG2" s="383" t="e">
        <f>SUM(BG4:BG14)*$BV$3</f>
        <v>#REF!</v>
      </c>
      <c r="BH2" s="383">
        <f>SUM(BH4:BH14)*$BV$3</f>
        <v>0</v>
      </c>
      <c r="BI2" s="383" t="e">
        <f>SUM(BI4:BI14)*$BV$2</f>
        <v>#REF!</v>
      </c>
      <c r="BJ2" s="383" t="e">
        <f>SUM(BJ4:BJ14)*$BV$4</f>
        <v>#REF!</v>
      </c>
      <c r="BK2" s="383" t="e">
        <f>SUM(BK4:BK14)*$BV$5</f>
        <v>#REF!</v>
      </c>
      <c r="BL2" s="383">
        <f>SUM(BL4:BL14)*$BV$5</f>
        <v>0</v>
      </c>
      <c r="BM2" s="383">
        <f>SUM(BM4:BM14)*$BV$6</f>
        <v>0</v>
      </c>
      <c r="BN2" s="384" t="e">
        <f>SUM(BN4:BN14)</f>
        <v>#REF!</v>
      </c>
      <c r="BO2" s="384" t="e">
        <f>SUM(BO4:BO14)</f>
        <v>#REF!</v>
      </c>
      <c r="BP2" s="384" t="e">
        <f t="shared" ref="BP2:BQ2" si="1">SUM(BP4:BP14)</f>
        <v>#REF!</v>
      </c>
      <c r="BQ2" s="384" t="e">
        <f t="shared" si="1"/>
        <v>#REF!</v>
      </c>
      <c r="BS2" s="231" t="s">
        <v>497</v>
      </c>
      <c r="BT2" s="388">
        <v>1</v>
      </c>
      <c r="BU2" s="389">
        <v>0.624</v>
      </c>
      <c r="BV2" s="390">
        <v>0.245</v>
      </c>
      <c r="BW2" s="302">
        <f>BV2*10</f>
        <v>2.4500000000000002</v>
      </c>
      <c r="BX2" s="302">
        <f>BV2*15</f>
        <v>3.6749999999999998</v>
      </c>
    </row>
    <row r="3" spans="1:76" ht="18.75" x14ac:dyDescent="0.3">
      <c r="A3" s="271" t="s">
        <v>362</v>
      </c>
      <c r="B3" s="271" t="s">
        <v>251</v>
      </c>
      <c r="C3" s="272" t="s">
        <v>396</v>
      </c>
      <c r="D3" s="273" t="s">
        <v>174</v>
      </c>
      <c r="E3" s="271" t="s">
        <v>175</v>
      </c>
      <c r="F3" s="271" t="s">
        <v>62</v>
      </c>
      <c r="G3" s="271" t="s">
        <v>177</v>
      </c>
      <c r="H3" s="271" t="s">
        <v>178</v>
      </c>
      <c r="I3" s="271" t="s">
        <v>170</v>
      </c>
      <c r="J3" s="271" t="s">
        <v>257</v>
      </c>
      <c r="K3" s="271" t="s">
        <v>180</v>
      </c>
      <c r="L3" s="271" t="s">
        <v>181</v>
      </c>
      <c r="M3" s="271" t="s">
        <v>182</v>
      </c>
      <c r="N3" s="271" t="s">
        <v>183</v>
      </c>
      <c r="O3" s="271" t="s">
        <v>184</v>
      </c>
      <c r="P3" s="271" t="s">
        <v>177</v>
      </c>
      <c r="Q3" s="357" t="s">
        <v>175</v>
      </c>
      <c r="R3" s="357" t="s">
        <v>62</v>
      </c>
      <c r="S3" s="356" t="s">
        <v>257</v>
      </c>
      <c r="T3" s="356" t="s">
        <v>180</v>
      </c>
      <c r="U3" s="356" t="s">
        <v>181</v>
      </c>
      <c r="V3" s="356" t="s">
        <v>182</v>
      </c>
      <c r="W3" s="356" t="s">
        <v>183</v>
      </c>
      <c r="X3" s="356" t="s">
        <v>184</v>
      </c>
      <c r="Y3" s="356" t="s">
        <v>594</v>
      </c>
      <c r="Z3" s="356" t="s">
        <v>177</v>
      </c>
      <c r="AA3" s="356" t="s">
        <v>170</v>
      </c>
      <c r="AB3" s="356" t="s">
        <v>257</v>
      </c>
      <c r="AC3" s="356" t="s">
        <v>180</v>
      </c>
      <c r="AD3" s="356" t="s">
        <v>181</v>
      </c>
      <c r="AE3" s="356" t="s">
        <v>182</v>
      </c>
      <c r="AF3" s="356" t="s">
        <v>183</v>
      </c>
      <c r="AG3" s="356" t="s">
        <v>184</v>
      </c>
      <c r="AH3" s="356" t="s">
        <v>177</v>
      </c>
      <c r="AI3" s="356" t="s">
        <v>257</v>
      </c>
      <c r="AJ3" s="356" t="s">
        <v>180</v>
      </c>
      <c r="AK3" s="356" t="s">
        <v>181</v>
      </c>
      <c r="AL3" s="356" t="s">
        <v>182</v>
      </c>
      <c r="AM3" s="356" t="s">
        <v>183</v>
      </c>
      <c r="AN3" s="356" t="s">
        <v>184</v>
      </c>
      <c r="AO3" s="356" t="s">
        <v>177</v>
      </c>
      <c r="AQ3" s="649" t="s">
        <v>590</v>
      </c>
      <c r="AR3" s="650"/>
      <c r="AS3" s="300" t="s">
        <v>405</v>
      </c>
      <c r="AT3" s="300" t="s">
        <v>406</v>
      </c>
      <c r="AU3" s="300" t="s">
        <v>419</v>
      </c>
      <c r="AV3" s="300" t="s">
        <v>407</v>
      </c>
      <c r="AW3" s="300" t="s">
        <v>408</v>
      </c>
      <c r="AX3" s="300" t="s">
        <v>409</v>
      </c>
      <c r="AY3" s="300" t="s">
        <v>410</v>
      </c>
      <c r="AZ3" s="300" t="s">
        <v>605</v>
      </c>
      <c r="BA3" s="300" t="s">
        <v>606</v>
      </c>
      <c r="BB3" s="300" t="s">
        <v>464</v>
      </c>
      <c r="BC3" s="300" t="s">
        <v>491</v>
      </c>
      <c r="BE3" s="649" t="s">
        <v>592</v>
      </c>
      <c r="BF3" s="650"/>
      <c r="BG3" s="300" t="s">
        <v>405</v>
      </c>
      <c r="BH3" s="300" t="s">
        <v>406</v>
      </c>
      <c r="BI3" s="300" t="s">
        <v>419</v>
      </c>
      <c r="BJ3" s="300" t="s">
        <v>407</v>
      </c>
      <c r="BK3" s="300" t="s">
        <v>408</v>
      </c>
      <c r="BL3" s="300" t="s">
        <v>409</v>
      </c>
      <c r="BM3" s="300" t="s">
        <v>410</v>
      </c>
      <c r="BN3" s="300" t="s">
        <v>605</v>
      </c>
      <c r="BO3" s="300" t="s">
        <v>606</v>
      </c>
      <c r="BP3" s="300" t="s">
        <v>464</v>
      </c>
      <c r="BQ3" s="300" t="s">
        <v>491</v>
      </c>
      <c r="BS3" s="231" t="s">
        <v>498</v>
      </c>
      <c r="BT3" s="388">
        <v>1</v>
      </c>
      <c r="BU3" s="389">
        <v>1.002</v>
      </c>
      <c r="BV3" s="390">
        <v>0.34</v>
      </c>
      <c r="BW3" s="302">
        <f t="shared" ref="BW3:BW6" si="2">BV3*10</f>
        <v>3.4000000000000004</v>
      </c>
      <c r="BX3" s="302">
        <f t="shared" ref="BX3:BX6" si="3">BV3*15</f>
        <v>5.1000000000000005</v>
      </c>
    </row>
    <row r="4" spans="1:76" s="232" customFormat="1" ht="18.75" x14ac:dyDescent="0.3">
      <c r="A4" s="335" t="s">
        <v>352</v>
      </c>
      <c r="B4" s="335" t="s">
        <v>1</v>
      </c>
      <c r="C4" s="234">
        <f ca="1">((33*112)-(E4*112)-(F4))/112</f>
        <v>-1.9285714285714286</v>
      </c>
      <c r="D4" s="266" t="str">
        <f>PLANTILLA!D5</f>
        <v>D. Gehmacher</v>
      </c>
      <c r="E4" s="338">
        <f>PLANTILLA!E5</f>
        <v>34</v>
      </c>
      <c r="F4" s="343">
        <f ca="1">PLANTILLA!F5</f>
        <v>104</v>
      </c>
      <c r="G4" s="339"/>
      <c r="H4" s="350">
        <v>7</v>
      </c>
      <c r="I4" s="280">
        <f>PLANTILLA!I5</f>
        <v>23.7</v>
      </c>
      <c r="J4" s="428">
        <f>PLANTILLA!X5</f>
        <v>16.666666666666668</v>
      </c>
      <c r="K4" s="428">
        <f>PLANTILLA!Y5</f>
        <v>11.95</v>
      </c>
      <c r="L4" s="428">
        <f>PLANTILLA!Z5</f>
        <v>2.0699999999999985</v>
      </c>
      <c r="M4" s="428">
        <f>PLANTILLA!AA5</f>
        <v>2.149999999999999</v>
      </c>
      <c r="N4" s="428">
        <f>PLANTILLA!AB5</f>
        <v>0.95</v>
      </c>
      <c r="O4" s="428">
        <f>PLANTILLA!AC5</f>
        <v>0</v>
      </c>
      <c r="P4" s="428">
        <f>PLANTILLA!AD5</f>
        <v>18.2</v>
      </c>
      <c r="Q4" s="358">
        <f t="shared" ref="Q4:Q23" si="4">E4</f>
        <v>34</v>
      </c>
      <c r="R4" s="359">
        <f t="shared" ref="R4:R23" ca="1" si="5">F4+7</f>
        <v>111</v>
      </c>
      <c r="S4" s="164"/>
      <c r="T4" s="164"/>
      <c r="U4" s="164"/>
      <c r="V4" s="164"/>
      <c r="W4" s="164"/>
      <c r="X4" s="164"/>
      <c r="Y4" s="164"/>
      <c r="Z4" s="164"/>
      <c r="AA4" s="268">
        <f t="shared" ref="AA4:AA23" si="6">I4+$AA$2</f>
        <v>23.7</v>
      </c>
      <c r="AB4" s="448">
        <f>J4+(S4*S$2/15)</f>
        <v>16.666666666666668</v>
      </c>
      <c r="AC4" s="448">
        <f>K4+(T$2/11)</f>
        <v>11.95</v>
      </c>
      <c r="AD4" s="448">
        <f>L4+(U$2/18)</f>
        <v>2.0699999999999985</v>
      </c>
      <c r="AE4" s="448">
        <f>M4+(V$2/12)</f>
        <v>2.149999999999999</v>
      </c>
      <c r="AF4" s="448">
        <f>N4+(W$2/11)</f>
        <v>0.95</v>
      </c>
      <c r="AG4" s="448">
        <f>O4+(X$2/12)+(Y$2/5)</f>
        <v>0</v>
      </c>
      <c r="AH4" s="448">
        <f>P4+(Z$2/2)+(Y$2/10)</f>
        <v>18.7</v>
      </c>
      <c r="AI4" s="371">
        <f t="shared" ref="AI4:AO4" si="7">AB4-J4</f>
        <v>0</v>
      </c>
      <c r="AJ4" s="371">
        <f t="shared" si="7"/>
        <v>0</v>
      </c>
      <c r="AK4" s="371">
        <f t="shared" si="7"/>
        <v>0</v>
      </c>
      <c r="AL4" s="371">
        <f t="shared" si="7"/>
        <v>0</v>
      </c>
      <c r="AM4" s="371">
        <f t="shared" si="7"/>
        <v>0</v>
      </c>
      <c r="AN4" s="371">
        <f t="shared" si="7"/>
        <v>0</v>
      </c>
      <c r="AO4" s="371">
        <f t="shared" si="7"/>
        <v>0.5</v>
      </c>
      <c r="AQ4" s="372" t="s">
        <v>1</v>
      </c>
      <c r="AR4" s="276" t="str">
        <f>D4</f>
        <v>D. Gehmacher</v>
      </c>
      <c r="AS4" s="377">
        <f>(AI4*0.597)+(AJ4*0.276)</f>
        <v>0</v>
      </c>
      <c r="AT4" s="377">
        <f>AS4</f>
        <v>0</v>
      </c>
      <c r="AU4" s="377">
        <f>(AI4*0.866)+(AJ4*0.425)</f>
        <v>0</v>
      </c>
      <c r="AV4" s="377">
        <v>0</v>
      </c>
      <c r="AW4" s="377">
        <v>0</v>
      </c>
      <c r="AX4" s="377">
        <v>0</v>
      </c>
      <c r="AY4" s="377">
        <v>0</v>
      </c>
      <c r="AZ4" s="496">
        <v>0</v>
      </c>
      <c r="BA4" s="496">
        <f>0.08*AI4+0.1*AO4</f>
        <v>0.05</v>
      </c>
      <c r="BB4" s="380">
        <v>0</v>
      </c>
      <c r="BC4" s="380">
        <v>0</v>
      </c>
      <c r="BE4" s="372" t="s">
        <v>1</v>
      </c>
      <c r="BF4" s="276" t="str">
        <f>D4</f>
        <v>D. Gehmacher</v>
      </c>
      <c r="BG4" s="377">
        <f t="shared" ref="BG4:BM4" si="8">AS4</f>
        <v>0</v>
      </c>
      <c r="BH4" s="377">
        <f t="shared" si="8"/>
        <v>0</v>
      </c>
      <c r="BI4" s="377">
        <f t="shared" si="8"/>
        <v>0</v>
      </c>
      <c r="BJ4" s="377">
        <f t="shared" si="8"/>
        <v>0</v>
      </c>
      <c r="BK4" s="377">
        <f t="shared" si="8"/>
        <v>0</v>
      </c>
      <c r="BL4" s="377">
        <f t="shared" si="8"/>
        <v>0</v>
      </c>
      <c r="BM4" s="377">
        <f t="shared" si="8"/>
        <v>0</v>
      </c>
      <c r="BN4" s="496">
        <f t="shared" ref="BN4" si="9">AZ4</f>
        <v>0</v>
      </c>
      <c r="BO4" s="496">
        <f t="shared" ref="BO4:BQ4" si="10">BA4</f>
        <v>0.05</v>
      </c>
      <c r="BP4" s="380">
        <f t="shared" si="10"/>
        <v>0</v>
      </c>
      <c r="BQ4" s="380">
        <f t="shared" si="10"/>
        <v>0</v>
      </c>
      <c r="BS4" s="231" t="s">
        <v>499</v>
      </c>
      <c r="BT4" s="388">
        <v>1</v>
      </c>
      <c r="BU4" s="389">
        <v>0.46800000000000003</v>
      </c>
      <c r="BV4" s="390">
        <v>0.125</v>
      </c>
      <c r="BW4" s="302">
        <f t="shared" si="2"/>
        <v>1.25</v>
      </c>
      <c r="BX4" s="302">
        <f t="shared" si="3"/>
        <v>1.875</v>
      </c>
    </row>
    <row r="5" spans="1:76" s="229" customFormat="1" ht="18.75" x14ac:dyDescent="0.3">
      <c r="A5" s="335" t="s">
        <v>415</v>
      </c>
      <c r="B5" s="335" t="s">
        <v>1</v>
      </c>
      <c r="C5" s="336">
        <f t="shared" ref="C5:C23" ca="1" si="11">((33*112)-(E5*112)-(F5))/112</f>
        <v>-6.0089285714285712</v>
      </c>
      <c r="D5" s="337" t="s">
        <v>242</v>
      </c>
      <c r="E5" s="338">
        <f>PLANTILLA!E6</f>
        <v>39</v>
      </c>
      <c r="F5" s="338">
        <f ca="1">PLANTILLA!F6</f>
        <v>1</v>
      </c>
      <c r="G5" s="339" t="s">
        <v>426</v>
      </c>
      <c r="H5" s="330">
        <v>4</v>
      </c>
      <c r="I5" s="280">
        <f>PLANTILLA!I6</f>
        <v>8.4</v>
      </c>
      <c r="J5" s="428">
        <f>PLANTILLA!X6</f>
        <v>7.95</v>
      </c>
      <c r="K5" s="428">
        <f>PLANTILLA!Y6</f>
        <v>7.95</v>
      </c>
      <c r="L5" s="428">
        <f>PLANTILLA!Z6</f>
        <v>0.95</v>
      </c>
      <c r="M5" s="428">
        <f>PLANTILLA!AA6</f>
        <v>0.95</v>
      </c>
      <c r="N5" s="428">
        <f>PLANTILLA!AB6</f>
        <v>1.95</v>
      </c>
      <c r="O5" s="428">
        <f>PLANTILLA!AC6</f>
        <v>0</v>
      </c>
      <c r="P5" s="428">
        <f>PLANTILLA!AD6</f>
        <v>14.95</v>
      </c>
      <c r="Q5" s="358">
        <f t="shared" si="4"/>
        <v>39</v>
      </c>
      <c r="R5" s="359">
        <f t="shared" ca="1" si="5"/>
        <v>8</v>
      </c>
      <c r="S5" s="164"/>
      <c r="T5" s="164"/>
      <c r="U5" s="164"/>
      <c r="V5" s="164"/>
      <c r="W5" s="164"/>
      <c r="X5" s="164"/>
      <c r="Y5" s="164"/>
      <c r="Z5" s="164"/>
      <c r="AA5" s="268">
        <f t="shared" si="6"/>
        <v>8.4</v>
      </c>
      <c r="AB5" s="448">
        <f>J5+(S5*S$2/6)</f>
        <v>7.95</v>
      </c>
      <c r="AC5" s="448">
        <f>K5+(T$2/45)</f>
        <v>7.95</v>
      </c>
      <c r="AD5" s="448">
        <f>L5+(U$2/34)</f>
        <v>0.95</v>
      </c>
      <c r="AE5" s="448">
        <f>M5+(V$2/22)</f>
        <v>0.95</v>
      </c>
      <c r="AF5" s="448">
        <f>N5+(W$2/28)</f>
        <v>1.95</v>
      </c>
      <c r="AG5" s="448">
        <f>O5+(X$2/24)+(Y$2/7)</f>
        <v>0</v>
      </c>
      <c r="AH5" s="448">
        <f>P5+(Z$2/2.5)+(Y$2/10)</f>
        <v>15.35</v>
      </c>
      <c r="AI5" s="371">
        <f t="shared" ref="AI5:AI23" si="12">AB5-J5</f>
        <v>0</v>
      </c>
      <c r="AJ5" s="371">
        <f t="shared" ref="AJ5:AJ23" si="13">AC5-K5</f>
        <v>0</v>
      </c>
      <c r="AK5" s="371">
        <f t="shared" ref="AK5:AK23" si="14">AD5-L5</f>
        <v>0</v>
      </c>
      <c r="AL5" s="371">
        <f t="shared" ref="AL5:AL23" si="15">AE5-M5</f>
        <v>0</v>
      </c>
      <c r="AM5" s="371">
        <f t="shared" ref="AM5:AM23" si="16">AF5-N5</f>
        <v>0</v>
      </c>
      <c r="AN5" s="371">
        <f t="shared" ref="AN5:AN23" si="17">AG5-O5</f>
        <v>0</v>
      </c>
      <c r="AO5" s="371">
        <f t="shared" ref="AO5:AO23" si="18">AH5-P5</f>
        <v>0.40000000000000036</v>
      </c>
      <c r="AQ5" s="373" t="s">
        <v>467</v>
      </c>
      <c r="AR5" s="277" t="str">
        <f>D20</f>
        <v>B. Pinczehelyi</v>
      </c>
      <c r="AS5" s="378">
        <f>(AJ20*0.919)</f>
        <v>0</v>
      </c>
      <c r="AT5" s="378">
        <v>0</v>
      </c>
      <c r="AU5" s="378">
        <f>AJ20*0.414</f>
        <v>0</v>
      </c>
      <c r="AV5" s="378">
        <f>AK20*0.167</f>
        <v>0</v>
      </c>
      <c r="AW5" s="378">
        <f>AL20*0.588</f>
        <v>0</v>
      </c>
      <c r="AX5" s="378">
        <v>0</v>
      </c>
      <c r="AY5" s="378">
        <v>0</v>
      </c>
      <c r="AZ5" s="381">
        <f>(0.5*AN20+0.3*AO20)/10</f>
        <v>0.03</v>
      </c>
      <c r="BA5" s="381">
        <f>(0.4*AJ20+0.3*AO20)/10</f>
        <v>0.03</v>
      </c>
      <c r="BB5" s="381">
        <f>((AC20+1)+(AF20+1)*2)/8</f>
        <v>4.4000000000000004</v>
      </c>
      <c r="BC5" s="381">
        <f>((AJ20)+(AM20)*2)/8</f>
        <v>0</v>
      </c>
      <c r="BE5" s="373" t="s">
        <v>467</v>
      </c>
      <c r="BF5" s="277" t="str">
        <f>AR19</f>
        <v>B. Pinczehelyi</v>
      </c>
      <c r="BG5" s="379">
        <f>AS19</f>
        <v>0</v>
      </c>
      <c r="BH5" s="379">
        <f t="shared" ref="BH5:BQ5" si="19">AT19</f>
        <v>0</v>
      </c>
      <c r="BI5" s="379">
        <f t="shared" si="19"/>
        <v>0</v>
      </c>
      <c r="BJ5" s="379">
        <f t="shared" si="19"/>
        <v>0</v>
      </c>
      <c r="BK5" s="379">
        <f t="shared" si="19"/>
        <v>0</v>
      </c>
      <c r="BL5" s="379">
        <f t="shared" si="19"/>
        <v>0</v>
      </c>
      <c r="BM5" s="379">
        <f t="shared" si="19"/>
        <v>0</v>
      </c>
      <c r="BN5" s="382">
        <f t="shared" si="19"/>
        <v>0.03</v>
      </c>
      <c r="BO5" s="382">
        <f t="shared" si="19"/>
        <v>0.03</v>
      </c>
      <c r="BP5" s="382">
        <f t="shared" si="19"/>
        <v>4.4000000000000004</v>
      </c>
      <c r="BQ5" s="382">
        <f t="shared" si="19"/>
        <v>0</v>
      </c>
      <c r="BS5" s="231" t="s">
        <v>500</v>
      </c>
      <c r="BT5" s="388">
        <v>1</v>
      </c>
      <c r="BU5" s="389">
        <v>0.877</v>
      </c>
      <c r="BV5" s="390">
        <v>0.25</v>
      </c>
      <c r="BW5" s="302">
        <f t="shared" si="2"/>
        <v>2.5</v>
      </c>
      <c r="BX5" s="302">
        <f t="shared" si="3"/>
        <v>3.75</v>
      </c>
    </row>
    <row r="6" spans="1:76" s="236" customFormat="1" ht="18.75" x14ac:dyDescent="0.3">
      <c r="A6" s="335" t="s">
        <v>428</v>
      </c>
      <c r="B6" s="233" t="s">
        <v>2</v>
      </c>
      <c r="C6" s="234" t="e">
        <f t="shared" si="11"/>
        <v>#REF!</v>
      </c>
      <c r="D6" s="266" t="s">
        <v>249</v>
      </c>
      <c r="E6" s="338" t="e">
        <f>PLANTILLA!#REF!</f>
        <v>#REF!</v>
      </c>
      <c r="F6" s="338" t="e">
        <f>PLANTILLA!#REF!</f>
        <v>#REF!</v>
      </c>
      <c r="G6" s="339"/>
      <c r="H6" s="342">
        <v>5</v>
      </c>
      <c r="I6" s="280" t="e">
        <f>PLANTILLA!#REF!</f>
        <v>#REF!</v>
      </c>
      <c r="J6" s="428" t="e">
        <f>PLANTILLA!#REF!</f>
        <v>#REF!</v>
      </c>
      <c r="K6" s="428" t="e">
        <f>PLANTILLA!#REF!</f>
        <v>#REF!</v>
      </c>
      <c r="L6" s="428" t="e">
        <f>PLANTILLA!#REF!</f>
        <v>#REF!</v>
      </c>
      <c r="M6" s="428" t="e">
        <f>PLANTILLA!#REF!</f>
        <v>#REF!</v>
      </c>
      <c r="N6" s="428" t="e">
        <f>PLANTILLA!#REF!</f>
        <v>#REF!</v>
      </c>
      <c r="O6" s="428" t="e">
        <f>PLANTILLA!#REF!</f>
        <v>#REF!</v>
      </c>
      <c r="P6" s="428" t="e">
        <f>PLANTILLA!#REF!</f>
        <v>#REF!</v>
      </c>
      <c r="Q6" s="358" t="e">
        <f t="shared" si="4"/>
        <v>#REF!</v>
      </c>
      <c r="R6" s="359" t="e">
        <f t="shared" si="5"/>
        <v>#REF!</v>
      </c>
      <c r="S6" s="164"/>
      <c r="T6" s="164"/>
      <c r="U6" s="164"/>
      <c r="V6" s="164"/>
      <c r="W6" s="164"/>
      <c r="X6" s="164"/>
      <c r="Y6" s="164"/>
      <c r="Z6" s="164"/>
      <c r="AA6" s="268" t="e">
        <f t="shared" si="6"/>
        <v>#REF!</v>
      </c>
      <c r="AB6" s="448" t="e">
        <f t="shared" ref="AB6:AB23" si="20">J6+(S6*S$2/5)</f>
        <v>#REF!</v>
      </c>
      <c r="AC6" s="448" t="e">
        <f>K6+(T$2/53)</f>
        <v>#REF!</v>
      </c>
      <c r="AD6" s="448" t="e">
        <f>L6+(U$2/32)</f>
        <v>#REF!</v>
      </c>
      <c r="AE6" s="448" t="e">
        <f>M6+(V$2/17)</f>
        <v>#REF!</v>
      </c>
      <c r="AF6" s="448" t="e">
        <f>N6+(W$2/23)</f>
        <v>#REF!</v>
      </c>
      <c r="AG6" s="448" t="e">
        <f>O6+(X$2/17)+(Y$2/5)</f>
        <v>#REF!</v>
      </c>
      <c r="AH6" s="448" t="e">
        <f>P6+(Z$2/2)+(Y$2/10)</f>
        <v>#REF!</v>
      </c>
      <c r="AI6" s="371" t="e">
        <f t="shared" si="12"/>
        <v>#REF!</v>
      </c>
      <c r="AJ6" s="371" t="e">
        <f t="shared" si="13"/>
        <v>#REF!</v>
      </c>
      <c r="AK6" s="371" t="e">
        <f t="shared" si="14"/>
        <v>#REF!</v>
      </c>
      <c r="AL6" s="371" t="e">
        <f t="shared" si="15"/>
        <v>#REF!</v>
      </c>
      <c r="AM6" s="371" t="e">
        <f t="shared" si="16"/>
        <v>#REF!</v>
      </c>
      <c r="AN6" s="371" t="e">
        <f t="shared" si="17"/>
        <v>#REF!</v>
      </c>
      <c r="AO6" s="371" t="e">
        <f t="shared" si="18"/>
        <v>#REF!</v>
      </c>
      <c r="AQ6" s="374" t="s">
        <v>488</v>
      </c>
      <c r="AR6" s="277" t="str">
        <f>D16</f>
        <v>E. Gross</v>
      </c>
      <c r="AS6" s="379">
        <f>AJ16*0.378</f>
        <v>0</v>
      </c>
      <c r="AT6" s="379">
        <f>AS6</f>
        <v>0</v>
      </c>
      <c r="AU6" s="379">
        <f>AJ16*1</f>
        <v>0</v>
      </c>
      <c r="AV6" s="379">
        <f>AK16*0.236</f>
        <v>0</v>
      </c>
      <c r="AW6" s="379">
        <v>0</v>
      </c>
      <c r="AX6" s="379">
        <v>0</v>
      </c>
      <c r="AY6" s="379">
        <v>0</v>
      </c>
      <c r="AZ6" s="382">
        <f>(0.5*AN16+0.3*AO16)/10</f>
        <v>1.1999999999999957E-2</v>
      </c>
      <c r="BA6" s="382">
        <f>(0.4*AJ16+0.3*AO16)/10</f>
        <v>1.1999999999999957E-2</v>
      </c>
      <c r="BB6" s="381">
        <f>((AC16+1)+(AF16+1)*2)/8</f>
        <v>3.9312499999999995</v>
      </c>
      <c r="BC6" s="381">
        <f>((AJ16)+(AM16)*2)/8</f>
        <v>0</v>
      </c>
      <c r="BE6" s="374" t="s">
        <v>520</v>
      </c>
      <c r="BF6" s="233" t="str">
        <f>BF20</f>
        <v>D. Toh</v>
      </c>
      <c r="BG6" s="379" t="e">
        <f>BG20</f>
        <v>#REF!</v>
      </c>
      <c r="BH6" s="379">
        <f t="shared" ref="BH6:BM6" si="21">BH20</f>
        <v>0</v>
      </c>
      <c r="BI6" s="379" t="e">
        <f t="shared" si="21"/>
        <v>#REF!</v>
      </c>
      <c r="BJ6" s="379" t="e">
        <f t="shared" si="21"/>
        <v>#REF!</v>
      </c>
      <c r="BK6" s="379" t="e">
        <f t="shared" si="21"/>
        <v>#REF!</v>
      </c>
      <c r="BL6" s="379">
        <f t="shared" si="21"/>
        <v>0</v>
      </c>
      <c r="BM6" s="379">
        <f t="shared" si="21"/>
        <v>0</v>
      </c>
      <c r="BN6" s="382" t="e">
        <f>(0.5*AN7+0.3*AO7)/10</f>
        <v>#REF!</v>
      </c>
      <c r="BO6" s="382" t="e">
        <f>(0.4*AJ7+0.3*AO7)/10</f>
        <v>#REF!</v>
      </c>
      <c r="BP6" s="381" t="e">
        <f>((AC7+1)+(AF7+1)*2)/8</f>
        <v>#REF!</v>
      </c>
      <c r="BQ6" s="381" t="e">
        <f>((AJ7)+(AM7)*2)/8</f>
        <v>#REF!</v>
      </c>
      <c r="BS6" s="231" t="s">
        <v>501</v>
      </c>
      <c r="BT6" s="388">
        <v>1</v>
      </c>
      <c r="BU6" s="389">
        <v>0.59299999999999997</v>
      </c>
      <c r="BV6" s="390">
        <v>0.19</v>
      </c>
      <c r="BW6" s="302">
        <f t="shared" si="2"/>
        <v>1.9</v>
      </c>
      <c r="BX6" s="302">
        <f t="shared" si="3"/>
        <v>2.85</v>
      </c>
    </row>
    <row r="7" spans="1:76" s="236" customFormat="1" x14ac:dyDescent="0.25">
      <c r="A7" s="277" t="s">
        <v>472</v>
      </c>
      <c r="B7" s="233" t="s">
        <v>2</v>
      </c>
      <c r="C7" s="234" t="e">
        <f t="shared" si="11"/>
        <v>#REF!</v>
      </c>
      <c r="D7" s="266" t="s">
        <v>250</v>
      </c>
      <c r="E7" s="338" t="e">
        <f>PLANTILLA!#REF!</f>
        <v>#REF!</v>
      </c>
      <c r="F7" s="338" t="e">
        <f>PLANTILLA!#REF!</f>
        <v>#REF!</v>
      </c>
      <c r="G7" s="339" t="s">
        <v>426</v>
      </c>
      <c r="H7" s="342">
        <v>5</v>
      </c>
      <c r="I7" s="280" t="e">
        <f>PLANTILLA!#REF!</f>
        <v>#REF!</v>
      </c>
      <c r="J7" s="428" t="e">
        <f>PLANTILLA!#REF!</f>
        <v>#REF!</v>
      </c>
      <c r="K7" s="428" t="e">
        <f>PLANTILLA!#REF!</f>
        <v>#REF!</v>
      </c>
      <c r="L7" s="428" t="e">
        <f>PLANTILLA!#REF!</f>
        <v>#REF!</v>
      </c>
      <c r="M7" s="428" t="e">
        <f>PLANTILLA!#REF!</f>
        <v>#REF!</v>
      </c>
      <c r="N7" s="428" t="e">
        <f>PLANTILLA!#REF!</f>
        <v>#REF!</v>
      </c>
      <c r="O7" s="428" t="e">
        <f>PLANTILLA!#REF!</f>
        <v>#REF!</v>
      </c>
      <c r="P7" s="428" t="e">
        <f>PLANTILLA!#REF!</f>
        <v>#REF!</v>
      </c>
      <c r="Q7" s="358" t="e">
        <f t="shared" si="4"/>
        <v>#REF!</v>
      </c>
      <c r="R7" s="359" t="e">
        <f t="shared" si="5"/>
        <v>#REF!</v>
      </c>
      <c r="S7" s="164"/>
      <c r="T7" s="164"/>
      <c r="U7" s="164"/>
      <c r="V7" s="164"/>
      <c r="W7" s="164"/>
      <c r="X7" s="164"/>
      <c r="Y7" s="164"/>
      <c r="Z7" s="164"/>
      <c r="AA7" s="268" t="e">
        <f t="shared" si="6"/>
        <v>#REF!</v>
      </c>
      <c r="AB7" s="448" t="e">
        <f t="shared" si="20"/>
        <v>#REF!</v>
      </c>
      <c r="AC7" s="448" t="e">
        <f>K7+(T$2/11)</f>
        <v>#REF!</v>
      </c>
      <c r="AD7" s="448" t="e">
        <f>L7+(U$2/6.5)</f>
        <v>#REF!</v>
      </c>
      <c r="AE7" s="448" t="e">
        <f>M7+(V$2/62)</f>
        <v>#REF!</v>
      </c>
      <c r="AF7" s="448" t="e">
        <f>N7+(W$2/7)</f>
        <v>#REF!</v>
      </c>
      <c r="AG7" s="448" t="e">
        <f>O7+(X$2/21)+(Y$2/7)</f>
        <v>#REF!</v>
      </c>
      <c r="AH7" s="448" t="e">
        <f>P7+(Z$2/2.5)+(Y$2/10)</f>
        <v>#REF!</v>
      </c>
      <c r="AI7" s="371" t="e">
        <f t="shared" si="12"/>
        <v>#REF!</v>
      </c>
      <c r="AJ7" s="371" t="e">
        <f t="shared" si="13"/>
        <v>#REF!</v>
      </c>
      <c r="AK7" s="371" t="e">
        <f t="shared" si="14"/>
        <v>#REF!</v>
      </c>
      <c r="AL7" s="371" t="e">
        <f t="shared" si="15"/>
        <v>#REF!</v>
      </c>
      <c r="AM7" s="371" t="e">
        <f t="shared" si="16"/>
        <v>#REF!</v>
      </c>
      <c r="AN7" s="371" t="e">
        <f t="shared" si="17"/>
        <v>#REF!</v>
      </c>
      <c r="AO7" s="371" t="e">
        <f t="shared" si="18"/>
        <v>#REF!</v>
      </c>
      <c r="AQ7" s="374" t="s">
        <v>467</v>
      </c>
      <c r="AR7" s="277" t="str">
        <f>D8</f>
        <v>E. Toney</v>
      </c>
      <c r="AS7" s="379">
        <v>0</v>
      </c>
      <c r="AT7" s="379">
        <f>AJ8*0.919</f>
        <v>0</v>
      </c>
      <c r="AU7" s="379">
        <f>AJ8*0.414</f>
        <v>0</v>
      </c>
      <c r="AV7" s="379">
        <f>AK8*0.167</f>
        <v>0</v>
      </c>
      <c r="AW7" s="379">
        <v>0</v>
      </c>
      <c r="AX7" s="379">
        <f>AL8*0.588</f>
        <v>0</v>
      </c>
      <c r="AY7" s="379">
        <v>0</v>
      </c>
      <c r="AZ7" s="382">
        <f>(0.5*AN8+0.3*AO8)/10</f>
        <v>1.1999999999999957E-2</v>
      </c>
      <c r="BA7" s="382">
        <f>(0.4*AJ8+0.3*AO8)/10</f>
        <v>1.1999999999999957E-2</v>
      </c>
      <c r="BB7" s="381">
        <f>((AC8+1)+(AF8+1)*2)/8</f>
        <v>4.1062499999999993</v>
      </c>
      <c r="BC7" s="381">
        <f>((AJ8)+(AM8)*2)/8</f>
        <v>0</v>
      </c>
      <c r="BE7" s="374" t="s">
        <v>467</v>
      </c>
      <c r="BF7" s="233" t="str">
        <f>BF23</f>
        <v>E.Romweber</v>
      </c>
      <c r="BG7" s="379">
        <f>BG23</f>
        <v>0</v>
      </c>
      <c r="BH7" s="379">
        <f t="shared" ref="BH7:BM7" si="22">BH23</f>
        <v>0</v>
      </c>
      <c r="BI7" s="379">
        <f t="shared" si="22"/>
        <v>0</v>
      </c>
      <c r="BJ7" s="379">
        <f t="shared" si="22"/>
        <v>0</v>
      </c>
      <c r="BK7" s="379">
        <f t="shared" si="22"/>
        <v>0</v>
      </c>
      <c r="BL7" s="379">
        <f t="shared" si="22"/>
        <v>0</v>
      </c>
      <c r="BM7" s="379">
        <f t="shared" si="22"/>
        <v>0</v>
      </c>
      <c r="BN7" s="382">
        <f>BN23</f>
        <v>1.1999999999999957E-2</v>
      </c>
      <c r="BO7" s="382">
        <f t="shared" ref="BO7:BQ7" si="23">BO23</f>
        <v>1.1999999999999957E-2</v>
      </c>
      <c r="BP7" s="382">
        <f t="shared" si="23"/>
        <v>4.6062499999999993</v>
      </c>
      <c r="BQ7" s="382">
        <f t="shared" si="23"/>
        <v>0</v>
      </c>
    </row>
    <row r="8" spans="1:76" s="237" customFormat="1" x14ac:dyDescent="0.25">
      <c r="A8" s="335" t="s">
        <v>356</v>
      </c>
      <c r="B8" s="335" t="s">
        <v>2</v>
      </c>
      <c r="C8" s="336">
        <f t="shared" ca="1" si="11"/>
        <v>-3.0267857142857144</v>
      </c>
      <c r="D8" s="337" t="s">
        <v>244</v>
      </c>
      <c r="E8" s="338">
        <f>PLANTILLA!E8</f>
        <v>36</v>
      </c>
      <c r="F8" s="338">
        <f ca="1">PLANTILLA!F8</f>
        <v>3</v>
      </c>
      <c r="G8" s="339"/>
      <c r="H8" s="342">
        <v>5</v>
      </c>
      <c r="I8" s="280">
        <f>PLANTILLA!I8</f>
        <v>18</v>
      </c>
      <c r="J8" s="428">
        <f>PLANTILLA!X8</f>
        <v>0</v>
      </c>
      <c r="K8" s="428">
        <f>PLANTILLA!Y8</f>
        <v>11.95</v>
      </c>
      <c r="L8" s="428">
        <f>PLANTILLA!Z8</f>
        <v>12.95</v>
      </c>
      <c r="M8" s="428">
        <f>PLANTILLA!AA8</f>
        <v>8.9499999999999993</v>
      </c>
      <c r="N8" s="428">
        <f>PLANTILLA!AB8</f>
        <v>8.9499999999999993</v>
      </c>
      <c r="O8" s="428">
        <f>PLANTILLA!AC8</f>
        <v>1.95</v>
      </c>
      <c r="P8" s="428">
        <f>PLANTILLA!AD8</f>
        <v>17.177777777777774</v>
      </c>
      <c r="Q8" s="358">
        <f t="shared" si="4"/>
        <v>36</v>
      </c>
      <c r="R8" s="359">
        <f t="shared" ca="1" si="5"/>
        <v>10</v>
      </c>
      <c r="S8" s="164"/>
      <c r="T8" s="164"/>
      <c r="U8" s="164"/>
      <c r="V8" s="164"/>
      <c r="W8" s="164"/>
      <c r="X8" s="164"/>
      <c r="Y8" s="164"/>
      <c r="Z8" s="164"/>
      <c r="AA8" s="268">
        <f t="shared" si="6"/>
        <v>18</v>
      </c>
      <c r="AB8" s="448">
        <f t="shared" si="20"/>
        <v>0</v>
      </c>
      <c r="AC8" s="448">
        <f>K8+(T$2/11)</f>
        <v>11.95</v>
      </c>
      <c r="AD8" s="448">
        <f>L8+(U$2/29)</f>
        <v>12.95</v>
      </c>
      <c r="AE8" s="448">
        <f>M8+(V$2/13)</f>
        <v>8.9499999999999993</v>
      </c>
      <c r="AF8" s="448">
        <f>N8+(W$2/8)</f>
        <v>8.9499999999999993</v>
      </c>
      <c r="AG8" s="448">
        <f>O8+(X$2/19)+(Y$2/6)</f>
        <v>1.95</v>
      </c>
      <c r="AH8" s="448">
        <f>P8+(Z$2/2.5)+(Y$2/10)</f>
        <v>17.577777777777772</v>
      </c>
      <c r="AI8" s="371">
        <f t="shared" si="12"/>
        <v>0</v>
      </c>
      <c r="AJ8" s="371">
        <f t="shared" si="13"/>
        <v>0</v>
      </c>
      <c r="AK8" s="371">
        <f t="shared" si="14"/>
        <v>0</v>
      </c>
      <c r="AL8" s="371">
        <f t="shared" si="15"/>
        <v>0</v>
      </c>
      <c r="AM8" s="371">
        <f t="shared" si="16"/>
        <v>0</v>
      </c>
      <c r="AN8" s="371">
        <f t="shared" si="17"/>
        <v>0</v>
      </c>
      <c r="AO8" s="371">
        <f t="shared" si="18"/>
        <v>0.39999999999999858</v>
      </c>
      <c r="AQ8" s="471" t="s">
        <v>521</v>
      </c>
      <c r="AR8" s="276" t="str">
        <f>D11</f>
        <v>E.Romweber</v>
      </c>
      <c r="AS8" s="377">
        <f>AJ11*0.349</f>
        <v>0</v>
      </c>
      <c r="AT8" s="377">
        <v>0</v>
      </c>
      <c r="AU8" s="377">
        <f>AJ11*0.201</f>
        <v>0</v>
      </c>
      <c r="AV8" s="377">
        <f>AK11*0.455</f>
        <v>0</v>
      </c>
      <c r="AW8" s="377">
        <f>(AL11*0.864)+(AM11*0.244)</f>
        <v>0</v>
      </c>
      <c r="AX8" s="377">
        <v>0</v>
      </c>
      <c r="AY8" s="377">
        <f>(AM11*0.121)</f>
        <v>0</v>
      </c>
      <c r="AZ8" s="382">
        <f>(0.5*AN11+0.3*AO11)/10</f>
        <v>1.1999999999999957E-2</v>
      </c>
      <c r="BA8" s="382">
        <f>(0.4*AJ11+0.3*AO11)/10</f>
        <v>1.1999999999999957E-2</v>
      </c>
      <c r="BB8" s="380">
        <v>0</v>
      </c>
      <c r="BC8" s="380">
        <v>0</v>
      </c>
      <c r="BE8" s="471" t="s">
        <v>522</v>
      </c>
      <c r="BF8" s="276" t="str">
        <f>D12</f>
        <v>K. Helms</v>
      </c>
      <c r="BG8" s="379">
        <f>BG24</f>
        <v>0</v>
      </c>
      <c r="BH8" s="379">
        <f t="shared" ref="BH8:BQ8" si="24">BH24</f>
        <v>0</v>
      </c>
      <c r="BI8" s="379">
        <f t="shared" si="24"/>
        <v>0</v>
      </c>
      <c r="BJ8" s="379">
        <f t="shared" si="24"/>
        <v>0</v>
      </c>
      <c r="BK8" s="379">
        <f t="shared" si="24"/>
        <v>0</v>
      </c>
      <c r="BL8" s="379">
        <f t="shared" si="24"/>
        <v>0</v>
      </c>
      <c r="BM8" s="379">
        <f t="shared" si="24"/>
        <v>0</v>
      </c>
      <c r="BN8" s="382">
        <f t="shared" si="24"/>
        <v>1.1999999999999957E-2</v>
      </c>
      <c r="BO8" s="382">
        <f t="shared" si="24"/>
        <v>1.1999999999999957E-2</v>
      </c>
      <c r="BP8" s="382">
        <f t="shared" si="24"/>
        <v>0</v>
      </c>
      <c r="BQ8" s="382">
        <f t="shared" si="24"/>
        <v>0</v>
      </c>
    </row>
    <row r="9" spans="1:76" s="236" customFormat="1" x14ac:dyDescent="0.25">
      <c r="A9" s="335" t="s">
        <v>360</v>
      </c>
      <c r="B9" s="233" t="s">
        <v>2</v>
      </c>
      <c r="C9" s="234">
        <f t="shared" ca="1" si="11"/>
        <v>-2.8928571428571428</v>
      </c>
      <c r="D9" s="266" t="s">
        <v>248</v>
      </c>
      <c r="E9" s="338">
        <f>PLANTILLA!E9</f>
        <v>35</v>
      </c>
      <c r="F9" s="338">
        <f ca="1">PLANTILLA!F9</f>
        <v>100</v>
      </c>
      <c r="G9" s="339"/>
      <c r="H9" s="330">
        <v>4</v>
      </c>
      <c r="I9" s="280">
        <f>PLANTILLA!I9</f>
        <v>11.8</v>
      </c>
      <c r="J9" s="428">
        <f>PLANTILLA!X9</f>
        <v>0</v>
      </c>
      <c r="K9" s="428">
        <f>PLANTILLA!Y9</f>
        <v>11.95</v>
      </c>
      <c r="L9" s="428">
        <f>PLANTILLA!Z9</f>
        <v>5.95</v>
      </c>
      <c r="M9" s="428">
        <f>PLANTILLA!AA9</f>
        <v>6.95</v>
      </c>
      <c r="N9" s="428">
        <f>PLANTILLA!AB9</f>
        <v>7.95</v>
      </c>
      <c r="O9" s="428">
        <f>PLANTILLA!AC9</f>
        <v>2.95</v>
      </c>
      <c r="P9" s="428">
        <f>PLANTILLA!AD9</f>
        <v>16</v>
      </c>
      <c r="Q9" s="358">
        <f t="shared" si="4"/>
        <v>35</v>
      </c>
      <c r="R9" s="359">
        <f t="shared" ca="1" si="5"/>
        <v>107</v>
      </c>
      <c r="S9" s="164"/>
      <c r="T9" s="164"/>
      <c r="U9" s="164"/>
      <c r="V9" s="164"/>
      <c r="W9" s="164"/>
      <c r="X9" s="164"/>
      <c r="Y9" s="164"/>
      <c r="Z9" s="164"/>
      <c r="AA9" s="268">
        <f t="shared" si="6"/>
        <v>11.8</v>
      </c>
      <c r="AB9" s="448">
        <f t="shared" si="20"/>
        <v>0</v>
      </c>
      <c r="AC9" s="448">
        <f>K9+(T$2/10)</f>
        <v>11.95</v>
      </c>
      <c r="AD9" s="448">
        <f>L9+(U$2/31)</f>
        <v>5.95</v>
      </c>
      <c r="AE9" s="448">
        <f>M9+(V$2/6)</f>
        <v>6.95</v>
      </c>
      <c r="AF9" s="448">
        <f>N9+(W$2/7)</f>
        <v>7.95</v>
      </c>
      <c r="AG9" s="448">
        <f>O9+(X$2/21)+(Y$2/7)</f>
        <v>2.95</v>
      </c>
      <c r="AH9" s="448">
        <f>P9+(Z$2/2)+(Y$2/10)</f>
        <v>16.5</v>
      </c>
      <c r="AI9" s="371">
        <f t="shared" si="12"/>
        <v>0</v>
      </c>
      <c r="AJ9" s="371">
        <f t="shared" si="13"/>
        <v>0</v>
      </c>
      <c r="AK9" s="371">
        <f t="shared" si="14"/>
        <v>0</v>
      </c>
      <c r="AL9" s="371">
        <f t="shared" si="15"/>
        <v>0</v>
      </c>
      <c r="AM9" s="371">
        <f t="shared" si="16"/>
        <v>0</v>
      </c>
      <c r="AN9" s="371">
        <f t="shared" si="17"/>
        <v>0</v>
      </c>
      <c r="AO9" s="371">
        <f t="shared" si="18"/>
        <v>0.5</v>
      </c>
      <c r="AQ9" s="374" t="s">
        <v>427</v>
      </c>
      <c r="AR9" s="233" t="str">
        <f>D14</f>
        <v>S. Buscleman</v>
      </c>
      <c r="AS9" s="379">
        <f>AJ14*0.291</f>
        <v>0</v>
      </c>
      <c r="AT9" s="379">
        <v>0</v>
      </c>
      <c r="AU9" s="379">
        <f>AJ14*0.348</f>
        <v>0</v>
      </c>
      <c r="AV9" s="379">
        <f>AK14*0.881</f>
        <v>0</v>
      </c>
      <c r="AW9" s="379">
        <f>(AL14*0.574)+(AM14*0.315)</f>
        <v>0</v>
      </c>
      <c r="AX9" s="379">
        <v>0</v>
      </c>
      <c r="AY9" s="379">
        <f>AM14*0.241</f>
        <v>0</v>
      </c>
      <c r="AZ9" s="382">
        <f>(0.5*AN14+0.3*AO14)/10</f>
        <v>0.03</v>
      </c>
      <c r="BA9" s="382">
        <f>(0.4*AJ14+0.3*AO14)/10</f>
        <v>0.03</v>
      </c>
      <c r="BB9" s="382">
        <v>0</v>
      </c>
      <c r="BC9" s="382">
        <v>0</v>
      </c>
      <c r="BE9" s="374" t="s">
        <v>427</v>
      </c>
      <c r="BF9" s="233" t="str">
        <f>D14</f>
        <v>S. Buscleman</v>
      </c>
      <c r="BG9" s="379">
        <f t="shared" ref="BG9:BM9" si="25">AS9</f>
        <v>0</v>
      </c>
      <c r="BH9" s="379">
        <f t="shared" si="25"/>
        <v>0</v>
      </c>
      <c r="BI9" s="379">
        <f t="shared" si="25"/>
        <v>0</v>
      </c>
      <c r="BJ9" s="379">
        <f t="shared" si="25"/>
        <v>0</v>
      </c>
      <c r="BK9" s="379">
        <f t="shared" si="25"/>
        <v>0</v>
      </c>
      <c r="BL9" s="379">
        <f t="shared" si="25"/>
        <v>0</v>
      </c>
      <c r="BM9" s="379">
        <f t="shared" si="25"/>
        <v>0</v>
      </c>
      <c r="BN9" s="382">
        <f t="shared" ref="BN9" si="26">AZ9</f>
        <v>0.03</v>
      </c>
      <c r="BO9" s="382">
        <f>BA9</f>
        <v>0.03</v>
      </c>
      <c r="BP9" s="382">
        <f>BB9</f>
        <v>0</v>
      </c>
      <c r="BQ9" s="382">
        <f>BC9</f>
        <v>0</v>
      </c>
    </row>
    <row r="10" spans="1:76" s="4" customFormat="1" x14ac:dyDescent="0.25">
      <c r="A10" s="276" t="s">
        <v>466</v>
      </c>
      <c r="B10" s="233" t="s">
        <v>2</v>
      </c>
      <c r="C10" s="234">
        <f t="shared" ca="1" si="11"/>
        <v>0.9017857142857143</v>
      </c>
      <c r="D10" s="266" t="s">
        <v>465</v>
      </c>
      <c r="E10" s="338">
        <f>PLANTILLA!E10</f>
        <v>32</v>
      </c>
      <c r="F10" s="338">
        <f ca="1">PLANTILLA!F10</f>
        <v>11</v>
      </c>
      <c r="G10" s="339"/>
      <c r="H10" s="342">
        <v>5</v>
      </c>
      <c r="I10" s="280">
        <f>PLANTILLA!I10</f>
        <v>6.3</v>
      </c>
      <c r="J10" s="428">
        <f>PLANTILLA!X10</f>
        <v>0</v>
      </c>
      <c r="K10" s="428">
        <f>PLANTILLA!Y10</f>
        <v>9.6046666666666667</v>
      </c>
      <c r="L10" s="428">
        <f>PLANTILLA!Z10</f>
        <v>7.7607222222222223</v>
      </c>
      <c r="M10" s="428">
        <f>PLANTILLA!AA10</f>
        <v>6.1599999999999984</v>
      </c>
      <c r="N10" s="428">
        <f>PLANTILLA!AB10</f>
        <v>8.8633333333333315</v>
      </c>
      <c r="O10" s="428">
        <f>PLANTILLA!AC10</f>
        <v>2.95</v>
      </c>
      <c r="P10" s="428">
        <f>PLANTILLA!AD10</f>
        <v>13.33611111111111</v>
      </c>
      <c r="Q10" s="358">
        <f t="shared" si="4"/>
        <v>32</v>
      </c>
      <c r="R10" s="359">
        <f t="shared" ca="1" si="5"/>
        <v>18</v>
      </c>
      <c r="S10" s="164"/>
      <c r="T10" s="164"/>
      <c r="U10" s="164"/>
      <c r="V10" s="164"/>
      <c r="W10" s="164"/>
      <c r="X10" s="164"/>
      <c r="Y10" s="164"/>
      <c r="Z10" s="164"/>
      <c r="AA10" s="268">
        <f t="shared" si="6"/>
        <v>6.3</v>
      </c>
      <c r="AB10" s="448">
        <f t="shared" si="20"/>
        <v>0</v>
      </c>
      <c r="AC10" s="448">
        <f>K10+(T$2/25)</f>
        <v>9.6046666666666667</v>
      </c>
      <c r="AD10" s="448">
        <f>L10+(U$2/37)</f>
        <v>7.7607222222222223</v>
      </c>
      <c r="AE10" s="448">
        <f>M10+(V$2/20)</f>
        <v>6.1599999999999984</v>
      </c>
      <c r="AF10" s="448">
        <f>N10+(W$2/8)</f>
        <v>8.8633333333333315</v>
      </c>
      <c r="AG10" s="448">
        <f>O10+(X$2/18)+(Y$2/5)</f>
        <v>2.95</v>
      </c>
      <c r="AH10" s="448">
        <f>P10+(Z$2/1.2)+(Y$2/10)</f>
        <v>14.169444444444444</v>
      </c>
      <c r="AI10" s="371">
        <f t="shared" si="12"/>
        <v>0</v>
      </c>
      <c r="AJ10" s="371">
        <f t="shared" si="13"/>
        <v>0</v>
      </c>
      <c r="AK10" s="371">
        <f t="shared" si="14"/>
        <v>0</v>
      </c>
      <c r="AL10" s="371">
        <f t="shared" si="15"/>
        <v>0</v>
      </c>
      <c r="AM10" s="371">
        <f t="shared" si="16"/>
        <v>0</v>
      </c>
      <c r="AN10" s="371">
        <f t="shared" si="17"/>
        <v>0</v>
      </c>
      <c r="AO10" s="371">
        <f t="shared" si="18"/>
        <v>0.83333333333333393</v>
      </c>
      <c r="AQ10" s="374" t="s">
        <v>523</v>
      </c>
      <c r="AR10" s="233" t="str">
        <f>D17</f>
        <v>L. Bauman</v>
      </c>
      <c r="AS10" s="379">
        <f>AJ17*0.057</f>
        <v>0</v>
      </c>
      <c r="AT10" s="379">
        <f>AS10</f>
        <v>0</v>
      </c>
      <c r="AU10" s="379">
        <f>AJ17*0.162</f>
        <v>0</v>
      </c>
      <c r="AV10" s="379">
        <f>AK17*0.944</f>
        <v>0</v>
      </c>
      <c r="AW10" s="379">
        <f>AM17*0.188</f>
        <v>0</v>
      </c>
      <c r="AX10" s="379">
        <f>AW10</f>
        <v>0</v>
      </c>
      <c r="AY10" s="379">
        <f>AM17*0.507+AN17*0.31</f>
        <v>0</v>
      </c>
      <c r="AZ10" s="382">
        <f>(0.5*AN17+0.3*AO17)/10</f>
        <v>1.1999999999999957E-2</v>
      </c>
      <c r="BA10" s="382">
        <f>(0.4*AJ17+0.3*AO17)/10</f>
        <v>1.1999999999999957E-2</v>
      </c>
      <c r="BB10" s="382">
        <v>0</v>
      </c>
      <c r="BC10" s="382">
        <v>0</v>
      </c>
      <c r="BE10" s="374" t="s">
        <v>520</v>
      </c>
      <c r="BF10" s="233" t="str">
        <f>BF22</f>
        <v>B. Bartolache</v>
      </c>
      <c r="BG10" s="379">
        <f>BG22</f>
        <v>0</v>
      </c>
      <c r="BH10" s="379">
        <f t="shared" ref="BH10:BM10" si="27">BH22</f>
        <v>0</v>
      </c>
      <c r="BI10" s="379">
        <f t="shared" si="27"/>
        <v>0</v>
      </c>
      <c r="BJ10" s="379">
        <f t="shared" si="27"/>
        <v>0</v>
      </c>
      <c r="BK10" s="379">
        <f t="shared" si="27"/>
        <v>0</v>
      </c>
      <c r="BL10" s="379">
        <f t="shared" si="27"/>
        <v>0</v>
      </c>
      <c r="BM10" s="379">
        <f t="shared" si="27"/>
        <v>0</v>
      </c>
      <c r="BN10" s="382">
        <f>AZ7</f>
        <v>1.1999999999999957E-2</v>
      </c>
      <c r="BO10" s="382">
        <f>BA7</f>
        <v>1.1999999999999957E-2</v>
      </c>
      <c r="BP10" s="382">
        <f t="shared" ref="BP10:BQ10" si="28">BP22</f>
        <v>4.1062499999999993</v>
      </c>
      <c r="BQ10" s="382">
        <f t="shared" si="28"/>
        <v>0</v>
      </c>
    </row>
    <row r="11" spans="1:76" x14ac:dyDescent="0.25">
      <c r="A11" s="335" t="s">
        <v>354</v>
      </c>
      <c r="B11" s="335" t="s">
        <v>65</v>
      </c>
      <c r="C11" s="336">
        <f t="shared" ca="1" si="11"/>
        <v>-2.6875</v>
      </c>
      <c r="D11" s="337" t="s">
        <v>245</v>
      </c>
      <c r="E11" s="338">
        <f>PLANTILLA!E11</f>
        <v>35</v>
      </c>
      <c r="F11" s="338">
        <f ca="1">PLANTILLA!F11</f>
        <v>77</v>
      </c>
      <c r="G11" s="339" t="s">
        <v>246</v>
      </c>
      <c r="H11" s="330">
        <v>1</v>
      </c>
      <c r="I11" s="280">
        <f>PLANTILLA!I11</f>
        <v>17.100000000000001</v>
      </c>
      <c r="J11" s="428">
        <f>PLANTILLA!X11</f>
        <v>0</v>
      </c>
      <c r="K11" s="428">
        <f>PLANTILLA!Y11</f>
        <v>11.95</v>
      </c>
      <c r="L11" s="428">
        <f>PLANTILLA!Z11</f>
        <v>12.614111111111114</v>
      </c>
      <c r="M11" s="428">
        <f>PLANTILLA!AA11</f>
        <v>12.95</v>
      </c>
      <c r="N11" s="428">
        <f>PLANTILLA!AB11</f>
        <v>10.95</v>
      </c>
      <c r="O11" s="428">
        <f>PLANTILLA!AC11</f>
        <v>5.95</v>
      </c>
      <c r="P11" s="428">
        <f>PLANTILLA!AD11</f>
        <v>17.529999999999998</v>
      </c>
      <c r="Q11" s="358">
        <f t="shared" si="4"/>
        <v>35</v>
      </c>
      <c r="R11" s="359">
        <f t="shared" ca="1" si="5"/>
        <v>84</v>
      </c>
      <c r="S11" s="164"/>
      <c r="T11" s="164"/>
      <c r="U11" s="164"/>
      <c r="V11" s="164"/>
      <c r="W11" s="164"/>
      <c r="X11" s="164"/>
      <c r="Y11" s="164"/>
      <c r="Z11" s="164"/>
      <c r="AA11" s="268">
        <f t="shared" si="6"/>
        <v>17.100000000000001</v>
      </c>
      <c r="AB11" s="448">
        <f t="shared" si="20"/>
        <v>0</v>
      </c>
      <c r="AC11" s="448">
        <f>K11+(T$2/10)</f>
        <v>11.95</v>
      </c>
      <c r="AD11" s="448">
        <f>L11+(U$2/18)</f>
        <v>12.614111111111114</v>
      </c>
      <c r="AE11" s="448">
        <f>M11+(V$2/15)</f>
        <v>12.95</v>
      </c>
      <c r="AF11" s="448">
        <f>N11+(W$2/8)</f>
        <v>10.95</v>
      </c>
      <c r="AG11" s="448">
        <f>O11+(X$2/5)+(Y$2/4)/2</f>
        <v>5.95</v>
      </c>
      <c r="AH11" s="448">
        <f>P11+(Z$2/2.5)+(Y$2/10)</f>
        <v>17.929999999999996</v>
      </c>
      <c r="AI11" s="371">
        <f t="shared" si="12"/>
        <v>0</v>
      </c>
      <c r="AJ11" s="371">
        <f t="shared" si="13"/>
        <v>0</v>
      </c>
      <c r="AK11" s="371">
        <f t="shared" si="14"/>
        <v>0</v>
      </c>
      <c r="AL11" s="371">
        <f t="shared" si="15"/>
        <v>0</v>
      </c>
      <c r="AM11" s="371">
        <f t="shared" si="16"/>
        <v>0</v>
      </c>
      <c r="AN11" s="371">
        <f t="shared" si="17"/>
        <v>0</v>
      </c>
      <c r="AO11" s="371">
        <f t="shared" si="18"/>
        <v>0.39999999999999858</v>
      </c>
      <c r="AQ11" s="374" t="s">
        <v>427</v>
      </c>
      <c r="AR11" s="233" t="str">
        <f>D15</f>
        <v>C. Rojas</v>
      </c>
      <c r="AS11" s="379">
        <v>0</v>
      </c>
      <c r="AT11" s="379">
        <f>AJ15*0.291</f>
        <v>0</v>
      </c>
      <c r="AU11" s="379">
        <f>AJ15*0.348</f>
        <v>0</v>
      </c>
      <c r="AV11" s="379">
        <f>AK15*0.881</f>
        <v>0</v>
      </c>
      <c r="AW11" s="379">
        <v>0</v>
      </c>
      <c r="AX11" s="379">
        <f>(AL15*0.574)+(AM15*0.314)</f>
        <v>0</v>
      </c>
      <c r="AY11" s="379">
        <f>AM15*0.241</f>
        <v>0</v>
      </c>
      <c r="AZ11" s="382">
        <f>(0.5*AN15+0.3*AO15)/10</f>
        <v>1.4999999999999999E-2</v>
      </c>
      <c r="BA11" s="382">
        <f>(0.4*AJ15+0.3*AO15)/10</f>
        <v>1.4999999999999999E-2</v>
      </c>
      <c r="BB11" s="382">
        <v>0</v>
      </c>
      <c r="BC11" s="382">
        <v>0</v>
      </c>
      <c r="BE11" s="374" t="s">
        <v>427</v>
      </c>
      <c r="BF11" s="233" t="str">
        <f>D15</f>
        <v>C. Rojas</v>
      </c>
      <c r="BG11" s="379">
        <f>BG26</f>
        <v>0</v>
      </c>
      <c r="BH11" s="379">
        <f t="shared" ref="BH11:BM11" si="29">BH26</f>
        <v>0</v>
      </c>
      <c r="BI11" s="379">
        <f t="shared" si="29"/>
        <v>0</v>
      </c>
      <c r="BJ11" s="379">
        <f t="shared" si="29"/>
        <v>0</v>
      </c>
      <c r="BK11" s="379">
        <f t="shared" si="29"/>
        <v>0</v>
      </c>
      <c r="BL11" s="379">
        <f t="shared" si="29"/>
        <v>0</v>
      </c>
      <c r="BM11" s="379">
        <f t="shared" si="29"/>
        <v>0</v>
      </c>
      <c r="BN11" s="382">
        <f>BN26</f>
        <v>1.4999999999999999E-2</v>
      </c>
      <c r="BO11" s="382">
        <f t="shared" ref="BO11:BQ11" si="30">BO26</f>
        <v>1.4999999999999999E-2</v>
      </c>
      <c r="BP11" s="382">
        <f t="shared" si="30"/>
        <v>0</v>
      </c>
      <c r="BQ11" s="382">
        <f t="shared" si="30"/>
        <v>0</v>
      </c>
    </row>
    <row r="12" spans="1:76" s="236" customFormat="1" x14ac:dyDescent="0.25">
      <c r="A12" s="335" t="s">
        <v>361</v>
      </c>
      <c r="B12" s="335" t="s">
        <v>65</v>
      </c>
      <c r="C12" s="336">
        <f t="shared" ca="1" si="11"/>
        <v>-2.2142857142857144</v>
      </c>
      <c r="D12" s="337" t="s">
        <v>258</v>
      </c>
      <c r="E12" s="338">
        <f>PLANTILLA!E12</f>
        <v>35</v>
      </c>
      <c r="F12" s="338">
        <f ca="1">PLANTILLA!F12</f>
        <v>24</v>
      </c>
      <c r="G12" s="339" t="s">
        <v>243</v>
      </c>
      <c r="H12" s="330">
        <v>3</v>
      </c>
      <c r="I12" s="280">
        <f>PLANTILLA!I12</f>
        <v>13.5</v>
      </c>
      <c r="J12" s="428">
        <f>PLANTILLA!X12</f>
        <v>0</v>
      </c>
      <c r="K12" s="428">
        <f>PLANTILLA!Y12</f>
        <v>7.2503030303030309</v>
      </c>
      <c r="L12" s="428">
        <f>PLANTILLA!Z12</f>
        <v>10.600000000000005</v>
      </c>
      <c r="M12" s="428">
        <f>PLANTILLA!AA12</f>
        <v>13.471666666666668</v>
      </c>
      <c r="N12" s="428">
        <f>PLANTILLA!AB12</f>
        <v>9.9499999999999993</v>
      </c>
      <c r="O12" s="428">
        <f>PLANTILLA!AC12</f>
        <v>3.95</v>
      </c>
      <c r="P12" s="428">
        <f>PLANTILLA!AD12</f>
        <v>18</v>
      </c>
      <c r="Q12" s="358">
        <f t="shared" si="4"/>
        <v>35</v>
      </c>
      <c r="R12" s="359">
        <f t="shared" ca="1" si="5"/>
        <v>31</v>
      </c>
      <c r="S12" s="164"/>
      <c r="T12" s="164"/>
      <c r="U12" s="164"/>
      <c r="V12" s="164"/>
      <c r="W12" s="164"/>
      <c r="X12" s="164"/>
      <c r="Y12" s="164"/>
      <c r="Z12" s="164"/>
      <c r="AA12" s="268">
        <f t="shared" si="6"/>
        <v>13.5</v>
      </c>
      <c r="AB12" s="448">
        <f t="shared" si="20"/>
        <v>0</v>
      </c>
      <c r="AC12" s="448">
        <f>K12+(T$2/7)</f>
        <v>7.2503030303030309</v>
      </c>
      <c r="AD12" s="448">
        <f>L12+(U$2/7)</f>
        <v>10.600000000000005</v>
      </c>
      <c r="AE12" s="448">
        <f>M12+(V$2/8)</f>
        <v>13.471666666666668</v>
      </c>
      <c r="AF12" s="448">
        <f>N12+(W$2/8)</f>
        <v>9.9499999999999993</v>
      </c>
      <c r="AG12" s="448">
        <f>O12+(X$2/4)+(Y$2/6)</f>
        <v>3.95</v>
      </c>
      <c r="AH12" s="448">
        <f>P12+(Z$2/2.5)+(Y$2/10)</f>
        <v>18.399999999999999</v>
      </c>
      <c r="AI12" s="371">
        <f t="shared" si="12"/>
        <v>0</v>
      </c>
      <c r="AJ12" s="371">
        <f t="shared" si="13"/>
        <v>0</v>
      </c>
      <c r="AK12" s="371">
        <f t="shared" si="14"/>
        <v>0</v>
      </c>
      <c r="AL12" s="371">
        <f t="shared" si="15"/>
        <v>0</v>
      </c>
      <c r="AM12" s="371">
        <f t="shared" si="16"/>
        <v>0</v>
      </c>
      <c r="AN12" s="371">
        <f t="shared" si="17"/>
        <v>0</v>
      </c>
      <c r="AO12" s="371">
        <f t="shared" si="18"/>
        <v>0.39999999999999858</v>
      </c>
      <c r="AQ12" s="472" t="s">
        <v>522</v>
      </c>
      <c r="AR12" s="233" t="str">
        <f>D12</f>
        <v>K. Helms</v>
      </c>
      <c r="AS12" s="379">
        <v>0</v>
      </c>
      <c r="AT12" s="379">
        <f>AJ12*0.18</f>
        <v>0</v>
      </c>
      <c r="AU12" s="379">
        <f>AJ12*0.068</f>
        <v>0</v>
      </c>
      <c r="AV12" s="379">
        <f>AK12*0.305</f>
        <v>0</v>
      </c>
      <c r="AW12" s="379">
        <v>0</v>
      </c>
      <c r="AX12" s="379">
        <f>(AL12*1)+(AM12*0.286)</f>
        <v>0</v>
      </c>
      <c r="AY12" s="379">
        <f>AM12*0.135</f>
        <v>0</v>
      </c>
      <c r="AZ12" s="382">
        <f>(0.5*AN12+0.3*AO12)/10</f>
        <v>1.1999999999999957E-2</v>
      </c>
      <c r="BA12" s="382">
        <f>(0.4*AJ12+0.3*AO12)/10</f>
        <v>1.1999999999999957E-2</v>
      </c>
      <c r="BB12" s="382">
        <v>0</v>
      </c>
      <c r="BC12" s="382">
        <v>0</v>
      </c>
      <c r="BE12" s="472" t="s">
        <v>522</v>
      </c>
      <c r="BF12" s="233" t="str">
        <f>BF27</f>
        <v>S. Zobbe</v>
      </c>
      <c r="BG12" s="379">
        <f>BG27</f>
        <v>0</v>
      </c>
      <c r="BH12" s="379">
        <f t="shared" ref="BH12:BM12" si="31">BH27</f>
        <v>0</v>
      </c>
      <c r="BI12" s="379">
        <f t="shared" si="31"/>
        <v>0</v>
      </c>
      <c r="BJ12" s="379">
        <f t="shared" si="31"/>
        <v>0</v>
      </c>
      <c r="BK12" s="379">
        <f t="shared" si="31"/>
        <v>0</v>
      </c>
      <c r="BL12" s="379">
        <f t="shared" si="31"/>
        <v>0</v>
      </c>
      <c r="BM12" s="379">
        <f t="shared" si="31"/>
        <v>0</v>
      </c>
      <c r="BN12" s="382">
        <f>BN27</f>
        <v>1.4999999999999999E-2</v>
      </c>
      <c r="BO12" s="382">
        <f t="shared" ref="BO12:BQ12" si="32">BO27</f>
        <v>1.4999999999999999E-2</v>
      </c>
      <c r="BP12" s="382">
        <f t="shared" si="32"/>
        <v>0</v>
      </c>
      <c r="BQ12" s="382">
        <f t="shared" si="32"/>
        <v>0</v>
      </c>
    </row>
    <row r="13" spans="1:76" s="237" customFormat="1" x14ac:dyDescent="0.25">
      <c r="A13" s="335" t="s">
        <v>430</v>
      </c>
      <c r="B13" s="335" t="s">
        <v>65</v>
      </c>
      <c r="C13" s="336">
        <f t="shared" ca="1" si="11"/>
        <v>0.6517857142857143</v>
      </c>
      <c r="D13" s="337" t="s">
        <v>431</v>
      </c>
      <c r="E13" s="338">
        <f>PLANTILLA!E13</f>
        <v>32</v>
      </c>
      <c r="F13" s="338">
        <f ca="1">PLANTILLA!F13</f>
        <v>39</v>
      </c>
      <c r="G13" s="339" t="s">
        <v>426</v>
      </c>
      <c r="H13" s="330">
        <v>3</v>
      </c>
      <c r="I13" s="280">
        <f>PLANTILLA!I13</f>
        <v>13</v>
      </c>
      <c r="J13" s="428">
        <f>PLANTILLA!X13</f>
        <v>0</v>
      </c>
      <c r="K13" s="428">
        <f>PLANTILLA!Y13</f>
        <v>8.3599999999999977</v>
      </c>
      <c r="L13" s="428">
        <f>PLANTILLA!Z13</f>
        <v>12.253412698412699</v>
      </c>
      <c r="M13" s="428">
        <f>PLANTILLA!AA13</f>
        <v>12.95</v>
      </c>
      <c r="N13" s="428">
        <f>PLANTILLA!AB13</f>
        <v>10.24</v>
      </c>
      <c r="O13" s="428">
        <f>PLANTILLA!AC13</f>
        <v>6.95</v>
      </c>
      <c r="P13" s="428">
        <f>PLANTILLA!AD13</f>
        <v>16</v>
      </c>
      <c r="Q13" s="358">
        <f t="shared" si="4"/>
        <v>32</v>
      </c>
      <c r="R13" s="359">
        <f t="shared" ca="1" si="5"/>
        <v>46</v>
      </c>
      <c r="S13" s="164"/>
      <c r="T13" s="164"/>
      <c r="U13" s="164"/>
      <c r="V13" s="164"/>
      <c r="W13" s="164"/>
      <c r="X13" s="164"/>
      <c r="Y13" s="164"/>
      <c r="Z13" s="164"/>
      <c r="AA13" s="268">
        <f t="shared" si="6"/>
        <v>13</v>
      </c>
      <c r="AB13" s="448">
        <f t="shared" si="20"/>
        <v>0</v>
      </c>
      <c r="AC13" s="448">
        <f>K13+(T$2/6.5)</f>
        <v>8.3599999999999977</v>
      </c>
      <c r="AD13" s="448">
        <f>L13+(U$2/8)</f>
        <v>12.253412698412699</v>
      </c>
      <c r="AE13" s="448">
        <f>M13+(V$2/6)</f>
        <v>12.95</v>
      </c>
      <c r="AF13" s="448">
        <f>N13+(W$2/8)</f>
        <v>10.24</v>
      </c>
      <c r="AG13" s="448">
        <f>O13+(X$2/4.5)+(Y$2/3.5)/2</f>
        <v>6.95</v>
      </c>
      <c r="AH13" s="448">
        <f>P13+(Z$2/2)+(Y$2/10)</f>
        <v>16.5</v>
      </c>
      <c r="AI13" s="371">
        <f t="shared" si="12"/>
        <v>0</v>
      </c>
      <c r="AJ13" s="371">
        <f t="shared" si="13"/>
        <v>0</v>
      </c>
      <c r="AK13" s="371">
        <f t="shared" si="14"/>
        <v>0</v>
      </c>
      <c r="AL13" s="371">
        <f t="shared" si="15"/>
        <v>0</v>
      </c>
      <c r="AM13" s="371">
        <f t="shared" si="16"/>
        <v>0</v>
      </c>
      <c r="AN13" s="371">
        <f t="shared" si="17"/>
        <v>0</v>
      </c>
      <c r="AO13" s="371">
        <f t="shared" si="18"/>
        <v>0.5</v>
      </c>
      <c r="AQ13" s="471" t="s">
        <v>66</v>
      </c>
      <c r="AR13" s="276" t="str">
        <f>D21</f>
        <v>J. Limon</v>
      </c>
      <c r="AS13" s="377">
        <v>0</v>
      </c>
      <c r="AT13" s="377">
        <v>0</v>
      </c>
      <c r="AU13" s="377">
        <v>0</v>
      </c>
      <c r="AV13" s="377">
        <f>AK21*0.25</f>
        <v>0</v>
      </c>
      <c r="AW13" s="377">
        <f>(AM21*0.142)+(AL21*0.221)+(AN21*0.26)</f>
        <v>0</v>
      </c>
      <c r="AX13" s="377">
        <f>AW13</f>
        <v>0</v>
      </c>
      <c r="AY13" s="377">
        <f>(AM21*0.369)+(AN21*1)</f>
        <v>0</v>
      </c>
      <c r="AZ13" s="495">
        <f>((0.5*AN21+0.3*AO21)/10)+0.09*AO21</f>
        <v>0.06</v>
      </c>
      <c r="BA13" s="495">
        <f>(0.4*AJ21+0.3*AO21)/10</f>
        <v>1.4999999999999999E-2</v>
      </c>
      <c r="BB13" s="380">
        <v>0</v>
      </c>
      <c r="BC13" s="380">
        <v>0</v>
      </c>
      <c r="BE13" s="471" t="s">
        <v>519</v>
      </c>
      <c r="BF13" s="276" t="str">
        <f>D21</f>
        <v>J. Limon</v>
      </c>
      <c r="BG13" s="377">
        <v>0</v>
      </c>
      <c r="BH13" s="377">
        <v>0</v>
      </c>
      <c r="BI13" s="377">
        <v>0</v>
      </c>
      <c r="BJ13" s="377">
        <f>AK21*0.25</f>
        <v>0</v>
      </c>
      <c r="BK13" s="377">
        <f>(AM21*0.209)+(AL21*0.607)+(AN21*0.524)</f>
        <v>0</v>
      </c>
      <c r="BL13" s="377">
        <v>0</v>
      </c>
      <c r="BM13" s="377">
        <f>(AM21*0.261)+(AN21*0.607)</f>
        <v>0</v>
      </c>
      <c r="BN13" s="496">
        <f>AZ13</f>
        <v>0.06</v>
      </c>
      <c r="BO13" s="496">
        <f>BA13</f>
        <v>1.4999999999999999E-2</v>
      </c>
      <c r="BP13" s="380">
        <v>0</v>
      </c>
      <c r="BQ13" s="380">
        <v>0</v>
      </c>
    </row>
    <row r="14" spans="1:76" s="236" customFormat="1" x14ac:dyDescent="0.25">
      <c r="A14" s="335" t="s">
        <v>357</v>
      </c>
      <c r="B14" s="233" t="s">
        <v>64</v>
      </c>
      <c r="C14" s="234">
        <f t="shared" ca="1" si="11"/>
        <v>-1.3214285714285714</v>
      </c>
      <c r="D14" s="266" t="s">
        <v>364</v>
      </c>
      <c r="E14" s="338">
        <f>PLANTILLA!E14</f>
        <v>34</v>
      </c>
      <c r="F14" s="338">
        <f ca="1">PLANTILLA!F14</f>
        <v>36</v>
      </c>
      <c r="G14" s="339" t="s">
        <v>243</v>
      </c>
      <c r="H14" s="330">
        <v>4</v>
      </c>
      <c r="I14" s="280">
        <f>PLANTILLA!I14</f>
        <v>14.8</v>
      </c>
      <c r="J14" s="428">
        <f>PLANTILLA!X14</f>
        <v>0</v>
      </c>
      <c r="K14" s="428">
        <f>PLANTILLA!Y14</f>
        <v>9.3036666666666648</v>
      </c>
      <c r="L14" s="428">
        <f>PLANTILLA!Z14</f>
        <v>14</v>
      </c>
      <c r="M14" s="428">
        <f>PLANTILLA!AA14</f>
        <v>12.945</v>
      </c>
      <c r="N14" s="428">
        <f>PLANTILLA!AB14</f>
        <v>9.9499999999999993</v>
      </c>
      <c r="O14" s="428">
        <f>PLANTILLA!AC14</f>
        <v>3.95</v>
      </c>
      <c r="P14" s="428">
        <f>PLANTILLA!AD14</f>
        <v>16</v>
      </c>
      <c r="Q14" s="358">
        <f t="shared" si="4"/>
        <v>34</v>
      </c>
      <c r="R14" s="359">
        <f t="shared" ca="1" si="5"/>
        <v>43</v>
      </c>
      <c r="S14" s="164"/>
      <c r="T14" s="164"/>
      <c r="U14" s="164"/>
      <c r="V14" s="164"/>
      <c r="W14" s="164"/>
      <c r="X14" s="164"/>
      <c r="Y14" s="164"/>
      <c r="Z14" s="164"/>
      <c r="AA14" s="268">
        <f t="shared" si="6"/>
        <v>14.8</v>
      </c>
      <c r="AB14" s="448">
        <f t="shared" si="20"/>
        <v>0</v>
      </c>
      <c r="AC14" s="448">
        <f>K14+(T$2/50)</f>
        <v>9.3036666666666648</v>
      </c>
      <c r="AD14" s="448">
        <f>L14+(U$2/10)</f>
        <v>14</v>
      </c>
      <c r="AE14" s="448">
        <f>M14+(V$2/15)</f>
        <v>12.945</v>
      </c>
      <c r="AF14" s="448">
        <f>N14+(W$2/7.5)</f>
        <v>9.9499999999999993</v>
      </c>
      <c r="AG14" s="448">
        <f>O14+(X$2/3.5)+(Y$2/6)</f>
        <v>3.95</v>
      </c>
      <c r="AH14" s="448">
        <f>P14+(Z$2/1)+(Y$2/10)</f>
        <v>17</v>
      </c>
      <c r="AI14" s="371">
        <f t="shared" si="12"/>
        <v>0</v>
      </c>
      <c r="AJ14" s="371">
        <f t="shared" si="13"/>
        <v>0</v>
      </c>
      <c r="AK14" s="371">
        <f t="shared" si="14"/>
        <v>0</v>
      </c>
      <c r="AL14" s="371">
        <f t="shared" si="15"/>
        <v>0</v>
      </c>
      <c r="AM14" s="371">
        <f t="shared" si="16"/>
        <v>0</v>
      </c>
      <c r="AN14" s="371">
        <f t="shared" si="17"/>
        <v>0</v>
      </c>
      <c r="AO14" s="371">
        <f t="shared" si="18"/>
        <v>1</v>
      </c>
      <c r="AQ14" s="472" t="s">
        <v>66</v>
      </c>
      <c r="AR14" s="233" t="str">
        <f>D13</f>
        <v>S. Zobbe</v>
      </c>
      <c r="AS14" s="379">
        <v>0</v>
      </c>
      <c r="AT14" s="379">
        <v>0</v>
      </c>
      <c r="AU14" s="379">
        <v>0</v>
      </c>
      <c r="AV14" s="377">
        <f>AK13*0.25</f>
        <v>0</v>
      </c>
      <c r="AW14" s="377">
        <f>(AM13*0.142)+(AL13*0.221)+(AN13*0.26)</f>
        <v>0</v>
      </c>
      <c r="AX14" s="377">
        <f>AW14</f>
        <v>0</v>
      </c>
      <c r="AY14" s="377">
        <f>(AM13*0.369)+(AN13*1)</f>
        <v>0</v>
      </c>
      <c r="AZ14" s="382">
        <f>(0.5*AN13+0.3*AO13)/10</f>
        <v>1.4999999999999999E-2</v>
      </c>
      <c r="BA14" s="382">
        <f>(0.4*AJ13+0.3*AO13)/10</f>
        <v>1.4999999999999999E-2</v>
      </c>
      <c r="BB14" s="380">
        <v>0</v>
      </c>
      <c r="BC14" s="380">
        <v>0</v>
      </c>
      <c r="BE14" s="472" t="s">
        <v>519</v>
      </c>
      <c r="BF14" s="233" t="s">
        <v>593</v>
      </c>
      <c r="BG14" s="379">
        <v>0</v>
      </c>
      <c r="BH14" s="379">
        <v>0</v>
      </c>
      <c r="BI14" s="379">
        <v>0</v>
      </c>
      <c r="BJ14" s="377">
        <f>AK23*0.25</f>
        <v>0</v>
      </c>
      <c r="BK14" s="377">
        <v>0</v>
      </c>
      <c r="BL14" s="377">
        <f>(AM23*0.209)+(AL23*0.607)+(AN23*0.524)</f>
        <v>0</v>
      </c>
      <c r="BM14" s="377">
        <f>(AM23*0.261)+(AN23*0.607)</f>
        <v>0</v>
      </c>
      <c r="BN14" s="380">
        <f>AZ20</f>
        <v>1.9999999999999983E-2</v>
      </c>
      <c r="BO14" s="380">
        <f>BA20</f>
        <v>1.9999999999999983E-2</v>
      </c>
      <c r="BP14" s="380">
        <v>0</v>
      </c>
      <c r="BQ14" s="380">
        <v>0</v>
      </c>
    </row>
    <row r="15" spans="1:76" s="229" customFormat="1" x14ac:dyDescent="0.25">
      <c r="A15" s="277" t="s">
        <v>358</v>
      </c>
      <c r="B15" s="335" t="s">
        <v>64</v>
      </c>
      <c r="C15" s="336">
        <f t="shared" ca="1" si="11"/>
        <v>-3.625</v>
      </c>
      <c r="D15" s="337" t="s">
        <v>252</v>
      </c>
      <c r="E15" s="338">
        <f>PLANTILLA!E15</f>
        <v>36</v>
      </c>
      <c r="F15" s="338">
        <f ca="1">PLANTILLA!F15</f>
        <v>70</v>
      </c>
      <c r="G15" s="339" t="s">
        <v>243</v>
      </c>
      <c r="H15" s="342">
        <v>5</v>
      </c>
      <c r="I15" s="280">
        <f>PLANTILLA!I15</f>
        <v>14.4</v>
      </c>
      <c r="J15" s="428">
        <f>PLANTILLA!X15</f>
        <v>0</v>
      </c>
      <c r="K15" s="428">
        <f>PLANTILLA!Y15</f>
        <v>7.95</v>
      </c>
      <c r="L15" s="428">
        <f>PLANTILLA!Z15</f>
        <v>13.95</v>
      </c>
      <c r="M15" s="428">
        <f>PLANTILLA!AA15</f>
        <v>8.9499999999999993</v>
      </c>
      <c r="N15" s="428">
        <f>PLANTILLA!AB15</f>
        <v>9.9499999999999993</v>
      </c>
      <c r="O15" s="428">
        <f>PLANTILLA!AC15</f>
        <v>1.95</v>
      </c>
      <c r="P15" s="428">
        <f>PLANTILLA!AD15</f>
        <v>17.144444444444439</v>
      </c>
      <c r="Q15" s="358">
        <f t="shared" si="4"/>
        <v>36</v>
      </c>
      <c r="R15" s="359">
        <f t="shared" ca="1" si="5"/>
        <v>77</v>
      </c>
      <c r="S15" s="164"/>
      <c r="T15" s="164"/>
      <c r="U15" s="164"/>
      <c r="V15" s="164"/>
      <c r="W15" s="164"/>
      <c r="X15" s="164"/>
      <c r="Y15" s="164"/>
      <c r="Z15" s="164"/>
      <c r="AA15" s="268">
        <f t="shared" si="6"/>
        <v>14.4</v>
      </c>
      <c r="AB15" s="448">
        <f t="shared" si="20"/>
        <v>0</v>
      </c>
      <c r="AC15" s="448">
        <f>K15+(T$2/50)</f>
        <v>7.95</v>
      </c>
      <c r="AD15" s="448">
        <f>L15+(U$2/11)</f>
        <v>13.95</v>
      </c>
      <c r="AE15" s="448">
        <f>M15+(V$2/15)</f>
        <v>8.9499999999999993</v>
      </c>
      <c r="AF15" s="448">
        <f>N15+(W$2/8)</f>
        <v>9.9499999999999993</v>
      </c>
      <c r="AG15" s="448">
        <f>O15+(X$2/22)+(Y$2/7)</f>
        <v>1.95</v>
      </c>
      <c r="AH15" s="448">
        <f>P15+(Z$2/2)+(Y$2/10)</f>
        <v>17.644444444444439</v>
      </c>
      <c r="AI15" s="371">
        <f t="shared" si="12"/>
        <v>0</v>
      </c>
      <c r="AJ15" s="371">
        <f t="shared" si="13"/>
        <v>0</v>
      </c>
      <c r="AK15" s="371">
        <f t="shared" si="14"/>
        <v>0</v>
      </c>
      <c r="AL15" s="371">
        <f t="shared" si="15"/>
        <v>0</v>
      </c>
      <c r="AM15" s="371">
        <f t="shared" si="16"/>
        <v>0</v>
      </c>
      <c r="AN15" s="371">
        <f t="shared" si="17"/>
        <v>0</v>
      </c>
      <c r="AO15" s="371">
        <f t="shared" si="18"/>
        <v>0.5</v>
      </c>
      <c r="AQ15" s="375"/>
      <c r="AR15" s="376"/>
      <c r="AS15" s="376"/>
      <c r="AT15" s="376"/>
      <c r="AU15" s="376"/>
      <c r="AV15" s="376"/>
      <c r="AW15" s="376"/>
      <c r="AX15" s="376"/>
      <c r="AY15" s="376"/>
      <c r="AZ15" s="376"/>
      <c r="BA15" s="376"/>
      <c r="BB15" s="376"/>
      <c r="BC15" s="376"/>
      <c r="BE15"/>
      <c r="BF15"/>
      <c r="BG15"/>
      <c r="BH15"/>
      <c r="BI15"/>
      <c r="BJ15"/>
      <c r="BK15"/>
      <c r="BL15"/>
      <c r="BM15"/>
      <c r="BN15"/>
      <c r="BO15"/>
      <c r="BP15"/>
      <c r="BQ15"/>
    </row>
    <row r="16" spans="1:76" s="237" customFormat="1" x14ac:dyDescent="0.25">
      <c r="A16" s="335" t="s">
        <v>355</v>
      </c>
      <c r="B16" s="335" t="s">
        <v>64</v>
      </c>
      <c r="C16" s="336">
        <f t="shared" ca="1" si="11"/>
        <v>-2.5714285714285716</v>
      </c>
      <c r="D16" s="337" t="s">
        <v>247</v>
      </c>
      <c r="E16" s="338">
        <f>PLANTILLA!E16</f>
        <v>35</v>
      </c>
      <c r="F16" s="338">
        <f ca="1">PLANTILLA!F16</f>
        <v>64</v>
      </c>
      <c r="G16" s="339"/>
      <c r="H16" s="330">
        <v>4</v>
      </c>
      <c r="I16" s="280">
        <f>PLANTILLA!I16</f>
        <v>13.1</v>
      </c>
      <c r="J16" s="428">
        <f>PLANTILLA!X16</f>
        <v>0</v>
      </c>
      <c r="K16" s="428">
        <f>PLANTILLA!Y16</f>
        <v>10.549999999999995</v>
      </c>
      <c r="L16" s="428">
        <f>PLANTILLA!Z16</f>
        <v>12.95</v>
      </c>
      <c r="M16" s="428">
        <f>PLANTILLA!AA16</f>
        <v>4.95</v>
      </c>
      <c r="N16" s="428">
        <f>PLANTILLA!AB16</f>
        <v>8.9499999999999993</v>
      </c>
      <c r="O16" s="428">
        <f>PLANTILLA!AC16</f>
        <v>0.95</v>
      </c>
      <c r="P16" s="428">
        <f>PLANTILLA!AD16</f>
        <v>17.3</v>
      </c>
      <c r="Q16" s="358">
        <f t="shared" si="4"/>
        <v>35</v>
      </c>
      <c r="R16" s="359">
        <f t="shared" ca="1" si="5"/>
        <v>71</v>
      </c>
      <c r="S16" s="164"/>
      <c r="T16" s="164"/>
      <c r="U16" s="164"/>
      <c r="V16" s="164"/>
      <c r="W16" s="164"/>
      <c r="X16" s="164"/>
      <c r="Y16" s="164"/>
      <c r="Z16" s="164"/>
      <c r="AA16" s="268">
        <f t="shared" si="6"/>
        <v>13.1</v>
      </c>
      <c r="AB16" s="448">
        <f t="shared" si="20"/>
        <v>0</v>
      </c>
      <c r="AC16" s="448">
        <f>K16+(T$2/7)</f>
        <v>10.549999999999995</v>
      </c>
      <c r="AD16" s="448">
        <f>L16+(U$2/11)</f>
        <v>12.95</v>
      </c>
      <c r="AE16" s="448">
        <f>M16+(V$2/19)</f>
        <v>4.95</v>
      </c>
      <c r="AF16" s="448">
        <f>N16+(W$2/7)</f>
        <v>8.9499999999999993</v>
      </c>
      <c r="AG16" s="448">
        <f>O16+(X$2/16)+(Y$2/5)</f>
        <v>0.95</v>
      </c>
      <c r="AH16" s="448">
        <f>P16+(Z$2/2.5)+(Y$2/10)</f>
        <v>17.7</v>
      </c>
      <c r="AI16" s="371">
        <f t="shared" si="12"/>
        <v>0</v>
      </c>
      <c r="AJ16" s="371">
        <f t="shared" si="13"/>
        <v>0</v>
      </c>
      <c r="AK16" s="371">
        <f t="shared" si="14"/>
        <v>0</v>
      </c>
      <c r="AL16" s="371">
        <f t="shared" si="15"/>
        <v>0</v>
      </c>
      <c r="AM16" s="371">
        <f t="shared" si="16"/>
        <v>0</v>
      </c>
      <c r="AN16" s="371">
        <f t="shared" si="17"/>
        <v>0</v>
      </c>
      <c r="AO16" s="371">
        <f t="shared" si="18"/>
        <v>0.39999999999999858</v>
      </c>
      <c r="AQ16" s="224"/>
      <c r="AR16" s="224"/>
      <c r="AS16" s="383">
        <f>SUM(AS18:AS28)*$BV$3</f>
        <v>0</v>
      </c>
      <c r="AT16" s="383">
        <f>SUM(AT18:AT28)*$BV$3</f>
        <v>0</v>
      </c>
      <c r="AU16" s="383">
        <f>SUM(AU18:AU28)*$BV$2</f>
        <v>0</v>
      </c>
      <c r="AV16" s="383">
        <f>SUM(AV18:AV28)*$BV$4</f>
        <v>0</v>
      </c>
      <c r="AW16" s="383">
        <f>SUM(AW18:AW28)*$BV$5</f>
        <v>0</v>
      </c>
      <c r="AX16" s="383">
        <f>SUM(AX18:AX28)*$BV$5</f>
        <v>0</v>
      </c>
      <c r="AY16" s="383">
        <f>SUM(AY18:AY28)*$BV$6</f>
        <v>0</v>
      </c>
      <c r="AZ16" s="384">
        <f>SUM(AZ18:AZ28)</f>
        <v>0.23599999999999988</v>
      </c>
      <c r="BA16" s="384">
        <f>SUM(BA18:BA28)</f>
        <v>0.24099999999999988</v>
      </c>
      <c r="BB16" s="384">
        <f t="shared" ref="BB16:BC16" si="33">SUM(BB18:BB28)</f>
        <v>12.415000000000001</v>
      </c>
      <c r="BC16" s="384">
        <f t="shared" si="33"/>
        <v>0</v>
      </c>
      <c r="BE16" s="224"/>
      <c r="BF16" s="224"/>
      <c r="BG16" s="383" t="e">
        <f>SUM(BG18:BG28)*$BV$3</f>
        <v>#REF!</v>
      </c>
      <c r="BH16" s="383">
        <f>SUM(BH18:BH28)*$BV$3</f>
        <v>0</v>
      </c>
      <c r="BI16" s="383" t="e">
        <f>SUM(BI18:BI28)*$BV$2</f>
        <v>#REF!</v>
      </c>
      <c r="BJ16" s="383" t="e">
        <f>SUM(BJ18:BJ28)*$BV$4</f>
        <v>#REF!</v>
      </c>
      <c r="BK16" s="383" t="e">
        <f>SUM(BK18:BK28)*$BV$5</f>
        <v>#REF!</v>
      </c>
      <c r="BL16" s="383">
        <f>SUM(BL18:BL28)*$BV$5</f>
        <v>0</v>
      </c>
      <c r="BM16" s="383">
        <f>SUM(BM18:BM28)*$BV$6</f>
        <v>0</v>
      </c>
      <c r="BN16" s="384" t="e">
        <f>SUM(BN18:BN28)</f>
        <v>#REF!</v>
      </c>
      <c r="BO16" s="384" t="e">
        <f>SUM(BO18:BO28)</f>
        <v>#REF!</v>
      </c>
      <c r="BP16" s="384" t="e">
        <f t="shared" ref="BP16:BQ16" si="34">SUM(BP18:BP28)</f>
        <v>#REF!</v>
      </c>
      <c r="BQ16" s="384" t="e">
        <f t="shared" si="34"/>
        <v>#REF!</v>
      </c>
    </row>
    <row r="17" spans="1:69" s="229" customFormat="1" x14ac:dyDescent="0.25">
      <c r="A17" s="277" t="s">
        <v>359</v>
      </c>
      <c r="B17" s="233" t="s">
        <v>64</v>
      </c>
      <c r="C17" s="234">
        <f t="shared" ca="1" si="11"/>
        <v>-2.3482142857142856</v>
      </c>
      <c r="D17" s="266" t="s">
        <v>349</v>
      </c>
      <c r="E17" s="338">
        <f>PLANTILLA!E17</f>
        <v>35</v>
      </c>
      <c r="F17" s="338">
        <f ca="1">PLANTILLA!F17</f>
        <v>39</v>
      </c>
      <c r="G17" s="339"/>
      <c r="H17" s="330">
        <v>1</v>
      </c>
      <c r="I17" s="280">
        <f>PLANTILLA!I17</f>
        <v>12</v>
      </c>
      <c r="J17" s="428">
        <f>PLANTILLA!X17</f>
        <v>0</v>
      </c>
      <c r="K17" s="428">
        <f>PLANTILLA!Y17</f>
        <v>5.95</v>
      </c>
      <c r="L17" s="428">
        <f>PLANTILLA!Z17</f>
        <v>14.1</v>
      </c>
      <c r="M17" s="428">
        <f>PLANTILLA!AA17</f>
        <v>2.95</v>
      </c>
      <c r="N17" s="428">
        <f>PLANTILLA!AB17</f>
        <v>8.9499999999999993</v>
      </c>
      <c r="O17" s="428">
        <f>PLANTILLA!AC17</f>
        <v>5.95</v>
      </c>
      <c r="P17" s="428">
        <f>PLANTILLA!AD17</f>
        <v>17</v>
      </c>
      <c r="Q17" s="358">
        <f t="shared" si="4"/>
        <v>35</v>
      </c>
      <c r="R17" s="359">
        <f t="shared" ca="1" si="5"/>
        <v>46</v>
      </c>
      <c r="S17" s="164"/>
      <c r="T17" s="164"/>
      <c r="U17" s="164"/>
      <c r="V17" s="164"/>
      <c r="W17" s="164"/>
      <c r="X17" s="164"/>
      <c r="Y17" s="164"/>
      <c r="Z17" s="164"/>
      <c r="AA17" s="268">
        <f t="shared" si="6"/>
        <v>12</v>
      </c>
      <c r="AB17" s="448">
        <f t="shared" si="20"/>
        <v>0</v>
      </c>
      <c r="AC17" s="448">
        <f>K17+(T$2/6.5)</f>
        <v>5.95</v>
      </c>
      <c r="AD17" s="448">
        <f>L17+(U$2/11)</f>
        <v>14.1</v>
      </c>
      <c r="AE17" s="448">
        <f>M17+(V$2/17)</f>
        <v>2.95</v>
      </c>
      <c r="AF17" s="448">
        <f>N17+(W$2/7)</f>
        <v>8.9499999999999993</v>
      </c>
      <c r="AG17" s="448">
        <f>O17+(X$2/30)+(Y$2/4.5)/2</f>
        <v>5.95</v>
      </c>
      <c r="AH17" s="448">
        <f>P17+(Z$2/2.5)+(Y$2/10)</f>
        <v>17.399999999999999</v>
      </c>
      <c r="AI17" s="371">
        <f t="shared" si="12"/>
        <v>0</v>
      </c>
      <c r="AJ17" s="371">
        <f t="shared" si="13"/>
        <v>0</v>
      </c>
      <c r="AK17" s="371">
        <f t="shared" si="14"/>
        <v>0</v>
      </c>
      <c r="AL17" s="371">
        <f t="shared" si="15"/>
        <v>0</v>
      </c>
      <c r="AM17" s="371">
        <f t="shared" si="16"/>
        <v>0</v>
      </c>
      <c r="AN17" s="371">
        <f t="shared" si="17"/>
        <v>0</v>
      </c>
      <c r="AO17" s="371">
        <f t="shared" si="18"/>
        <v>0.39999999999999858</v>
      </c>
      <c r="AQ17" s="649" t="s">
        <v>591</v>
      </c>
      <c r="AR17" s="650"/>
      <c r="AS17" s="300" t="s">
        <v>405</v>
      </c>
      <c r="AT17" s="300" t="s">
        <v>406</v>
      </c>
      <c r="AU17" s="300" t="s">
        <v>419</v>
      </c>
      <c r="AV17" s="300" t="s">
        <v>407</v>
      </c>
      <c r="AW17" s="300" t="s">
        <v>408</v>
      </c>
      <c r="AX17" s="300" t="s">
        <v>409</v>
      </c>
      <c r="AY17" s="300" t="s">
        <v>410</v>
      </c>
      <c r="AZ17" s="300" t="s">
        <v>605</v>
      </c>
      <c r="BA17" s="300" t="s">
        <v>606</v>
      </c>
      <c r="BB17" s="300" t="s">
        <v>464</v>
      </c>
      <c r="BC17" s="300" t="s">
        <v>491</v>
      </c>
      <c r="BE17" s="649" t="s">
        <v>518</v>
      </c>
      <c r="BF17" s="650"/>
      <c r="BG17" s="300" t="s">
        <v>405</v>
      </c>
      <c r="BH17" s="300" t="s">
        <v>406</v>
      </c>
      <c r="BI17" s="300" t="s">
        <v>419</v>
      </c>
      <c r="BJ17" s="300" t="s">
        <v>407</v>
      </c>
      <c r="BK17" s="300" t="s">
        <v>408</v>
      </c>
      <c r="BL17" s="300" t="s">
        <v>409</v>
      </c>
      <c r="BM17" s="300" t="s">
        <v>410</v>
      </c>
      <c r="BN17" s="300" t="s">
        <v>605</v>
      </c>
      <c r="BO17" s="300" t="s">
        <v>606</v>
      </c>
      <c r="BP17" s="300" t="s">
        <v>464</v>
      </c>
      <c r="BQ17" s="300" t="s">
        <v>491</v>
      </c>
    </row>
    <row r="18" spans="1:69" s="222" customFormat="1" x14ac:dyDescent="0.25">
      <c r="A18" s="277" t="s">
        <v>429</v>
      </c>
      <c r="B18" s="233" t="s">
        <v>64</v>
      </c>
      <c r="C18" s="234">
        <f t="shared" ca="1" si="11"/>
        <v>-0.9017857142857143</v>
      </c>
      <c r="D18" s="266" t="s">
        <v>363</v>
      </c>
      <c r="E18" s="338">
        <f>PLANTILLA!E18</f>
        <v>33</v>
      </c>
      <c r="F18" s="338">
        <f ca="1">PLANTILLA!F18</f>
        <v>101</v>
      </c>
      <c r="G18" s="339"/>
      <c r="H18" s="330">
        <v>3</v>
      </c>
      <c r="I18" s="280">
        <f>PLANTILLA!I18</f>
        <v>4.5</v>
      </c>
      <c r="J18" s="428">
        <f>PLANTILLA!X18</f>
        <v>0</v>
      </c>
      <c r="K18" s="428">
        <f>PLANTILLA!Y18</f>
        <v>5.6515555555555519</v>
      </c>
      <c r="L18" s="428">
        <f>PLANTILLA!Z18</f>
        <v>9.9499999999999993</v>
      </c>
      <c r="M18" s="428">
        <f>PLANTILLA!AA18</f>
        <v>6.95</v>
      </c>
      <c r="N18" s="428">
        <f>PLANTILLA!AB18</f>
        <v>9.2666666666666639</v>
      </c>
      <c r="O18" s="428">
        <f>PLANTILLA!AC18</f>
        <v>2.95</v>
      </c>
      <c r="P18" s="428">
        <f>PLANTILLA!AD18</f>
        <v>12.847222222222223</v>
      </c>
      <c r="Q18" s="358">
        <f t="shared" si="4"/>
        <v>33</v>
      </c>
      <c r="R18" s="359">
        <f t="shared" ca="1" si="5"/>
        <v>108</v>
      </c>
      <c r="S18" s="164"/>
      <c r="T18" s="164"/>
      <c r="U18" s="164"/>
      <c r="V18" s="164"/>
      <c r="W18" s="164"/>
      <c r="X18" s="164"/>
      <c r="Y18" s="164"/>
      <c r="Z18" s="164"/>
      <c r="AA18" s="268">
        <f t="shared" si="6"/>
        <v>4.5</v>
      </c>
      <c r="AB18" s="448">
        <f t="shared" si="20"/>
        <v>0</v>
      </c>
      <c r="AC18" s="448">
        <f>K18+(T$2/26)</f>
        <v>5.6515555555555519</v>
      </c>
      <c r="AD18" s="448">
        <f>L18+(U$2/55)</f>
        <v>9.9499999999999993</v>
      </c>
      <c r="AE18" s="448">
        <f>M18+(V$2/24)</f>
        <v>6.95</v>
      </c>
      <c r="AF18" s="448">
        <f>N18+(W$2/7)</f>
        <v>9.2666666666666639</v>
      </c>
      <c r="AG18" s="448">
        <f>O18+(X$2/18)+(Y$2/6)</f>
        <v>2.95</v>
      </c>
      <c r="AH18" s="448">
        <f>P18+(Z$2/2)+(Y$2/10)</f>
        <v>13.347222222222223</v>
      </c>
      <c r="AI18" s="371">
        <f t="shared" si="12"/>
        <v>0</v>
      </c>
      <c r="AJ18" s="371">
        <f t="shared" si="13"/>
        <v>0</v>
      </c>
      <c r="AK18" s="371">
        <f t="shared" si="14"/>
        <v>0</v>
      </c>
      <c r="AL18" s="371">
        <f t="shared" si="15"/>
        <v>0</v>
      </c>
      <c r="AM18" s="371">
        <f t="shared" si="16"/>
        <v>0</v>
      </c>
      <c r="AN18" s="371">
        <f t="shared" si="17"/>
        <v>0</v>
      </c>
      <c r="AO18" s="371">
        <f t="shared" si="18"/>
        <v>0.5</v>
      </c>
      <c r="AQ18" s="372" t="s">
        <v>1</v>
      </c>
      <c r="AR18" s="276" t="str">
        <f>D4</f>
        <v>D. Gehmacher</v>
      </c>
      <c r="AS18" s="377">
        <f>AS4</f>
        <v>0</v>
      </c>
      <c r="AT18" s="377">
        <f t="shared" ref="AT18:BC18" si="35">AT4</f>
        <v>0</v>
      </c>
      <c r="AU18" s="377">
        <f t="shared" si="35"/>
        <v>0</v>
      </c>
      <c r="AV18" s="377">
        <f t="shared" si="35"/>
        <v>0</v>
      </c>
      <c r="AW18" s="377">
        <f t="shared" si="35"/>
        <v>0</v>
      </c>
      <c r="AX18" s="377">
        <f t="shared" si="35"/>
        <v>0</v>
      </c>
      <c r="AY18" s="377">
        <f t="shared" si="35"/>
        <v>0</v>
      </c>
      <c r="AZ18" s="496">
        <f t="shared" si="35"/>
        <v>0</v>
      </c>
      <c r="BA18" s="496">
        <f t="shared" si="35"/>
        <v>0.05</v>
      </c>
      <c r="BB18" s="380">
        <f t="shared" si="35"/>
        <v>0</v>
      </c>
      <c r="BC18" s="380">
        <f t="shared" si="35"/>
        <v>0</v>
      </c>
      <c r="BE18" s="372" t="s">
        <v>1</v>
      </c>
      <c r="BF18" s="276" t="str">
        <f>D4</f>
        <v>D. Gehmacher</v>
      </c>
      <c r="BG18" s="377">
        <f>BG4</f>
        <v>0</v>
      </c>
      <c r="BH18" s="377">
        <f t="shared" ref="BH18:BQ18" si="36">BH4</f>
        <v>0</v>
      </c>
      <c r="BI18" s="377">
        <f t="shared" si="36"/>
        <v>0</v>
      </c>
      <c r="BJ18" s="377">
        <f t="shared" si="36"/>
        <v>0</v>
      </c>
      <c r="BK18" s="377">
        <f t="shared" si="36"/>
        <v>0</v>
      </c>
      <c r="BL18" s="377">
        <f t="shared" si="36"/>
        <v>0</v>
      </c>
      <c r="BM18" s="377">
        <f t="shared" si="36"/>
        <v>0</v>
      </c>
      <c r="BN18" s="496">
        <f t="shared" si="36"/>
        <v>0</v>
      </c>
      <c r="BO18" s="496">
        <f t="shared" si="36"/>
        <v>0.05</v>
      </c>
      <c r="BP18" s="380">
        <f t="shared" si="36"/>
        <v>0</v>
      </c>
      <c r="BQ18" s="380">
        <f t="shared" si="36"/>
        <v>0</v>
      </c>
    </row>
    <row r="19" spans="1:69" s="222" customFormat="1" x14ac:dyDescent="0.25">
      <c r="A19" s="277" t="s">
        <v>505</v>
      </c>
      <c r="B19" s="233" t="s">
        <v>64</v>
      </c>
      <c r="C19" s="234" t="e">
        <f t="shared" si="11"/>
        <v>#REF!</v>
      </c>
      <c r="D19" s="266" t="s">
        <v>506</v>
      </c>
      <c r="E19" s="338" t="e">
        <f>PLANTILLA!#REF!</f>
        <v>#REF!</v>
      </c>
      <c r="F19" s="338" t="e">
        <f>PLANTILLA!#REF!</f>
        <v>#REF!</v>
      </c>
      <c r="G19" s="339" t="s">
        <v>426</v>
      </c>
      <c r="H19" s="330">
        <v>4</v>
      </c>
      <c r="I19" s="280" t="e">
        <f>PLANTILLA!#REF!</f>
        <v>#REF!</v>
      </c>
      <c r="J19" s="428" t="e">
        <f>PLANTILLA!#REF!</f>
        <v>#REF!</v>
      </c>
      <c r="K19" s="428" t="e">
        <f>PLANTILLA!#REF!</f>
        <v>#REF!</v>
      </c>
      <c r="L19" s="428" t="e">
        <f>PLANTILLA!#REF!</f>
        <v>#REF!</v>
      </c>
      <c r="M19" s="428" t="e">
        <f>PLANTILLA!#REF!</f>
        <v>#REF!</v>
      </c>
      <c r="N19" s="428" t="e">
        <f>PLANTILLA!#REF!</f>
        <v>#REF!</v>
      </c>
      <c r="O19" s="428" t="e">
        <f>PLANTILLA!#REF!</f>
        <v>#REF!</v>
      </c>
      <c r="P19" s="428" t="e">
        <f>PLANTILLA!#REF!</f>
        <v>#REF!</v>
      </c>
      <c r="Q19" s="358" t="e">
        <f t="shared" si="4"/>
        <v>#REF!</v>
      </c>
      <c r="R19" s="359" t="e">
        <f t="shared" si="5"/>
        <v>#REF!</v>
      </c>
      <c r="S19" s="164"/>
      <c r="T19" s="164"/>
      <c r="U19" s="164"/>
      <c r="V19" s="164"/>
      <c r="W19" s="164"/>
      <c r="X19" s="164"/>
      <c r="Y19" s="164"/>
      <c r="Z19" s="164"/>
      <c r="AA19" s="268" t="e">
        <f t="shared" si="6"/>
        <v>#REF!</v>
      </c>
      <c r="AB19" s="448" t="e">
        <f>J19</f>
        <v>#REF!</v>
      </c>
      <c r="AC19" s="448" t="e">
        <f>K19+(T2/25)</f>
        <v>#REF!</v>
      </c>
      <c r="AD19" s="448" t="e">
        <f>L19+(U2/38)</f>
        <v>#REF!</v>
      </c>
      <c r="AE19" s="448" t="e">
        <f>M19+(V2/12)</f>
        <v>#REF!</v>
      </c>
      <c r="AF19" s="448" t="e">
        <f>N19+(W2/4)</f>
        <v>#REF!</v>
      </c>
      <c r="AG19" s="448" t="e">
        <f>O19+(X2/14)+(Y2/5)</f>
        <v>#REF!</v>
      </c>
      <c r="AH19" s="448" t="e">
        <f>P19+(Z2/1)+(Y$2/10)</f>
        <v>#REF!</v>
      </c>
      <c r="AI19" s="371" t="e">
        <f t="shared" si="12"/>
        <v>#REF!</v>
      </c>
      <c r="AJ19" s="371" t="e">
        <f t="shared" si="13"/>
        <v>#REF!</v>
      </c>
      <c r="AK19" s="371" t="e">
        <f t="shared" si="14"/>
        <v>#REF!</v>
      </c>
      <c r="AL19" s="371" t="e">
        <f t="shared" si="15"/>
        <v>#REF!</v>
      </c>
      <c r="AM19" s="371" t="e">
        <f t="shared" si="16"/>
        <v>#REF!</v>
      </c>
      <c r="AN19" s="371" t="e">
        <f t="shared" si="17"/>
        <v>#REF!</v>
      </c>
      <c r="AO19" s="371" t="e">
        <f t="shared" si="18"/>
        <v>#REF!</v>
      </c>
      <c r="AQ19" s="373" t="s">
        <v>467</v>
      </c>
      <c r="AR19" s="277" t="str">
        <f>D20</f>
        <v>B. Pinczehelyi</v>
      </c>
      <c r="AS19" s="378">
        <f>(AJ20*0.919)</f>
        <v>0</v>
      </c>
      <c r="AT19" s="378">
        <v>0</v>
      </c>
      <c r="AU19" s="378">
        <f>AJ20*0.414</f>
        <v>0</v>
      </c>
      <c r="AV19" s="378">
        <f>AK20*0.167</f>
        <v>0</v>
      </c>
      <c r="AW19" s="378">
        <f>AL20*0.588</f>
        <v>0</v>
      </c>
      <c r="AX19" s="378">
        <v>0</v>
      </c>
      <c r="AY19" s="378">
        <v>0</v>
      </c>
      <c r="AZ19" s="381">
        <f>AZ5</f>
        <v>0.03</v>
      </c>
      <c r="BA19" s="381">
        <f>BA5</f>
        <v>0.03</v>
      </c>
      <c r="BB19" s="381">
        <f>((AC20+1)+(AF20+1)*2)/8</f>
        <v>4.4000000000000004</v>
      </c>
      <c r="BC19" s="381">
        <f>((AJ20)+(AM20)*2)/8</f>
        <v>0</v>
      </c>
      <c r="BE19" s="373" t="s">
        <v>467</v>
      </c>
      <c r="BF19" s="277" t="str">
        <f>D8</f>
        <v>E. Toney</v>
      </c>
      <c r="BG19" s="378">
        <f t="shared" ref="BG19:BM19" si="37">AS5</f>
        <v>0</v>
      </c>
      <c r="BH19" s="378">
        <f t="shared" si="37"/>
        <v>0</v>
      </c>
      <c r="BI19" s="378">
        <f t="shared" si="37"/>
        <v>0</v>
      </c>
      <c r="BJ19" s="378">
        <f t="shared" si="37"/>
        <v>0</v>
      </c>
      <c r="BK19" s="378">
        <f t="shared" si="37"/>
        <v>0</v>
      </c>
      <c r="BL19" s="378">
        <f t="shared" si="37"/>
        <v>0</v>
      </c>
      <c r="BM19" s="378">
        <f t="shared" si="37"/>
        <v>0</v>
      </c>
      <c r="BN19" s="381">
        <f t="shared" ref="BN19" si="38">AZ5</f>
        <v>0.03</v>
      </c>
      <c r="BO19" s="381">
        <f>BA5</f>
        <v>0.03</v>
      </c>
      <c r="BP19" s="381">
        <f>BB5</f>
        <v>4.4000000000000004</v>
      </c>
      <c r="BQ19" s="381">
        <f>BC5</f>
        <v>0</v>
      </c>
    </row>
    <row r="20" spans="1:69" s="221" customFormat="1" x14ac:dyDescent="0.25">
      <c r="A20" s="276" t="s">
        <v>472</v>
      </c>
      <c r="B20" s="233" t="s">
        <v>2</v>
      </c>
      <c r="C20" s="234">
        <f t="shared" si="11"/>
        <v>-2</v>
      </c>
      <c r="D20" s="266" t="str">
        <f>PLANTILLA!D7</f>
        <v>B. Pinczehelyi</v>
      </c>
      <c r="E20" s="338">
        <f>PLANTILLA!E7</f>
        <v>35</v>
      </c>
      <c r="F20" s="343">
        <f>PLANTILLA!F7</f>
        <v>0</v>
      </c>
      <c r="G20" s="339" t="s">
        <v>426</v>
      </c>
      <c r="H20" s="330">
        <v>2</v>
      </c>
      <c r="I20" s="280">
        <f>PLANTILLA!I7</f>
        <v>19</v>
      </c>
      <c r="J20" s="428">
        <f>PLANTILLA!X7</f>
        <v>0</v>
      </c>
      <c r="K20" s="428">
        <f>PLANTILLA!Y7</f>
        <v>14.300000000000004</v>
      </c>
      <c r="L20" s="428">
        <f>PLANTILLA!Z7</f>
        <v>9.3793333333333351</v>
      </c>
      <c r="M20" s="428">
        <f>PLANTILLA!AA7</f>
        <v>13.95</v>
      </c>
      <c r="N20" s="428">
        <f>PLANTILLA!AB7</f>
        <v>8.9499999999999993</v>
      </c>
      <c r="O20" s="428">
        <f>PLANTILLA!AC7</f>
        <v>0</v>
      </c>
      <c r="P20" s="428">
        <f>PLANTILLA!AD7</f>
        <v>11.25</v>
      </c>
      <c r="Q20" s="358">
        <f t="shared" si="4"/>
        <v>35</v>
      </c>
      <c r="R20" s="359">
        <f t="shared" si="5"/>
        <v>7</v>
      </c>
      <c r="S20" s="164"/>
      <c r="T20" s="164"/>
      <c r="U20" s="164"/>
      <c r="V20" s="164"/>
      <c r="W20" s="164"/>
      <c r="X20" s="164"/>
      <c r="Y20" s="164"/>
      <c r="Z20" s="164"/>
      <c r="AA20" s="268">
        <f t="shared" si="6"/>
        <v>19</v>
      </c>
      <c r="AB20" s="448">
        <f t="shared" si="20"/>
        <v>0</v>
      </c>
      <c r="AC20" s="448">
        <f>K20+(T$2/20)</f>
        <v>14.300000000000004</v>
      </c>
      <c r="AD20" s="448">
        <f>L20+(U$2/50)</f>
        <v>9.3793333333333351</v>
      </c>
      <c r="AE20" s="448">
        <f>M20+(V$2/35)</f>
        <v>13.95</v>
      </c>
      <c r="AF20" s="448">
        <f>N20+(W$2/7)</f>
        <v>8.9499999999999993</v>
      </c>
      <c r="AG20" s="448">
        <f>O20+(X$2/3)+(Y$2/7)</f>
        <v>0</v>
      </c>
      <c r="AH20" s="448">
        <f>P20+(Z$2/1)+(Y$2/10)</f>
        <v>12.25</v>
      </c>
      <c r="AI20" s="371">
        <f t="shared" si="12"/>
        <v>0</v>
      </c>
      <c r="AJ20" s="371">
        <f t="shared" si="13"/>
        <v>0</v>
      </c>
      <c r="AK20" s="371">
        <f t="shared" si="14"/>
        <v>0</v>
      </c>
      <c r="AL20" s="371">
        <f t="shared" si="15"/>
        <v>0</v>
      </c>
      <c r="AM20" s="371">
        <f t="shared" si="16"/>
        <v>0</v>
      </c>
      <c r="AN20" s="371">
        <f t="shared" si="17"/>
        <v>0</v>
      </c>
      <c r="AO20" s="371">
        <f t="shared" si="18"/>
        <v>1</v>
      </c>
      <c r="AQ20" s="472" t="s">
        <v>66</v>
      </c>
      <c r="AR20" s="233" t="str">
        <f>D23</f>
        <v>P .Trivadi</v>
      </c>
      <c r="AS20" s="377">
        <v>0</v>
      </c>
      <c r="AT20" s="377">
        <v>0</v>
      </c>
      <c r="AU20" s="377">
        <v>0</v>
      </c>
      <c r="AV20" s="379">
        <f>AK23*0.25</f>
        <v>0</v>
      </c>
      <c r="AW20" s="379">
        <f>(AM23*0.142)+(AL23*0.221)+(AN23*0.26)</f>
        <v>0</v>
      </c>
      <c r="AX20" s="377">
        <f>AW20</f>
        <v>0</v>
      </c>
      <c r="AY20" s="379">
        <f>(AM23*0.369)+(AN23*1)</f>
        <v>0</v>
      </c>
      <c r="AZ20" s="382">
        <f>(0.5*AN23+0.3*AO23)/10</f>
        <v>1.9999999999999983E-2</v>
      </c>
      <c r="BA20" s="382">
        <f>(0.4*AJ23+0.3*AO23)/10</f>
        <v>1.9999999999999983E-2</v>
      </c>
      <c r="BB20" s="381">
        <f>((AC23+1)+(AF23+1)*2)/8</f>
        <v>3.6149999999999998</v>
      </c>
      <c r="BC20" s="381">
        <f>((AJ23)+(AM23)*2)/8</f>
        <v>0</v>
      </c>
      <c r="BE20" s="374" t="s">
        <v>520</v>
      </c>
      <c r="BF20" s="233" t="str">
        <f>D7</f>
        <v>D. Toh</v>
      </c>
      <c r="BG20" s="379" t="e">
        <f>AJ7*0.754</f>
        <v>#REF!</v>
      </c>
      <c r="BH20" s="379">
        <v>0</v>
      </c>
      <c r="BI20" s="379" t="e">
        <f>AJ7*0.708</f>
        <v>#REF!</v>
      </c>
      <c r="BJ20" s="379" t="e">
        <f>AK7*0.165</f>
        <v>#REF!</v>
      </c>
      <c r="BK20" s="379" t="e">
        <f>AL7*0.286</f>
        <v>#REF!</v>
      </c>
      <c r="BL20" s="379">
        <v>0</v>
      </c>
      <c r="BM20" s="379">
        <v>0</v>
      </c>
      <c r="BN20" s="382" t="e">
        <f>BN6</f>
        <v>#REF!</v>
      </c>
      <c r="BO20" s="382" t="e">
        <f>BO6</f>
        <v>#REF!</v>
      </c>
      <c r="BP20" s="381" t="e">
        <f>((AC7+1)+(AF7+1)*2)/8</f>
        <v>#REF!</v>
      </c>
      <c r="BQ20" s="381" t="e">
        <f>((AJ7)+(AM7)*2)/8</f>
        <v>#REF!</v>
      </c>
    </row>
    <row r="21" spans="1:69" s="232" customFormat="1" x14ac:dyDescent="0.25">
      <c r="A21" s="335" t="s">
        <v>415</v>
      </c>
      <c r="B21" s="335" t="s">
        <v>66</v>
      </c>
      <c r="C21" s="336">
        <f t="shared" ca="1" si="11"/>
        <v>-1.6785714285714286</v>
      </c>
      <c r="D21" s="337" t="s">
        <v>253</v>
      </c>
      <c r="E21" s="338">
        <f>PLANTILLA!E20</f>
        <v>34</v>
      </c>
      <c r="F21" s="338">
        <f ca="1">PLANTILLA!F20</f>
        <v>76</v>
      </c>
      <c r="G21" s="339" t="s">
        <v>256</v>
      </c>
      <c r="H21" s="330">
        <v>4</v>
      </c>
      <c r="I21" s="280">
        <f>PLANTILLA!I20</f>
        <v>14.3</v>
      </c>
      <c r="J21" s="428">
        <f>PLANTILLA!X20</f>
        <v>0</v>
      </c>
      <c r="K21" s="428">
        <f>PLANTILLA!Y20</f>
        <v>6.8376190476190493</v>
      </c>
      <c r="L21" s="428">
        <f>PLANTILLA!Z20</f>
        <v>8.9499999999999993</v>
      </c>
      <c r="M21" s="428">
        <f>PLANTILLA!AA20</f>
        <v>8.7399999999999967</v>
      </c>
      <c r="N21" s="428">
        <f>PLANTILLA!AB20</f>
        <v>9.9499999999999993</v>
      </c>
      <c r="O21" s="428">
        <f>PLANTILLA!AC20</f>
        <v>7.95</v>
      </c>
      <c r="P21" s="428">
        <f>PLANTILLA!AD20</f>
        <v>18.999999999999993</v>
      </c>
      <c r="Q21" s="358">
        <f t="shared" si="4"/>
        <v>34</v>
      </c>
      <c r="R21" s="359">
        <f t="shared" ca="1" si="5"/>
        <v>83</v>
      </c>
      <c r="S21" s="164"/>
      <c r="T21" s="164"/>
      <c r="U21" s="164"/>
      <c r="V21" s="164"/>
      <c r="W21" s="164"/>
      <c r="X21" s="164"/>
      <c r="Y21" s="164"/>
      <c r="Z21" s="164"/>
      <c r="AA21" s="268">
        <f t="shared" si="6"/>
        <v>14.3</v>
      </c>
      <c r="AB21" s="448">
        <f t="shared" si="20"/>
        <v>0</v>
      </c>
      <c r="AC21" s="448">
        <f>K21+(T$2/32)</f>
        <v>6.8376190476190493</v>
      </c>
      <c r="AD21" s="448">
        <f>L21+(U$2/7)</f>
        <v>8.9499999999999993</v>
      </c>
      <c r="AE21" s="448">
        <f>M21+(V$2/25)</f>
        <v>8.7399999999999967</v>
      </c>
      <c r="AF21" s="448">
        <f>N21+(W$2/8)</f>
        <v>9.9499999999999993</v>
      </c>
      <c r="AG21" s="448">
        <f>O21+(X$2/6)+(Y$2/5)/2</f>
        <v>7.95</v>
      </c>
      <c r="AH21" s="448">
        <f>P21+(Z$2/2)+(Y$2/10)</f>
        <v>19.499999999999993</v>
      </c>
      <c r="AI21" s="371">
        <f t="shared" si="12"/>
        <v>0</v>
      </c>
      <c r="AJ21" s="371">
        <f t="shared" si="13"/>
        <v>0</v>
      </c>
      <c r="AK21" s="371">
        <f t="shared" si="14"/>
        <v>0</v>
      </c>
      <c r="AL21" s="371">
        <f t="shared" si="15"/>
        <v>0</v>
      </c>
      <c r="AM21" s="371">
        <f t="shared" si="16"/>
        <v>0</v>
      </c>
      <c r="AN21" s="371">
        <f t="shared" si="17"/>
        <v>0</v>
      </c>
      <c r="AO21" s="371">
        <f t="shared" si="18"/>
        <v>0.5</v>
      </c>
      <c r="AQ21" s="374" t="s">
        <v>467</v>
      </c>
      <c r="AR21" s="233" t="str">
        <f>D8</f>
        <v>E. Toney</v>
      </c>
      <c r="AS21" s="379">
        <v>0</v>
      </c>
      <c r="AT21" s="379">
        <f>AJ17*0.919</f>
        <v>0</v>
      </c>
      <c r="AU21" s="379">
        <f>AJ8*0.414</f>
        <v>0</v>
      </c>
      <c r="AV21" s="379">
        <f>AK8*0.167</f>
        <v>0</v>
      </c>
      <c r="AW21" s="379">
        <v>0</v>
      </c>
      <c r="AX21" s="379">
        <f>AL8*0.588</f>
        <v>0</v>
      </c>
      <c r="AY21" s="379">
        <v>0</v>
      </c>
      <c r="AZ21" s="382">
        <f>AZ5</f>
        <v>0.03</v>
      </c>
      <c r="BA21" s="382">
        <f>BA5</f>
        <v>0.03</v>
      </c>
      <c r="BB21" s="382">
        <f>BB5</f>
        <v>4.4000000000000004</v>
      </c>
      <c r="BC21" s="382">
        <f>BC5</f>
        <v>0</v>
      </c>
      <c r="BE21" s="374" t="s">
        <v>488</v>
      </c>
      <c r="BF21" s="233" t="str">
        <f>D16</f>
        <v>E. Gross</v>
      </c>
      <c r="BG21" s="379">
        <f t="shared" ref="BG21:BM21" si="39">AS6</f>
        <v>0</v>
      </c>
      <c r="BH21" s="379">
        <f t="shared" si="39"/>
        <v>0</v>
      </c>
      <c r="BI21" s="379">
        <f t="shared" si="39"/>
        <v>0</v>
      </c>
      <c r="BJ21" s="379">
        <f t="shared" si="39"/>
        <v>0</v>
      </c>
      <c r="BK21" s="379">
        <f t="shared" si="39"/>
        <v>0</v>
      </c>
      <c r="BL21" s="379">
        <f t="shared" si="39"/>
        <v>0</v>
      </c>
      <c r="BM21" s="379">
        <f t="shared" si="39"/>
        <v>0</v>
      </c>
      <c r="BN21" s="382">
        <f t="shared" ref="BN21" si="40">AZ6</f>
        <v>1.1999999999999957E-2</v>
      </c>
      <c r="BO21" s="382">
        <f t="shared" ref="BO21:BQ22" si="41">BA6</f>
        <v>1.1999999999999957E-2</v>
      </c>
      <c r="BP21" s="381">
        <f t="shared" si="41"/>
        <v>3.9312499999999995</v>
      </c>
      <c r="BQ21" s="381">
        <f t="shared" si="41"/>
        <v>0</v>
      </c>
    </row>
    <row r="22" spans="1:69" s="229" customFormat="1" x14ac:dyDescent="0.25">
      <c r="A22" s="335" t="s">
        <v>421</v>
      </c>
      <c r="B22" s="335" t="s">
        <v>66</v>
      </c>
      <c r="C22" s="336">
        <f t="shared" ca="1" si="11"/>
        <v>-2.2946428571428572</v>
      </c>
      <c r="D22" s="337" t="str">
        <f>PLANTILLA!D21</f>
        <v>L. Calosso</v>
      </c>
      <c r="E22" s="338">
        <f>PLANTILLA!E21</f>
        <v>35</v>
      </c>
      <c r="F22" s="338">
        <f ca="1">PLANTILLA!F21</f>
        <v>33</v>
      </c>
      <c r="G22" s="339"/>
      <c r="H22" s="330">
        <v>4</v>
      </c>
      <c r="I22" s="280">
        <f>PLANTILLA!I21</f>
        <v>15.4</v>
      </c>
      <c r="J22" s="428">
        <f>PLANTILLA!X21</f>
        <v>0</v>
      </c>
      <c r="K22" s="428">
        <f>PLANTILLA!Y21</f>
        <v>2.95</v>
      </c>
      <c r="L22" s="428">
        <f>PLANTILLA!Z21</f>
        <v>13.95</v>
      </c>
      <c r="M22" s="428">
        <f>PLANTILLA!AA21</f>
        <v>2.95</v>
      </c>
      <c r="N22" s="428">
        <f>PLANTILLA!AB21</f>
        <v>14.95</v>
      </c>
      <c r="O22" s="428">
        <f>PLANTILLA!AC21</f>
        <v>8.9499999999999993</v>
      </c>
      <c r="P22" s="428">
        <f>PLANTILLA!AD21</f>
        <v>11.25</v>
      </c>
      <c r="Q22" s="358">
        <f t="shared" si="4"/>
        <v>35</v>
      </c>
      <c r="R22" s="359">
        <f t="shared" ca="1" si="5"/>
        <v>40</v>
      </c>
      <c r="S22" s="164"/>
      <c r="T22" s="164"/>
      <c r="U22" s="164"/>
      <c r="V22" s="164"/>
      <c r="W22" s="164"/>
      <c r="X22" s="164"/>
      <c r="Y22" s="164"/>
      <c r="Z22" s="164"/>
      <c r="AA22" s="268">
        <f t="shared" si="6"/>
        <v>15.4</v>
      </c>
      <c r="AB22" s="448">
        <f t="shared" si="20"/>
        <v>0</v>
      </c>
      <c r="AC22" s="448">
        <f>K22+(T$2/21)</f>
        <v>2.95</v>
      </c>
      <c r="AD22" s="448">
        <f>L22+(U$2/21)</f>
        <v>13.95</v>
      </c>
      <c r="AE22" s="448">
        <f>M22+(V$2/22)</f>
        <v>2.95</v>
      </c>
      <c r="AF22" s="448">
        <f>N22+(W$2/17)</f>
        <v>14.95</v>
      </c>
      <c r="AG22" s="448">
        <f>O22+(X$2/25)+(Y$2/8)</f>
        <v>8.9499999999999993</v>
      </c>
      <c r="AH22" s="448">
        <f>P22+(Z$2/1)+(Y$2/10)</f>
        <v>12.25</v>
      </c>
      <c r="AI22" s="371">
        <f t="shared" si="12"/>
        <v>0</v>
      </c>
      <c r="AJ22" s="371">
        <f t="shared" si="13"/>
        <v>0</v>
      </c>
      <c r="AK22" s="371">
        <f t="shared" si="14"/>
        <v>0</v>
      </c>
      <c r="AL22" s="371">
        <f t="shared" si="15"/>
        <v>0</v>
      </c>
      <c r="AM22" s="371">
        <f t="shared" si="16"/>
        <v>0</v>
      </c>
      <c r="AN22" s="371">
        <f t="shared" si="17"/>
        <v>0</v>
      </c>
      <c r="AO22" s="371">
        <f t="shared" si="18"/>
        <v>1</v>
      </c>
      <c r="AQ22" s="471" t="s">
        <v>521</v>
      </c>
      <c r="AR22" s="276" t="str">
        <f>AR8</f>
        <v>E.Romweber</v>
      </c>
      <c r="AS22" s="377">
        <f>AS8</f>
        <v>0</v>
      </c>
      <c r="AT22" s="377">
        <f t="shared" ref="AT22:AY22" si="42">AT8</f>
        <v>0</v>
      </c>
      <c r="AU22" s="377">
        <f t="shared" si="42"/>
        <v>0</v>
      </c>
      <c r="AV22" s="377">
        <f t="shared" si="42"/>
        <v>0</v>
      </c>
      <c r="AW22" s="377">
        <f>AW8</f>
        <v>0</v>
      </c>
      <c r="AX22" s="377">
        <f t="shared" si="42"/>
        <v>0</v>
      </c>
      <c r="AY22" s="377">
        <f t="shared" si="42"/>
        <v>0</v>
      </c>
      <c r="AZ22" s="380">
        <f>AZ8</f>
        <v>1.1999999999999957E-2</v>
      </c>
      <c r="BA22" s="380">
        <f t="shared" ref="BA22:BC22" si="43">BA8</f>
        <v>1.1999999999999957E-2</v>
      </c>
      <c r="BB22" s="380">
        <f t="shared" si="43"/>
        <v>0</v>
      </c>
      <c r="BC22" s="380">
        <f t="shared" si="43"/>
        <v>0</v>
      </c>
      <c r="BE22" s="374" t="s">
        <v>520</v>
      </c>
      <c r="BF22" s="276" t="str">
        <f>D9</f>
        <v>B. Bartolache</v>
      </c>
      <c r="BG22" s="377">
        <v>0</v>
      </c>
      <c r="BH22" s="377">
        <f>AJ9*0.754</f>
        <v>0</v>
      </c>
      <c r="BI22" s="377">
        <f>AJ9*0.708</f>
        <v>0</v>
      </c>
      <c r="BJ22" s="377">
        <f>AK9*0.165</f>
        <v>0</v>
      </c>
      <c r="BK22" s="377">
        <v>0</v>
      </c>
      <c r="BL22" s="377">
        <f>AL9*0.286</f>
        <v>0</v>
      </c>
      <c r="BM22" s="377">
        <v>0</v>
      </c>
      <c r="BN22" s="380">
        <f>AZ7</f>
        <v>1.1999999999999957E-2</v>
      </c>
      <c r="BO22" s="380">
        <f t="shared" si="41"/>
        <v>1.1999999999999957E-2</v>
      </c>
      <c r="BP22" s="380">
        <f t="shared" si="41"/>
        <v>4.1062499999999993</v>
      </c>
      <c r="BQ22" s="380">
        <f t="shared" si="41"/>
        <v>0</v>
      </c>
    </row>
    <row r="23" spans="1:69" s="237" customFormat="1" x14ac:dyDescent="0.25">
      <c r="A23" s="335" t="s">
        <v>457</v>
      </c>
      <c r="B23" s="335" t="s">
        <v>66</v>
      </c>
      <c r="C23" s="234">
        <f t="shared" ca="1" si="11"/>
        <v>1.0446428571428572</v>
      </c>
      <c r="D23" s="266" t="s">
        <v>458</v>
      </c>
      <c r="E23" s="338">
        <f>PLANTILLA!E30</f>
        <v>31</v>
      </c>
      <c r="F23" s="338">
        <f ca="1">PLANTILLA!F30</f>
        <v>107</v>
      </c>
      <c r="G23" s="339"/>
      <c r="H23" s="344">
        <v>6</v>
      </c>
      <c r="I23" s="280">
        <f>PLANTILLA!I30</f>
        <v>6.2</v>
      </c>
      <c r="J23" s="428">
        <f>PLANTILLA!X30</f>
        <v>0</v>
      </c>
      <c r="K23" s="428">
        <f>PLANTILLA!Y30</f>
        <v>4.0199999999999996</v>
      </c>
      <c r="L23" s="428">
        <f>PLANTILLA!Z30</f>
        <v>5.95</v>
      </c>
      <c r="M23" s="428">
        <f>PLANTILLA!AA30</f>
        <v>5.5099999999999989</v>
      </c>
      <c r="N23" s="428">
        <f>PLANTILLA!AB30</f>
        <v>10.95</v>
      </c>
      <c r="O23" s="428">
        <f>PLANTILLA!AC30</f>
        <v>7.95</v>
      </c>
      <c r="P23" s="428">
        <f>PLANTILLA!AD30</f>
        <v>14</v>
      </c>
      <c r="Q23" s="358">
        <f t="shared" si="4"/>
        <v>31</v>
      </c>
      <c r="R23" s="359">
        <f t="shared" ca="1" si="5"/>
        <v>114</v>
      </c>
      <c r="S23" s="164"/>
      <c r="T23" s="164"/>
      <c r="U23" s="164"/>
      <c r="V23" s="164"/>
      <c r="W23" s="164"/>
      <c r="X23" s="164"/>
      <c r="Y23" s="164"/>
      <c r="Z23" s="164"/>
      <c r="AA23" s="268">
        <f t="shared" si="6"/>
        <v>6.2</v>
      </c>
      <c r="AB23" s="448">
        <f t="shared" si="20"/>
        <v>0</v>
      </c>
      <c r="AC23" s="448">
        <f>K23+(T$2/20)</f>
        <v>4.0199999999999996</v>
      </c>
      <c r="AD23" s="448">
        <f>L23+(U$2/27)</f>
        <v>5.95</v>
      </c>
      <c r="AE23" s="448">
        <f>M23+(V$2/21)</f>
        <v>5.5099999999999989</v>
      </c>
      <c r="AF23" s="448">
        <f>N23+(W$2/8)</f>
        <v>10.95</v>
      </c>
      <c r="AG23" s="448">
        <f>O23+(X$2/5)+(Y$2/5)/2</f>
        <v>7.95</v>
      </c>
      <c r="AH23" s="448">
        <f>P23+(Z$2/1.5)+(Y$2/10)</f>
        <v>14.666666666666666</v>
      </c>
      <c r="AI23" s="371">
        <f t="shared" si="12"/>
        <v>0</v>
      </c>
      <c r="AJ23" s="371">
        <f t="shared" si="13"/>
        <v>0</v>
      </c>
      <c r="AK23" s="371">
        <f t="shared" si="14"/>
        <v>0</v>
      </c>
      <c r="AL23" s="371">
        <f t="shared" si="15"/>
        <v>0</v>
      </c>
      <c r="AM23" s="371">
        <f t="shared" si="16"/>
        <v>0</v>
      </c>
      <c r="AN23" s="371">
        <f t="shared" si="17"/>
        <v>0</v>
      </c>
      <c r="AO23" s="371">
        <f t="shared" si="18"/>
        <v>0.66666666666666607</v>
      </c>
      <c r="AQ23" s="374" t="s">
        <v>427</v>
      </c>
      <c r="AR23" s="233" t="str">
        <f>D14</f>
        <v>S. Buscleman</v>
      </c>
      <c r="AS23" s="379">
        <f t="shared" ref="AS23:AS28" si="44">AS9</f>
        <v>0</v>
      </c>
      <c r="AT23" s="379">
        <f t="shared" ref="AT23:BC23" si="45">AT9</f>
        <v>0</v>
      </c>
      <c r="AU23" s="379">
        <f t="shared" si="45"/>
        <v>0</v>
      </c>
      <c r="AV23" s="379">
        <f t="shared" si="45"/>
        <v>0</v>
      </c>
      <c r="AW23" s="379">
        <f t="shared" si="45"/>
        <v>0</v>
      </c>
      <c r="AX23" s="379">
        <f t="shared" si="45"/>
        <v>0</v>
      </c>
      <c r="AY23" s="379">
        <f t="shared" si="45"/>
        <v>0</v>
      </c>
      <c r="AZ23" s="382">
        <f t="shared" si="45"/>
        <v>0.03</v>
      </c>
      <c r="BA23" s="382">
        <f t="shared" si="45"/>
        <v>0.03</v>
      </c>
      <c r="BB23" s="382">
        <f t="shared" si="45"/>
        <v>0</v>
      </c>
      <c r="BC23" s="382">
        <f t="shared" si="45"/>
        <v>0</v>
      </c>
      <c r="BE23" s="374" t="s">
        <v>467</v>
      </c>
      <c r="BF23" s="233" t="str">
        <f>D11</f>
        <v>E.Romweber</v>
      </c>
      <c r="BG23" s="379">
        <v>0</v>
      </c>
      <c r="BH23" s="379">
        <f>AJ11*0.919</f>
        <v>0</v>
      </c>
      <c r="BI23" s="379">
        <f>AJ11*0.414</f>
        <v>0</v>
      </c>
      <c r="BJ23" s="379">
        <f>AK11*0.167</f>
        <v>0</v>
      </c>
      <c r="BK23" s="379">
        <v>0</v>
      </c>
      <c r="BL23" s="379">
        <f>AL11*0.588</f>
        <v>0</v>
      </c>
      <c r="BM23" s="379">
        <v>0</v>
      </c>
      <c r="BN23" s="382">
        <f>AZ8</f>
        <v>1.1999999999999957E-2</v>
      </c>
      <c r="BO23" s="382">
        <f>BA8</f>
        <v>1.1999999999999957E-2</v>
      </c>
      <c r="BP23" s="382">
        <f>((AC11+1)+(AF11+1)*2)/8</f>
        <v>4.6062499999999993</v>
      </c>
      <c r="BQ23" s="382">
        <f>((AJ11)+(AM11)*2)/8</f>
        <v>0</v>
      </c>
    </row>
    <row r="24" spans="1:69" s="223" customFormat="1" x14ac:dyDescent="0.25">
      <c r="A24"/>
      <c r="B24"/>
      <c r="C24" s="199"/>
      <c r="D24" s="163"/>
      <c r="E24"/>
      <c r="F24"/>
      <c r="G24" s="369"/>
      <c r="H24" s="4"/>
      <c r="I24"/>
      <c r="J24" s="145"/>
      <c r="K24"/>
      <c r="L24"/>
      <c r="M24"/>
      <c r="N24"/>
      <c r="O24"/>
      <c r="P24"/>
      <c r="Q24" s="397"/>
      <c r="R24" s="397"/>
      <c r="S24" s="303">
        <f t="shared" ref="S24:Z24" si="46">SUM(S21:S23)</f>
        <v>0</v>
      </c>
      <c r="T24" s="303">
        <f t="shared" si="46"/>
        <v>0</v>
      </c>
      <c r="U24" s="303">
        <f t="shared" si="46"/>
        <v>0</v>
      </c>
      <c r="V24" s="303">
        <f t="shared" si="46"/>
        <v>0</v>
      </c>
      <c r="W24" s="303">
        <f t="shared" si="46"/>
        <v>0</v>
      </c>
      <c r="X24" s="303">
        <f t="shared" si="46"/>
        <v>0</v>
      </c>
      <c r="Y24" s="303"/>
      <c r="Z24" s="303">
        <f t="shared" si="46"/>
        <v>0</v>
      </c>
      <c r="AA24" s="369"/>
      <c r="AB24" s="369"/>
      <c r="AC24" s="369"/>
      <c r="AD24" s="369"/>
      <c r="AE24" s="369"/>
      <c r="AF24" s="369"/>
      <c r="AG24" s="369"/>
      <c r="AH24" s="369"/>
      <c r="AI24"/>
      <c r="AJ24"/>
      <c r="AK24"/>
      <c r="AL24"/>
      <c r="AM24"/>
      <c r="AN24"/>
      <c r="AO24"/>
      <c r="AQ24" s="374" t="s">
        <v>523</v>
      </c>
      <c r="AR24" s="233" t="str">
        <f>AR10</f>
        <v>L. Bauman</v>
      </c>
      <c r="AS24" s="379">
        <f t="shared" si="44"/>
        <v>0</v>
      </c>
      <c r="AT24" s="379">
        <f t="shared" ref="AT24:AY24" si="47">AT10</f>
        <v>0</v>
      </c>
      <c r="AU24" s="379">
        <f t="shared" si="47"/>
        <v>0</v>
      </c>
      <c r="AV24" s="379">
        <f t="shared" si="47"/>
        <v>0</v>
      </c>
      <c r="AW24" s="379">
        <f t="shared" si="47"/>
        <v>0</v>
      </c>
      <c r="AX24" s="379">
        <f t="shared" si="47"/>
        <v>0</v>
      </c>
      <c r="AY24" s="379">
        <f t="shared" si="47"/>
        <v>0</v>
      </c>
      <c r="AZ24" s="382">
        <f>AZ10</f>
        <v>1.1999999999999957E-2</v>
      </c>
      <c r="BA24" s="382">
        <f t="shared" ref="BA24:BC24" si="48">BA10</f>
        <v>1.1999999999999957E-2</v>
      </c>
      <c r="BB24" s="382">
        <f t="shared" si="48"/>
        <v>0</v>
      </c>
      <c r="BC24" s="382">
        <f t="shared" si="48"/>
        <v>0</v>
      </c>
      <c r="BE24" s="472" t="s">
        <v>522</v>
      </c>
      <c r="BF24" s="233" t="str">
        <f>D12</f>
        <v>K. Helms</v>
      </c>
      <c r="BG24" s="377">
        <f>AT12</f>
        <v>0</v>
      </c>
      <c r="BH24" s="377">
        <f>AS12</f>
        <v>0</v>
      </c>
      <c r="BI24" s="377">
        <f>AU12</f>
        <v>0</v>
      </c>
      <c r="BJ24" s="377">
        <f>AV12</f>
        <v>0</v>
      </c>
      <c r="BK24" s="377">
        <f>AX12</f>
        <v>0</v>
      </c>
      <c r="BL24" s="377">
        <v>0</v>
      </c>
      <c r="BM24" s="377">
        <f>AY12</f>
        <v>0</v>
      </c>
      <c r="BN24" s="380">
        <f>AZ12</f>
        <v>1.1999999999999957E-2</v>
      </c>
      <c r="BO24" s="380">
        <f t="shared" ref="BO24:BQ24" si="49">BA12</f>
        <v>1.1999999999999957E-2</v>
      </c>
      <c r="BP24" s="380">
        <f t="shared" si="49"/>
        <v>0</v>
      </c>
      <c r="BQ24" s="380">
        <f t="shared" si="49"/>
        <v>0</v>
      </c>
    </row>
    <row r="25" spans="1:69" s="221" customFormat="1" x14ac:dyDescent="0.25">
      <c r="A25"/>
      <c r="B25"/>
      <c r="C25" s="199"/>
      <c r="D25" s="163"/>
      <c r="E25"/>
      <c r="F25"/>
      <c r="G25" s="369"/>
      <c r="H25" s="4"/>
      <c r="I25"/>
      <c r="J25" s="145"/>
      <c r="K25"/>
      <c r="L25"/>
      <c r="M25"/>
      <c r="N25"/>
      <c r="O25"/>
      <c r="P25"/>
      <c r="Q25" s="397"/>
      <c r="R25" s="397"/>
      <c r="S25" s="369"/>
      <c r="T25" s="369"/>
      <c r="U25" s="369"/>
      <c r="V25" s="369"/>
      <c r="W25" s="369"/>
      <c r="X25" s="369"/>
      <c r="Y25" s="470"/>
      <c r="Z25" s="369"/>
      <c r="AA25" s="369"/>
      <c r="AB25" s="369"/>
      <c r="AC25" s="369"/>
      <c r="AD25" s="369"/>
      <c r="AE25" s="369"/>
      <c r="AF25" s="369"/>
      <c r="AG25" s="369"/>
      <c r="AH25" s="369"/>
      <c r="AI25"/>
      <c r="AJ25"/>
      <c r="AK25"/>
      <c r="AL25"/>
      <c r="AM25"/>
      <c r="AN25"/>
      <c r="AO25"/>
      <c r="AQ25" s="374" t="s">
        <v>427</v>
      </c>
      <c r="AR25" s="233" t="str">
        <f>D15</f>
        <v>C. Rojas</v>
      </c>
      <c r="AS25" s="379">
        <f t="shared" si="44"/>
        <v>0</v>
      </c>
      <c r="AT25" s="379">
        <f t="shared" ref="AT25:BC25" si="50">AT11</f>
        <v>0</v>
      </c>
      <c r="AU25" s="379">
        <f t="shared" si="50"/>
        <v>0</v>
      </c>
      <c r="AV25" s="379">
        <f t="shared" si="50"/>
        <v>0</v>
      </c>
      <c r="AW25" s="379">
        <f t="shared" si="50"/>
        <v>0</v>
      </c>
      <c r="AX25" s="379">
        <f t="shared" si="50"/>
        <v>0</v>
      </c>
      <c r="AY25" s="379">
        <f t="shared" si="50"/>
        <v>0</v>
      </c>
      <c r="AZ25" s="382">
        <f t="shared" si="50"/>
        <v>1.4999999999999999E-2</v>
      </c>
      <c r="BA25" s="382">
        <f t="shared" si="50"/>
        <v>1.4999999999999999E-2</v>
      </c>
      <c r="BB25" s="382">
        <f t="shared" si="50"/>
        <v>0</v>
      </c>
      <c r="BC25" s="382">
        <f t="shared" si="50"/>
        <v>0</v>
      </c>
      <c r="BE25" s="374" t="s">
        <v>427</v>
      </c>
      <c r="BF25" s="233" t="str">
        <f>D14</f>
        <v>S. Buscleman</v>
      </c>
      <c r="BG25" s="379">
        <f t="shared" ref="BG25:BM25" si="51">AS9</f>
        <v>0</v>
      </c>
      <c r="BH25" s="379">
        <f t="shared" si="51"/>
        <v>0</v>
      </c>
      <c r="BI25" s="379">
        <f t="shared" si="51"/>
        <v>0</v>
      </c>
      <c r="BJ25" s="379">
        <f t="shared" si="51"/>
        <v>0</v>
      </c>
      <c r="BK25" s="379">
        <f t="shared" si="51"/>
        <v>0</v>
      </c>
      <c r="BL25" s="379">
        <f t="shared" si="51"/>
        <v>0</v>
      </c>
      <c r="BM25" s="379">
        <f t="shared" si="51"/>
        <v>0</v>
      </c>
      <c r="BN25" s="382">
        <f t="shared" ref="BN25" si="52">AZ9</f>
        <v>0.03</v>
      </c>
      <c r="BO25" s="382">
        <f>BA9</f>
        <v>0.03</v>
      </c>
      <c r="BP25" s="382">
        <f>BB9</f>
        <v>0</v>
      </c>
      <c r="BQ25" s="382">
        <f>BC9</f>
        <v>0</v>
      </c>
    </row>
    <row r="26" spans="1:69" s="237" customFormat="1" ht="14.25" customHeight="1" x14ac:dyDescent="0.25">
      <c r="A26"/>
      <c r="B26"/>
      <c r="C26" s="199"/>
      <c r="D26" s="163"/>
      <c r="E26"/>
      <c r="F26"/>
      <c r="G26" s="369"/>
      <c r="H26" s="4"/>
      <c r="I26"/>
      <c r="J26" s="145"/>
      <c r="K26"/>
      <c r="L26"/>
      <c r="M26"/>
      <c r="N26"/>
      <c r="O26"/>
      <c r="P26"/>
      <c r="Q26" s="397"/>
      <c r="R26" s="397"/>
      <c r="S26" s="369"/>
      <c r="T26" s="369"/>
      <c r="U26" s="369"/>
      <c r="V26" s="369"/>
      <c r="W26" s="369"/>
      <c r="X26" s="369"/>
      <c r="Y26" s="470"/>
      <c r="Z26" s="369"/>
      <c r="AA26" s="369"/>
      <c r="AB26" s="369"/>
      <c r="AC26" s="369"/>
      <c r="AD26" s="369"/>
      <c r="AE26" s="369"/>
      <c r="AF26" s="369"/>
      <c r="AG26" s="369"/>
      <c r="AH26" s="369"/>
      <c r="AI26"/>
      <c r="AJ26"/>
      <c r="AK26"/>
      <c r="AL26"/>
      <c r="AM26"/>
      <c r="AN26"/>
      <c r="AO26"/>
      <c r="AQ26" s="472" t="s">
        <v>522</v>
      </c>
      <c r="AR26" s="233" t="str">
        <f>AR12</f>
        <v>K. Helms</v>
      </c>
      <c r="AS26" s="379">
        <f t="shared" si="44"/>
        <v>0</v>
      </c>
      <c r="AT26" s="379">
        <f t="shared" ref="AT26:AY26" si="53">AT12</f>
        <v>0</v>
      </c>
      <c r="AU26" s="379">
        <f t="shared" si="53"/>
        <v>0</v>
      </c>
      <c r="AV26" s="379">
        <f t="shared" si="53"/>
        <v>0</v>
      </c>
      <c r="AW26" s="379">
        <f t="shared" si="53"/>
        <v>0</v>
      </c>
      <c r="AX26" s="379">
        <f t="shared" si="53"/>
        <v>0</v>
      </c>
      <c r="AY26" s="379">
        <f t="shared" si="53"/>
        <v>0</v>
      </c>
      <c r="AZ26" s="382">
        <f>AZ12</f>
        <v>1.1999999999999957E-2</v>
      </c>
      <c r="BA26" s="382">
        <f t="shared" ref="BA26:BC26" si="54">BA12</f>
        <v>1.1999999999999957E-2</v>
      </c>
      <c r="BB26" s="382">
        <f t="shared" si="54"/>
        <v>0</v>
      </c>
      <c r="BC26" s="382">
        <f t="shared" si="54"/>
        <v>0</v>
      </c>
      <c r="BE26" s="374" t="s">
        <v>427</v>
      </c>
      <c r="BF26" s="233" t="str">
        <f>D15</f>
        <v>C. Rojas</v>
      </c>
      <c r="BG26" s="379">
        <f t="shared" ref="BG26:BM26" si="55">AS11</f>
        <v>0</v>
      </c>
      <c r="BH26" s="379">
        <f t="shared" si="55"/>
        <v>0</v>
      </c>
      <c r="BI26" s="379">
        <f t="shared" si="55"/>
        <v>0</v>
      </c>
      <c r="BJ26" s="379">
        <f t="shared" si="55"/>
        <v>0</v>
      </c>
      <c r="BK26" s="379">
        <f t="shared" si="55"/>
        <v>0</v>
      </c>
      <c r="BL26" s="379">
        <f t="shared" si="55"/>
        <v>0</v>
      </c>
      <c r="BM26" s="379">
        <f t="shared" si="55"/>
        <v>0</v>
      </c>
      <c r="BN26" s="382">
        <f t="shared" ref="BN26" si="56">AZ11</f>
        <v>1.4999999999999999E-2</v>
      </c>
      <c r="BO26" s="382">
        <f>BA11</f>
        <v>1.4999999999999999E-2</v>
      </c>
      <c r="BP26" s="382">
        <f>BB11</f>
        <v>0</v>
      </c>
      <c r="BQ26" s="382">
        <f>BC11</f>
        <v>0</v>
      </c>
    </row>
    <row r="27" spans="1:69" x14ac:dyDescent="0.25">
      <c r="W27" s="369">
        <v>1</v>
      </c>
      <c r="AQ27" s="471" t="s">
        <v>66</v>
      </c>
      <c r="AR27" s="276" t="str">
        <f>D21</f>
        <v>J. Limon</v>
      </c>
      <c r="AS27" s="377">
        <f t="shared" si="44"/>
        <v>0</v>
      </c>
      <c r="AT27" s="377">
        <f t="shared" ref="AT27:BC27" si="57">AT13</f>
        <v>0</v>
      </c>
      <c r="AU27" s="377">
        <f t="shared" si="57"/>
        <v>0</v>
      </c>
      <c r="AV27" s="377">
        <f t="shared" si="57"/>
        <v>0</v>
      </c>
      <c r="AW27" s="377">
        <f t="shared" si="57"/>
        <v>0</v>
      </c>
      <c r="AX27" s="377">
        <f t="shared" si="57"/>
        <v>0</v>
      </c>
      <c r="AY27" s="377">
        <f t="shared" si="57"/>
        <v>0</v>
      </c>
      <c r="AZ27" s="496">
        <f t="shared" si="57"/>
        <v>0.06</v>
      </c>
      <c r="BA27" s="496">
        <f t="shared" si="57"/>
        <v>1.4999999999999999E-2</v>
      </c>
      <c r="BB27" s="380">
        <f t="shared" si="57"/>
        <v>0</v>
      </c>
      <c r="BC27" s="380">
        <f t="shared" si="57"/>
        <v>0</v>
      </c>
      <c r="BE27" s="471" t="s">
        <v>522</v>
      </c>
      <c r="BF27" s="276" t="str">
        <f>D13</f>
        <v>S. Zobbe</v>
      </c>
      <c r="BG27" s="379">
        <v>0</v>
      </c>
      <c r="BH27" s="379">
        <f>AJ13*0.18</f>
        <v>0</v>
      </c>
      <c r="BI27" s="379">
        <f>AJ13*0.068</f>
        <v>0</v>
      </c>
      <c r="BJ27" s="379">
        <f>AK13*0.305</f>
        <v>0</v>
      </c>
      <c r="BK27" s="379">
        <v>0</v>
      </c>
      <c r="BL27" s="379">
        <f>(AL13*1)+(AM13*0.286)</f>
        <v>0</v>
      </c>
      <c r="BM27" s="379">
        <f>AM13*0.135</f>
        <v>0</v>
      </c>
      <c r="BN27" s="382">
        <f>AZ14</f>
        <v>1.4999999999999999E-2</v>
      </c>
      <c r="BO27" s="382">
        <f t="shared" ref="BO27:BQ27" si="58">BA14</f>
        <v>1.4999999999999999E-2</v>
      </c>
      <c r="BP27" s="382">
        <f t="shared" si="58"/>
        <v>0</v>
      </c>
      <c r="BQ27" s="382">
        <f t="shared" si="58"/>
        <v>0</v>
      </c>
    </row>
    <row r="28" spans="1:69" x14ac:dyDescent="0.25">
      <c r="Q28" s="152"/>
      <c r="W28" s="369">
        <v>0.8</v>
      </c>
      <c r="AQ28" s="472" t="s">
        <v>66</v>
      </c>
      <c r="AR28" s="233" t="str">
        <f>AR14</f>
        <v>S. Zobbe</v>
      </c>
      <c r="AS28" s="379">
        <f t="shared" si="44"/>
        <v>0</v>
      </c>
      <c r="AT28" s="379">
        <f t="shared" ref="AT28:AY28" si="59">AT14</f>
        <v>0</v>
      </c>
      <c r="AU28" s="379">
        <f t="shared" si="59"/>
        <v>0</v>
      </c>
      <c r="AV28" s="379">
        <f t="shared" si="59"/>
        <v>0</v>
      </c>
      <c r="AW28" s="379">
        <f t="shared" si="59"/>
        <v>0</v>
      </c>
      <c r="AX28" s="379">
        <f t="shared" si="59"/>
        <v>0</v>
      </c>
      <c r="AY28" s="379">
        <f t="shared" si="59"/>
        <v>0</v>
      </c>
      <c r="AZ28" s="380">
        <f>AZ14</f>
        <v>1.4999999999999999E-2</v>
      </c>
      <c r="BA28" s="380">
        <f t="shared" ref="BA28:BC28" si="60">BA14</f>
        <v>1.4999999999999999E-2</v>
      </c>
      <c r="BB28" s="380">
        <f t="shared" si="60"/>
        <v>0</v>
      </c>
      <c r="BC28" s="380">
        <f t="shared" si="60"/>
        <v>0</v>
      </c>
      <c r="BE28" s="472" t="s">
        <v>66</v>
      </c>
      <c r="BF28" s="233" t="str">
        <f>D21</f>
        <v>J. Limon</v>
      </c>
      <c r="BG28" s="377">
        <f t="shared" ref="BG28:BM28" si="61">AS13</f>
        <v>0</v>
      </c>
      <c r="BH28" s="377">
        <f t="shared" si="61"/>
        <v>0</v>
      </c>
      <c r="BI28" s="377">
        <f t="shared" si="61"/>
        <v>0</v>
      </c>
      <c r="BJ28" s="377">
        <f t="shared" si="61"/>
        <v>0</v>
      </c>
      <c r="BK28" s="377">
        <f t="shared" si="61"/>
        <v>0</v>
      </c>
      <c r="BL28" s="377">
        <f t="shared" si="61"/>
        <v>0</v>
      </c>
      <c r="BM28" s="377">
        <f t="shared" si="61"/>
        <v>0</v>
      </c>
      <c r="BN28" s="496">
        <f t="shared" ref="BN28" si="62">AZ13</f>
        <v>0.06</v>
      </c>
      <c r="BO28" s="496">
        <f>BA13</f>
        <v>1.4999999999999999E-2</v>
      </c>
      <c r="BP28" s="380">
        <f>BB13</f>
        <v>0</v>
      </c>
      <c r="BQ28" s="380">
        <f>BC13</f>
        <v>0</v>
      </c>
    </row>
    <row r="29" spans="1:69" x14ac:dyDescent="0.25">
      <c r="K29">
        <v>0.8</v>
      </c>
      <c r="W29" s="369">
        <f>W27-W28</f>
        <v>0.19999999999999996</v>
      </c>
      <c r="X29" s="369">
        <v>3</v>
      </c>
      <c r="AB29" s="152"/>
      <c r="AC29" s="152"/>
      <c r="AD29" s="152"/>
      <c r="AE29" s="152"/>
      <c r="AF29" s="152"/>
      <c r="AG29" s="152"/>
      <c r="AH29" s="152"/>
      <c r="AQ29" s="375"/>
      <c r="AR29" s="376"/>
      <c r="AS29" s="376"/>
      <c r="AT29" s="376"/>
      <c r="AU29" s="376"/>
      <c r="AV29" s="376"/>
      <c r="AW29" s="376"/>
      <c r="AX29" s="376"/>
      <c r="AY29" s="376"/>
      <c r="AZ29" s="376"/>
      <c r="BA29" s="376"/>
      <c r="BB29" s="376"/>
      <c r="BC29" s="376"/>
    </row>
    <row r="30" spans="1:69" x14ac:dyDescent="0.25">
      <c r="K30">
        <f>1-K29</f>
        <v>0.19999999999999996</v>
      </c>
      <c r="W30" s="369">
        <v>1</v>
      </c>
      <c r="X30" s="369">
        <f>X29/W29</f>
        <v>15.000000000000004</v>
      </c>
      <c r="AB30" s="152"/>
      <c r="AC30" s="152"/>
      <c r="AD30" s="152"/>
      <c r="AE30" s="152"/>
      <c r="AF30" s="152"/>
      <c r="AG30" s="152"/>
      <c r="AH30" s="152"/>
    </row>
    <row r="31" spans="1:69" x14ac:dyDescent="0.25">
      <c r="J31" s="145">
        <v>1</v>
      </c>
      <c r="K31">
        <f>K30/J31</f>
        <v>0.19999999999999996</v>
      </c>
      <c r="AB31" s="152"/>
      <c r="AC31" s="152"/>
      <c r="AD31" s="152"/>
      <c r="AE31" s="152"/>
      <c r="AF31" s="152"/>
      <c r="AG31" s="152"/>
      <c r="AH31" s="152"/>
    </row>
    <row r="32" spans="1:69" x14ac:dyDescent="0.25">
      <c r="AB32" s="152"/>
      <c r="AC32" s="152"/>
      <c r="AD32" s="152"/>
      <c r="AE32" s="152"/>
      <c r="AF32" s="152"/>
      <c r="AG32" s="152"/>
      <c r="AH32" s="152"/>
    </row>
    <row r="33" spans="28:34" x14ac:dyDescent="0.25">
      <c r="AB33" s="152"/>
      <c r="AC33" s="152"/>
      <c r="AD33" s="152"/>
      <c r="AE33" s="152"/>
      <c r="AF33" s="152"/>
      <c r="AG33" s="152"/>
      <c r="AH33" s="152"/>
    </row>
    <row r="34" spans="28:34" x14ac:dyDescent="0.25">
      <c r="AB34" s="152"/>
      <c r="AC34" s="152"/>
      <c r="AD34" s="152"/>
      <c r="AE34" s="152"/>
      <c r="AF34" s="152"/>
      <c r="AG34" s="152"/>
      <c r="AH34" s="152"/>
    </row>
  </sheetData>
  <autoFilter ref="S3:Z24" xr:uid="{00000000-0009-0000-0000-000009000000}"/>
  <mergeCells count="8">
    <mergeCell ref="E2:G2"/>
    <mergeCell ref="AQ1:BC1"/>
    <mergeCell ref="AQ3:AR3"/>
    <mergeCell ref="AQ17:AR17"/>
    <mergeCell ref="BE3:BF3"/>
    <mergeCell ref="BE17:BF17"/>
    <mergeCell ref="S1:U1"/>
    <mergeCell ref="W1:X1"/>
  </mergeCells>
  <conditionalFormatting sqref="AI4:AO23">
    <cfRule type="cellIs" dxfId="118" priority="91" operator="greaterThan">
      <formula>0</formula>
    </cfRule>
  </conditionalFormatting>
  <conditionalFormatting sqref="AS4:AY13 AS14:AU14">
    <cfRule type="cellIs" dxfId="117"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116" priority="48" operator="lessThan">
      <formula>0.2</formula>
    </cfRule>
    <cfRule type="cellIs" dxfId="115"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114" priority="42" operator="greaterThan">
      <formula>0</formula>
    </cfRule>
  </conditionalFormatting>
  <conditionalFormatting sqref="AS19:AY19 AS24:AY24 AS21:AY22 AV20:AW20 AY20">
    <cfRule type="cellIs" dxfId="113" priority="47" operator="greaterThan">
      <formula>0</formula>
    </cfRule>
  </conditionalFormatting>
  <conditionalFormatting sqref="BG6:BM7 BG12:BM13">
    <cfRule type="cellIs" dxfId="112" priority="45" operator="greaterThan">
      <formula>0</formula>
    </cfRule>
  </conditionalFormatting>
  <conditionalFormatting sqref="AS18:AY18">
    <cfRule type="cellIs" dxfId="111" priority="41" operator="greaterThan">
      <formula>0</formula>
    </cfRule>
  </conditionalFormatting>
  <conditionalFormatting sqref="BG20:BM20 BG22:BM22">
    <cfRule type="cellIs" dxfId="110" priority="43" operator="greaterThan">
      <formula>0</formula>
    </cfRule>
  </conditionalFormatting>
  <conditionalFormatting sqref="BG4:BM4">
    <cfRule type="cellIs" dxfId="109" priority="40" operator="greaterThan">
      <formula>0</formula>
    </cfRule>
  </conditionalFormatting>
  <conditionalFormatting sqref="BG18:BM18">
    <cfRule type="cellIs" dxfId="108" priority="39" operator="greaterThan">
      <formula>0</formula>
    </cfRule>
  </conditionalFormatting>
  <conditionalFormatting sqref="BG21:BM21">
    <cfRule type="cellIs" dxfId="107" priority="36" operator="greaterThan">
      <formula>0</formula>
    </cfRule>
  </conditionalFormatting>
  <conditionalFormatting sqref="BG19:BM19">
    <cfRule type="cellIs" dxfId="106" priority="37" operator="greaterThan">
      <formula>0</formula>
    </cfRule>
  </conditionalFormatting>
  <conditionalFormatting sqref="AS23:AY23">
    <cfRule type="cellIs" dxfId="105" priority="34" operator="greaterThan">
      <formula>0</formula>
    </cfRule>
  </conditionalFormatting>
  <conditionalFormatting sqref="BG9:BM9">
    <cfRule type="cellIs" dxfId="104" priority="33" operator="greaterThan">
      <formula>0</formula>
    </cfRule>
  </conditionalFormatting>
  <conditionalFormatting sqref="BG23:BM23">
    <cfRule type="cellIs" dxfId="103" priority="32" operator="greaterThan">
      <formula>0</formula>
    </cfRule>
  </conditionalFormatting>
  <conditionalFormatting sqref="BG10:BM10">
    <cfRule type="cellIs" dxfId="102" priority="31" operator="greaterThan">
      <formula>0</formula>
    </cfRule>
  </conditionalFormatting>
  <conditionalFormatting sqref="BG24:BM24">
    <cfRule type="cellIs" dxfId="101" priority="30" operator="greaterThan">
      <formula>0</formula>
    </cfRule>
  </conditionalFormatting>
  <conditionalFormatting sqref="AS25:AY25">
    <cfRule type="cellIs" dxfId="100" priority="29" operator="greaterThan">
      <formula>0</formula>
    </cfRule>
  </conditionalFormatting>
  <conditionalFormatting sqref="BG11:BM11">
    <cfRule type="cellIs" dxfId="99" priority="28" operator="greaterThan">
      <formula>0</formula>
    </cfRule>
  </conditionalFormatting>
  <conditionalFormatting sqref="AS26:AY26">
    <cfRule type="cellIs" dxfId="98" priority="26" operator="greaterThan">
      <formula>0</formula>
    </cfRule>
  </conditionalFormatting>
  <conditionalFormatting sqref="BG26:BM26">
    <cfRule type="cellIs" dxfId="97" priority="25" operator="greaterThan">
      <formula>0</formula>
    </cfRule>
  </conditionalFormatting>
  <conditionalFormatting sqref="AS27:AY27">
    <cfRule type="cellIs" dxfId="96" priority="24" operator="greaterThan">
      <formula>0</formula>
    </cfRule>
  </conditionalFormatting>
  <conditionalFormatting sqref="BG27:BM27">
    <cfRule type="cellIs" dxfId="95" priority="23" operator="greaterThan">
      <formula>0</formula>
    </cfRule>
  </conditionalFormatting>
  <conditionalFormatting sqref="AV14:AY14">
    <cfRule type="cellIs" dxfId="94" priority="22" operator="greaterThan">
      <formula>0</formula>
    </cfRule>
  </conditionalFormatting>
  <conditionalFormatting sqref="AS28:AY28">
    <cfRule type="cellIs" dxfId="93" priority="21" operator="greaterThan">
      <formula>0</formula>
    </cfRule>
  </conditionalFormatting>
  <conditionalFormatting sqref="BG14:BI14">
    <cfRule type="cellIs" dxfId="92" priority="19" operator="greaterThan">
      <formula>0</formula>
    </cfRule>
  </conditionalFormatting>
  <conditionalFormatting sqref="BG28:BM28">
    <cfRule type="cellIs" dxfId="91" priority="17" operator="greaterThan">
      <formula>0</formula>
    </cfRule>
  </conditionalFormatting>
  <conditionalFormatting sqref="BG25:BM25">
    <cfRule type="cellIs" dxfId="90" priority="16" operator="greaterThan">
      <formula>0</formula>
    </cfRule>
  </conditionalFormatting>
  <conditionalFormatting sqref="AS20:AU20">
    <cfRule type="cellIs" dxfId="89" priority="8" operator="greaterThan">
      <formula>0</formula>
    </cfRule>
  </conditionalFormatting>
  <conditionalFormatting sqref="AX20">
    <cfRule type="cellIs" dxfId="88" priority="7" operator="greaterThan">
      <formula>0</formula>
    </cfRule>
  </conditionalFormatting>
  <conditionalFormatting sqref="BJ14:BM14">
    <cfRule type="cellIs" dxfId="87" priority="6" operator="greaterThan">
      <formula>0</formula>
    </cfRule>
  </conditionalFormatting>
  <conditionalFormatting sqref="BG2:BM2">
    <cfRule type="cellIs" dxfId="86" priority="5" operator="greaterThan">
      <formula>0</formula>
    </cfRule>
  </conditionalFormatting>
  <conditionalFormatting sqref="AS2:AY2">
    <cfRule type="cellIs" dxfId="85" priority="4" operator="greaterThan">
      <formula>0</formula>
    </cfRule>
  </conditionalFormatting>
  <conditionalFormatting sqref="AS16:AY16">
    <cfRule type="cellIs" dxfId="84" priority="3" operator="greaterThan">
      <formula>0</formula>
    </cfRule>
  </conditionalFormatting>
  <conditionalFormatting sqref="J4:P23">
    <cfRule type="cellIs" dxfId="83"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82" priority="1" operator="greaterThan">
      <formula>0</formula>
    </cfRule>
  </conditionalFormatting>
  <conditionalFormatting sqref="BG5:BM5">
    <cfRule type="cellIs" dxfId="81"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470" customWidth="1"/>
    <col min="2" max="2" width="14.28515625" style="470" bestFit="1" customWidth="1"/>
    <col min="3" max="9" width="8.28515625" style="470" bestFit="1" customWidth="1"/>
    <col min="10" max="10" width="8.28515625" style="493" bestFit="1" customWidth="1"/>
    <col min="11" max="11" width="9.28515625" style="493" bestFit="1" customWidth="1"/>
    <col min="12" max="12" width="8.28515625" style="470"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13"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604</v>
      </c>
      <c r="C1" s="522">
        <f t="shared" ref="C1:L1" si="0">MAX(C3:C27)</f>
        <v>7.6541020779221203E-2</v>
      </c>
      <c r="D1" s="522">
        <f t="shared" si="0"/>
        <v>9.516709370629349E-2</v>
      </c>
      <c r="E1" s="522">
        <f t="shared" si="0"/>
        <v>0.10114897692307692</v>
      </c>
      <c r="F1" s="522">
        <f t="shared" si="0"/>
        <v>5.254696863959811E-2</v>
      </c>
      <c r="G1" s="522">
        <f t="shared" si="0"/>
        <v>5.2239892473118138E-2</v>
      </c>
      <c r="H1" s="522">
        <f t="shared" si="0"/>
        <v>8.0176190476190248E-2</v>
      </c>
      <c r="I1" s="522">
        <f t="shared" si="0"/>
        <v>5.7961761904761842E-2</v>
      </c>
      <c r="J1" s="522">
        <f t="shared" si="0"/>
        <v>0</v>
      </c>
      <c r="K1" s="522">
        <f t="shared" si="0"/>
        <v>3.6222627372627408E-2</v>
      </c>
      <c r="L1" s="522">
        <f t="shared" si="0"/>
        <v>0.16964285714285698</v>
      </c>
      <c r="N1" s="470"/>
      <c r="O1" s="470"/>
      <c r="P1" s="473"/>
      <c r="Q1" s="473"/>
      <c r="R1" s="473"/>
      <c r="S1" s="473"/>
      <c r="T1" s="473"/>
      <c r="U1" s="473"/>
      <c r="V1" s="473"/>
      <c r="W1" s="473"/>
      <c r="X1" s="473"/>
      <c r="Y1" s="582"/>
      <c r="Z1" s="473"/>
      <c r="AA1" s="473"/>
      <c r="AB1" s="473"/>
      <c r="AC1" s="473"/>
      <c r="AD1" s="473"/>
      <c r="AE1" s="473"/>
      <c r="AF1" s="473"/>
      <c r="AG1" s="473"/>
    </row>
    <row r="2" spans="1:33" x14ac:dyDescent="0.25">
      <c r="A2" s="577" t="s">
        <v>596</v>
      </c>
      <c r="B2" s="578" t="s">
        <v>595</v>
      </c>
      <c r="C2" s="300" t="s">
        <v>405</v>
      </c>
      <c r="D2" s="476" t="s">
        <v>406</v>
      </c>
      <c r="E2" s="476" t="s">
        <v>419</v>
      </c>
      <c r="F2" s="476" t="s">
        <v>407</v>
      </c>
      <c r="G2" s="476" t="s">
        <v>408</v>
      </c>
      <c r="H2" s="476" t="s">
        <v>409</v>
      </c>
      <c r="I2" s="476" t="s">
        <v>410</v>
      </c>
      <c r="J2" s="476" t="s">
        <v>605</v>
      </c>
      <c r="K2" s="476" t="s">
        <v>606</v>
      </c>
      <c r="L2" s="476" t="s">
        <v>471</v>
      </c>
      <c r="N2" s="577" t="s">
        <v>596</v>
      </c>
      <c r="O2" s="578" t="s">
        <v>595</v>
      </c>
      <c r="P2" s="300" t="s">
        <v>405</v>
      </c>
      <c r="Q2" s="476" t="s">
        <v>726</v>
      </c>
      <c r="R2" s="476" t="s">
        <v>406</v>
      </c>
      <c r="S2" s="476" t="s">
        <v>726</v>
      </c>
      <c r="T2" s="476" t="s">
        <v>419</v>
      </c>
      <c r="U2" s="476" t="s">
        <v>726</v>
      </c>
      <c r="V2" s="476" t="s">
        <v>407</v>
      </c>
      <c r="W2" s="476" t="s">
        <v>726</v>
      </c>
      <c r="X2" s="476" t="s">
        <v>408</v>
      </c>
      <c r="Y2" s="476" t="s">
        <v>726</v>
      </c>
      <c r="Z2" s="476" t="s">
        <v>409</v>
      </c>
      <c r="AA2" s="476" t="s">
        <v>726</v>
      </c>
      <c r="AB2" s="476" t="s">
        <v>410</v>
      </c>
      <c r="AC2" s="476" t="s">
        <v>726</v>
      </c>
      <c r="AD2" s="519" t="s">
        <v>605</v>
      </c>
      <c r="AE2" s="519" t="s">
        <v>726</v>
      </c>
      <c r="AF2" s="519" t="s">
        <v>606</v>
      </c>
      <c r="AG2" s="519" t="s">
        <v>726</v>
      </c>
    </row>
    <row r="3" spans="1:33" x14ac:dyDescent="0.25">
      <c r="A3" s="475" t="s">
        <v>597</v>
      </c>
      <c r="B3" s="474" t="s">
        <v>173</v>
      </c>
      <c r="C3" s="484"/>
      <c r="D3" s="485"/>
      <c r="E3" s="485"/>
      <c r="F3" s="485"/>
      <c r="G3" s="485"/>
      <c r="H3" s="485"/>
      <c r="I3" s="485"/>
      <c r="J3" s="485"/>
      <c r="K3" s="485"/>
      <c r="L3" s="485"/>
      <c r="M3" s="9"/>
      <c r="N3" s="523" t="s">
        <v>597</v>
      </c>
      <c r="O3" s="524" t="s">
        <v>173</v>
      </c>
      <c r="P3" s="487">
        <f>C3/$C$4</f>
        <v>0</v>
      </c>
      <c r="Q3" s="590" t="e">
        <f>1/C3</f>
        <v>#DIV/0!</v>
      </c>
      <c r="R3" s="487">
        <f>D3/D1</f>
        <v>0</v>
      </c>
      <c r="S3" s="590" t="e">
        <f>1/D3</f>
        <v>#DIV/0!</v>
      </c>
      <c r="T3" s="487">
        <f>E3/E1</f>
        <v>0</v>
      </c>
      <c r="U3" s="590" t="e">
        <f>1/E3</f>
        <v>#DIV/0!</v>
      </c>
      <c r="V3" s="488"/>
      <c r="W3" s="488"/>
      <c r="X3" s="488"/>
      <c r="Y3" s="583"/>
      <c r="Z3" s="488"/>
      <c r="AA3" s="488"/>
      <c r="AB3" s="488"/>
      <c r="AC3" s="488"/>
      <c r="AD3" s="488"/>
      <c r="AE3" s="488"/>
      <c r="AF3" s="488">
        <f>K3/K1</f>
        <v>0</v>
      </c>
      <c r="AG3" s="583"/>
    </row>
    <row r="4" spans="1:33" x14ac:dyDescent="0.25">
      <c r="A4" s="651" t="s">
        <v>598</v>
      </c>
      <c r="B4" s="482" t="s">
        <v>551</v>
      </c>
      <c r="C4" s="525">
        <v>5.9340247552447711E-2</v>
      </c>
      <c r="D4" s="499">
        <v>6.8999559240759498E-2</v>
      </c>
      <c r="E4" s="499">
        <v>7.5579372027972075E-2</v>
      </c>
      <c r="F4" s="499"/>
      <c r="G4" s="499"/>
      <c r="H4" s="499"/>
      <c r="I4" s="499"/>
      <c r="J4" s="499">
        <v>0</v>
      </c>
      <c r="K4" s="499">
        <v>3.6222627372627408E-2</v>
      </c>
      <c r="L4" s="499"/>
      <c r="M4" s="9"/>
      <c r="N4" s="653" t="s">
        <v>598</v>
      </c>
      <c r="O4" s="526" t="s">
        <v>551</v>
      </c>
      <c r="P4" s="489">
        <f>C4/$C$1</f>
        <v>0.77527379369046734</v>
      </c>
      <c r="Q4" s="584">
        <f>1/C4</f>
        <v>16.851968794301925</v>
      </c>
      <c r="R4" s="490">
        <f>D4/$D$1</f>
        <v>0.72503589795131562</v>
      </c>
      <c r="S4" s="584">
        <f>1/D4</f>
        <v>14.492846200809916</v>
      </c>
      <c r="T4" s="490">
        <f>E4/$E$1</f>
        <v>0.74720846742176794</v>
      </c>
      <c r="U4" s="584">
        <f>1/E4</f>
        <v>13.231123429153367</v>
      </c>
      <c r="V4" s="490"/>
      <c r="W4" s="490"/>
      <c r="X4" s="489"/>
      <c r="Y4" s="584"/>
      <c r="Z4" s="490"/>
      <c r="AA4" s="490"/>
      <c r="AB4" s="490"/>
      <c r="AC4" s="490"/>
      <c r="AD4" s="489"/>
      <c r="AE4" s="489"/>
      <c r="AF4" s="489">
        <f>K4/K1</f>
        <v>1</v>
      </c>
      <c r="AG4" s="588"/>
    </row>
    <row r="5" spans="1:33" x14ac:dyDescent="0.25">
      <c r="A5" s="651"/>
      <c r="B5" s="482" t="s">
        <v>550</v>
      </c>
      <c r="C5" s="520"/>
      <c r="D5" s="486"/>
      <c r="E5" s="486"/>
      <c r="F5" s="486">
        <v>5.254696863959811E-2</v>
      </c>
      <c r="G5" s="486"/>
      <c r="H5" s="486"/>
      <c r="I5" s="486"/>
      <c r="J5" s="486"/>
      <c r="K5" s="486"/>
      <c r="L5" s="486"/>
      <c r="M5" s="9"/>
      <c r="N5" s="653"/>
      <c r="O5" s="526" t="s">
        <v>550</v>
      </c>
      <c r="P5" s="491"/>
      <c r="Q5" s="585"/>
      <c r="R5" s="478"/>
      <c r="S5" s="585"/>
      <c r="T5" s="478"/>
      <c r="U5" s="585"/>
      <c r="V5" s="478">
        <f>F5/F1</f>
        <v>1</v>
      </c>
      <c r="W5" s="585">
        <f>1/F5</f>
        <v>19.03059350309362</v>
      </c>
      <c r="X5" s="491"/>
      <c r="Y5" s="585"/>
      <c r="Z5" s="478"/>
      <c r="AA5" s="478"/>
      <c r="AB5" s="478"/>
      <c r="AC5" s="478"/>
      <c r="AD5" s="491"/>
      <c r="AE5" s="491"/>
      <c r="AF5" s="491"/>
      <c r="AG5" s="587"/>
    </row>
    <row r="6" spans="1:33" x14ac:dyDescent="0.25">
      <c r="A6" s="651"/>
      <c r="B6" s="482" t="s">
        <v>602</v>
      </c>
      <c r="C6" s="520"/>
      <c r="D6" s="486"/>
      <c r="E6" s="486"/>
      <c r="F6" s="486"/>
      <c r="G6" s="486">
        <v>3.9584999999999822E-2</v>
      </c>
      <c r="H6" s="486">
        <v>6.3542692307692147E-2</v>
      </c>
      <c r="I6" s="486">
        <v>0</v>
      </c>
      <c r="J6" s="486"/>
      <c r="K6" s="486"/>
      <c r="L6" s="486"/>
      <c r="M6" s="9"/>
      <c r="N6" s="653"/>
      <c r="O6" s="526" t="s">
        <v>602</v>
      </c>
      <c r="P6" s="491"/>
      <c r="Q6" s="585"/>
      <c r="R6" s="478"/>
      <c r="S6" s="585"/>
      <c r="T6" s="478"/>
      <c r="U6" s="585"/>
      <c r="V6" s="478"/>
      <c r="W6" s="585"/>
      <c r="X6" s="491">
        <f>G6/$G$1</f>
        <v>0.75775423964300204</v>
      </c>
      <c r="Y6" s="585">
        <f>1/G6</f>
        <v>25.262094227611584</v>
      </c>
      <c r="Z6" s="478">
        <f>H6/$H$1</f>
        <v>0.79253818284821453</v>
      </c>
      <c r="AA6" s="585">
        <f>1/H6</f>
        <v>15.737450896126811</v>
      </c>
      <c r="AB6" s="478">
        <f>I6/$I$1</f>
        <v>0</v>
      </c>
      <c r="AC6" s="478"/>
      <c r="AD6" s="491"/>
      <c r="AE6" s="491"/>
      <c r="AF6" s="491"/>
      <c r="AG6" s="587"/>
    </row>
    <row r="7" spans="1:33" x14ac:dyDescent="0.25">
      <c r="A7" s="651"/>
      <c r="B7" s="482" t="s">
        <v>603</v>
      </c>
      <c r="C7" s="520"/>
      <c r="D7" s="486"/>
      <c r="E7" s="486"/>
      <c r="F7" s="486"/>
      <c r="G7" s="486">
        <v>3.3714285714285648E-2</v>
      </c>
      <c r="H7" s="486">
        <v>3.433928571428569E-2</v>
      </c>
      <c r="I7" s="486">
        <v>4.9198011904761828E-2</v>
      </c>
      <c r="J7" s="486"/>
      <c r="K7" s="486"/>
      <c r="L7" s="486"/>
      <c r="M7" s="9"/>
      <c r="N7" s="653"/>
      <c r="O7" s="526" t="s">
        <v>603</v>
      </c>
      <c r="P7" s="491"/>
      <c r="Q7" s="585"/>
      <c r="R7" s="478"/>
      <c r="S7" s="585"/>
      <c r="T7" s="478"/>
      <c r="U7" s="585"/>
      <c r="V7" s="478"/>
      <c r="W7" s="585"/>
      <c r="X7" s="491">
        <f t="shared" ref="X7" si="1">G7/$G$1</f>
        <v>0.64537433210902018</v>
      </c>
      <c r="Y7" s="585">
        <f t="shared" ref="Y7" si="2">1/G7</f>
        <v>29.6610169491526</v>
      </c>
      <c r="Z7" s="478">
        <f t="shared" ref="Z7" si="3">H7/$H$1</f>
        <v>0.42829779651957089</v>
      </c>
      <c r="AA7" s="585">
        <f t="shared" ref="AA7" si="4">1/H7</f>
        <v>29.121164846593885</v>
      </c>
      <c r="AB7" s="478">
        <f t="shared" ref="AB7" si="5">I7/$I$1</f>
        <v>0.84880118008835015</v>
      </c>
      <c r="AC7" s="585">
        <f t="shared" ref="AC7" si="6">1/I7</f>
        <v>20.326024594973745</v>
      </c>
      <c r="AD7" s="491"/>
      <c r="AE7" s="491"/>
      <c r="AF7" s="491"/>
      <c r="AG7" s="587"/>
    </row>
    <row r="8" spans="1:33" x14ac:dyDescent="0.25">
      <c r="A8" s="651"/>
      <c r="B8" s="482" t="s">
        <v>569</v>
      </c>
      <c r="C8" s="520"/>
      <c r="D8" s="486"/>
      <c r="E8" s="486"/>
      <c r="F8" s="486"/>
      <c r="G8" s="486"/>
      <c r="H8" s="486"/>
      <c r="I8" s="486"/>
      <c r="J8" s="486"/>
      <c r="K8" s="486"/>
      <c r="L8" s="486"/>
      <c r="M8" s="9"/>
      <c r="N8" s="653"/>
      <c r="O8" s="526" t="s">
        <v>569</v>
      </c>
      <c r="P8" s="491"/>
      <c r="Q8" s="585"/>
      <c r="R8" s="478"/>
      <c r="S8" s="585"/>
      <c r="T8" s="478"/>
      <c r="U8" s="585"/>
      <c r="V8" s="478"/>
      <c r="W8" s="585"/>
      <c r="X8" s="491"/>
      <c r="Y8" s="585"/>
      <c r="Z8" s="478"/>
      <c r="AA8" s="585"/>
      <c r="AB8" s="478"/>
      <c r="AC8" s="585"/>
      <c r="AD8" s="491"/>
      <c r="AE8" s="587"/>
      <c r="AF8" s="491"/>
      <c r="AG8" s="587"/>
    </row>
    <row r="9" spans="1:33" x14ac:dyDescent="0.25">
      <c r="A9" s="651"/>
      <c r="B9" s="494" t="s">
        <v>0</v>
      </c>
      <c r="C9" s="521"/>
      <c r="D9" s="477"/>
      <c r="E9" s="477"/>
      <c r="F9" s="477"/>
      <c r="G9" s="477"/>
      <c r="H9" s="477"/>
      <c r="I9" s="477"/>
      <c r="J9" s="477"/>
      <c r="K9" s="477"/>
      <c r="L9" s="477"/>
      <c r="M9" s="9"/>
      <c r="N9" s="653"/>
      <c r="O9" s="526" t="s">
        <v>0</v>
      </c>
      <c r="P9" s="492"/>
      <c r="Q9" s="586"/>
      <c r="R9" s="479"/>
      <c r="S9" s="586"/>
      <c r="T9" s="479"/>
      <c r="U9" s="586"/>
      <c r="V9" s="479"/>
      <c r="W9" s="586"/>
      <c r="X9" s="492"/>
      <c r="Y9" s="586"/>
      <c r="Z9" s="479"/>
      <c r="AA9" s="479"/>
      <c r="AB9" s="479"/>
      <c r="AC9" s="479"/>
      <c r="AD9" s="492" t="e">
        <f>J9/$J$1</f>
        <v>#DIV/0!</v>
      </c>
      <c r="AE9" s="589" t="e">
        <f>1/J9</f>
        <v>#DIV/0!</v>
      </c>
      <c r="AF9" s="492">
        <f>K9/$K$1</f>
        <v>0</v>
      </c>
      <c r="AG9" s="589" t="e">
        <f>1/K9</f>
        <v>#DIV/0!</v>
      </c>
    </row>
    <row r="10" spans="1:33" x14ac:dyDescent="0.25">
      <c r="A10" s="652" t="s">
        <v>599</v>
      </c>
      <c r="B10" s="483" t="s">
        <v>551</v>
      </c>
      <c r="C10" s="525">
        <v>4.0980247552447779E-2</v>
      </c>
      <c r="D10" s="499">
        <v>7.0304873926074096E-2</v>
      </c>
      <c r="E10" s="499">
        <v>4.0579372027972196E-2</v>
      </c>
      <c r="F10" s="499"/>
      <c r="G10" s="499"/>
      <c r="H10" s="499"/>
      <c r="I10" s="499"/>
      <c r="J10" s="499">
        <v>0</v>
      </c>
      <c r="K10" s="499">
        <v>3.0871978021978067E-2</v>
      </c>
      <c r="L10" s="499"/>
      <c r="M10" s="9"/>
      <c r="N10" s="654" t="s">
        <v>599</v>
      </c>
      <c r="O10" s="527" t="s">
        <v>551</v>
      </c>
      <c r="P10" s="491">
        <f>C10/$C$1</f>
        <v>0.53540241736066307</v>
      </c>
      <c r="Q10" s="584">
        <f>1/C10</f>
        <v>24.40199998109258</v>
      </c>
      <c r="R10" s="490">
        <f>D10/$D$1</f>
        <v>0.73875192766788012</v>
      </c>
      <c r="S10" s="584">
        <f>1/D10</f>
        <v>14.223764927755999</v>
      </c>
      <c r="T10" s="490">
        <f>E10/$E$1</f>
        <v>0.40118420632996138</v>
      </c>
      <c r="U10" s="584">
        <f>1/E10</f>
        <v>24.643062472989463</v>
      </c>
      <c r="V10" s="478"/>
      <c r="W10" s="585"/>
      <c r="X10" s="491"/>
      <c r="Y10" s="585"/>
      <c r="Z10" s="478"/>
      <c r="AA10" s="478"/>
      <c r="AB10" s="478"/>
      <c r="AC10" s="478"/>
      <c r="AD10" s="491"/>
      <c r="AE10" s="478"/>
      <c r="AF10" s="478">
        <f>K10/K1</f>
        <v>0.85228433885796195</v>
      </c>
      <c r="AG10" s="585"/>
    </row>
    <row r="11" spans="1:33" x14ac:dyDescent="0.25">
      <c r="A11" s="651"/>
      <c r="B11" s="482" t="s">
        <v>550</v>
      </c>
      <c r="C11" s="520"/>
      <c r="D11" s="486"/>
      <c r="E11" s="486"/>
      <c r="F11" s="486">
        <v>5.1022557865187314E-2</v>
      </c>
      <c r="G11" s="486"/>
      <c r="H11" s="486"/>
      <c r="I11" s="486"/>
      <c r="J11" s="486"/>
      <c r="K11" s="486"/>
      <c r="L11" s="486"/>
      <c r="M11" s="9"/>
      <c r="N11" s="653"/>
      <c r="O11" s="526" t="s">
        <v>550</v>
      </c>
      <c r="P11" s="491"/>
      <c r="Q11" s="585"/>
      <c r="R11" s="478"/>
      <c r="S11" s="585"/>
      <c r="T11" s="478"/>
      <c r="U11" s="585"/>
      <c r="V11" s="478">
        <f>F11/F1</f>
        <v>0.97098955822045196</v>
      </c>
      <c r="W11" s="585">
        <f>1/F11</f>
        <v>19.599174205303804</v>
      </c>
      <c r="X11" s="491"/>
      <c r="Y11" s="585"/>
      <c r="Z11" s="478"/>
      <c r="AA11" s="478"/>
      <c r="AB11" s="478"/>
      <c r="AC11" s="478"/>
      <c r="AD11" s="491"/>
      <c r="AE11" s="478"/>
      <c r="AF11" s="478"/>
      <c r="AG11" s="585"/>
    </row>
    <row r="12" spans="1:33" x14ac:dyDescent="0.25">
      <c r="A12" s="651"/>
      <c r="B12" s="482" t="s">
        <v>602</v>
      </c>
      <c r="C12" s="520"/>
      <c r="D12" s="486"/>
      <c r="E12" s="486"/>
      <c r="F12" s="486"/>
      <c r="G12" s="486">
        <v>4.2215952380952187E-2</v>
      </c>
      <c r="H12" s="486">
        <v>6.617364468864452E-2</v>
      </c>
      <c r="I12" s="486">
        <v>0</v>
      </c>
      <c r="J12" s="486"/>
      <c r="K12" s="486"/>
      <c r="L12" s="486"/>
      <c r="M12" s="9"/>
      <c r="N12" s="653"/>
      <c r="O12" s="526" t="s">
        <v>602</v>
      </c>
      <c r="P12" s="491"/>
      <c r="Q12" s="585"/>
      <c r="R12" s="478"/>
      <c r="S12" s="585"/>
      <c r="T12" s="478"/>
      <c r="U12" s="585"/>
      <c r="V12" s="478"/>
      <c r="W12" s="585"/>
      <c r="X12" s="491">
        <f t="shared" ref="X12:X13" si="7">G12/$G$1</f>
        <v>0.80811713773484284</v>
      </c>
      <c r="Y12" s="585">
        <f t="shared" ref="Y12:Y13" si="8">1/G12</f>
        <v>23.687728064881924</v>
      </c>
      <c r="Z12" s="478">
        <f t="shared" ref="Z12:Z13" si="9">H12/$H$1</f>
        <v>0.82535281728427801</v>
      </c>
      <c r="AA12" s="585">
        <f t="shared" ref="AA12:AA13" si="10">1/H12</f>
        <v>15.111756420628305</v>
      </c>
      <c r="AB12" s="478">
        <f t="shared" ref="AB12:AB13" si="11">I12/$I$1</f>
        <v>0</v>
      </c>
      <c r="AC12" s="585"/>
      <c r="AD12" s="491"/>
      <c r="AE12" s="478"/>
      <c r="AF12" s="478"/>
      <c r="AG12" s="585"/>
    </row>
    <row r="13" spans="1:33" x14ac:dyDescent="0.25">
      <c r="A13" s="651"/>
      <c r="B13" s="482" t="s">
        <v>603</v>
      </c>
      <c r="C13" s="520"/>
      <c r="D13" s="486"/>
      <c r="E13" s="486"/>
      <c r="F13" s="486"/>
      <c r="G13" s="486">
        <v>3.8151785714285652E-2</v>
      </c>
      <c r="H13" s="486">
        <v>3.8776785714285687E-2</v>
      </c>
      <c r="I13" s="486">
        <v>5.7961761904761842E-2</v>
      </c>
      <c r="J13" s="486"/>
      <c r="K13" s="486"/>
      <c r="L13" s="486"/>
      <c r="M13" s="9"/>
      <c r="N13" s="653"/>
      <c r="O13" s="526" t="s">
        <v>603</v>
      </c>
      <c r="P13" s="491"/>
      <c r="Q13" s="585"/>
      <c r="R13" s="478"/>
      <c r="S13" s="585"/>
      <c r="T13" s="478"/>
      <c r="U13" s="585"/>
      <c r="V13" s="478"/>
      <c r="W13" s="585"/>
      <c r="X13" s="491">
        <f t="shared" si="7"/>
        <v>0.73031899393586974</v>
      </c>
      <c r="Y13" s="585">
        <f t="shared" si="8"/>
        <v>26.211092908963302</v>
      </c>
      <c r="Z13" s="478">
        <f t="shared" si="9"/>
        <v>0.48364465166003551</v>
      </c>
      <c r="AA13" s="585">
        <f t="shared" si="10"/>
        <v>25.788625374165342</v>
      </c>
      <c r="AB13" s="478">
        <f t="shared" si="11"/>
        <v>1</v>
      </c>
      <c r="AC13" s="585">
        <f t="shared" ref="AC13" si="12">1/I13</f>
        <v>17.252753662718543</v>
      </c>
      <c r="AD13" s="491"/>
      <c r="AE13" s="478"/>
      <c r="AF13" s="478"/>
      <c r="AG13" s="585"/>
    </row>
    <row r="14" spans="1:33" x14ac:dyDescent="0.25">
      <c r="A14" s="651"/>
      <c r="B14" s="482" t="s">
        <v>569</v>
      </c>
      <c r="C14" s="520"/>
      <c r="D14" s="486"/>
      <c r="E14" s="486"/>
      <c r="F14" s="486"/>
      <c r="G14" s="486"/>
      <c r="H14" s="486"/>
      <c r="I14" s="486"/>
      <c r="J14" s="486"/>
      <c r="K14" s="486"/>
      <c r="L14" s="486"/>
      <c r="M14" s="9"/>
      <c r="N14" s="653"/>
      <c r="O14" s="526" t="s">
        <v>569</v>
      </c>
      <c r="P14" s="491"/>
      <c r="Q14" s="585"/>
      <c r="R14" s="478"/>
      <c r="S14" s="585"/>
      <c r="T14" s="478"/>
      <c r="U14" s="585"/>
      <c r="V14" s="478"/>
      <c r="W14" s="585"/>
      <c r="X14" s="491"/>
      <c r="Y14" s="585"/>
      <c r="Z14" s="478"/>
      <c r="AA14" s="585"/>
      <c r="AB14" s="478"/>
      <c r="AC14" s="585"/>
      <c r="AD14" s="491"/>
      <c r="AE14" s="587"/>
      <c r="AF14" s="491"/>
      <c r="AG14" s="587"/>
    </row>
    <row r="15" spans="1:33" x14ac:dyDescent="0.25">
      <c r="A15" s="651"/>
      <c r="B15" s="494" t="s">
        <v>0</v>
      </c>
      <c r="C15" s="521"/>
      <c r="D15" s="477"/>
      <c r="E15" s="477"/>
      <c r="F15" s="477"/>
      <c r="G15" s="477"/>
      <c r="H15" s="477"/>
      <c r="I15" s="477"/>
      <c r="J15" s="477"/>
      <c r="K15" s="477"/>
      <c r="L15" s="477"/>
      <c r="M15" s="9"/>
      <c r="N15" s="653"/>
      <c r="O15" s="526" t="s">
        <v>0</v>
      </c>
      <c r="P15" s="492"/>
      <c r="Q15" s="586"/>
      <c r="R15" s="479"/>
      <c r="S15" s="586"/>
      <c r="T15" s="479"/>
      <c r="U15" s="586"/>
      <c r="V15" s="479"/>
      <c r="W15" s="586"/>
      <c r="X15" s="492"/>
      <c r="Y15" s="586"/>
      <c r="Z15" s="479"/>
      <c r="AA15" s="479"/>
      <c r="AB15" s="479"/>
      <c r="AC15" s="479"/>
      <c r="AD15" s="492" t="e">
        <f>J15/$J$1</f>
        <v>#DIV/0!</v>
      </c>
      <c r="AE15" s="589" t="e">
        <f>1/J15</f>
        <v>#DIV/0!</v>
      </c>
      <c r="AF15" s="492">
        <f>K15/$K$1</f>
        <v>0</v>
      </c>
      <c r="AG15" s="589" t="e">
        <f>1/K15</f>
        <v>#DIV/0!</v>
      </c>
    </row>
    <row r="16" spans="1:33" x14ac:dyDescent="0.25">
      <c r="A16" s="652" t="s">
        <v>600</v>
      </c>
      <c r="B16" s="483" t="s">
        <v>551</v>
      </c>
      <c r="C16" s="520">
        <v>5.8181020779221264E-2</v>
      </c>
      <c r="D16" s="486">
        <v>7.6807093706293558E-2</v>
      </c>
      <c r="E16" s="486">
        <v>6.6148976923077044E-2</v>
      </c>
      <c r="F16" s="486"/>
      <c r="G16" s="486"/>
      <c r="H16" s="486"/>
      <c r="I16" s="486"/>
      <c r="J16" s="486">
        <v>0</v>
      </c>
      <c r="K16" s="486">
        <v>2.9990859140859215E-2</v>
      </c>
      <c r="L16" s="486">
        <v>4.1477272727272974E-2</v>
      </c>
      <c r="M16" s="9"/>
      <c r="N16" s="654" t="s">
        <v>600</v>
      </c>
      <c r="O16" s="527" t="s">
        <v>551</v>
      </c>
      <c r="P16" s="491">
        <f>C16/$C$1</f>
        <v>0.76012862367019574</v>
      </c>
      <c r="Q16" s="584">
        <f>1/C16</f>
        <v>17.18773556405424</v>
      </c>
      <c r="R16" s="490">
        <f>D16/$D$1</f>
        <v>0.80707617218339234</v>
      </c>
      <c r="S16" s="584">
        <f>1/D16</f>
        <v>13.019630762543228</v>
      </c>
      <c r="T16" s="490">
        <f>E16/$E$1</f>
        <v>0.65397573890819349</v>
      </c>
      <c r="U16" s="584">
        <f>1/E16</f>
        <v>15.117391780115881</v>
      </c>
      <c r="V16" s="478"/>
      <c r="W16" s="585"/>
      <c r="X16" s="478"/>
      <c r="Y16" s="585"/>
      <c r="Z16" s="478"/>
      <c r="AA16" s="478"/>
      <c r="AB16" s="478"/>
      <c r="AC16" s="478"/>
      <c r="AD16" s="478"/>
      <c r="AE16" s="478"/>
      <c r="AF16" s="478">
        <f>K16/K1</f>
        <v>0.827959243053766</v>
      </c>
      <c r="AG16" s="585"/>
    </row>
    <row r="17" spans="1:33" x14ac:dyDescent="0.25">
      <c r="A17" s="651"/>
      <c r="B17" s="482" t="s">
        <v>550</v>
      </c>
      <c r="C17" s="520"/>
      <c r="D17" s="486"/>
      <c r="E17" s="486"/>
      <c r="F17" s="486">
        <v>4.2273232055429683E-2</v>
      </c>
      <c r="G17" s="486"/>
      <c r="H17" s="486"/>
      <c r="I17" s="486"/>
      <c r="J17" s="486"/>
      <c r="K17" s="486"/>
      <c r="L17" s="486"/>
      <c r="M17" s="9"/>
      <c r="N17" s="653"/>
      <c r="O17" s="526" t="s">
        <v>550</v>
      </c>
      <c r="P17" s="491"/>
      <c r="Q17" s="585"/>
      <c r="R17" s="478"/>
      <c r="S17" s="585"/>
      <c r="T17" s="478"/>
      <c r="U17" s="585"/>
      <c r="V17" s="478">
        <f>F17/F1</f>
        <v>0.80448469530882905</v>
      </c>
      <c r="W17" s="585">
        <f>1/F17</f>
        <v>23.655631504323487</v>
      </c>
      <c r="X17" s="478"/>
      <c r="Y17" s="585"/>
      <c r="Z17" s="478"/>
      <c r="AA17" s="478"/>
      <c r="AB17" s="478"/>
      <c r="AC17" s="478"/>
      <c r="AD17" s="478"/>
      <c r="AE17" s="478"/>
      <c r="AF17" s="478"/>
      <c r="AG17" s="585"/>
    </row>
    <row r="18" spans="1:33" x14ac:dyDescent="0.25">
      <c r="A18" s="651"/>
      <c r="B18" s="482" t="s">
        <v>602</v>
      </c>
      <c r="C18" s="520"/>
      <c r="D18" s="486"/>
      <c r="E18" s="486"/>
      <c r="F18" s="486"/>
      <c r="G18" s="486">
        <v>5.2239892473118138E-2</v>
      </c>
      <c r="H18" s="486">
        <v>8.0176190476190248E-2</v>
      </c>
      <c r="I18" s="486">
        <v>0</v>
      </c>
      <c r="J18" s="486"/>
      <c r="K18" s="486"/>
      <c r="L18" s="486"/>
      <c r="M18" s="9"/>
      <c r="N18" s="653"/>
      <c r="O18" s="526" t="s">
        <v>602</v>
      </c>
      <c r="P18" s="491"/>
      <c r="Q18" s="585"/>
      <c r="R18" s="478"/>
      <c r="S18" s="585"/>
      <c r="T18" s="478"/>
      <c r="U18" s="585"/>
      <c r="V18" s="478"/>
      <c r="W18" s="585"/>
      <c r="X18" s="478">
        <f t="shared" ref="X18:X19" si="13">G18/$G$1</f>
        <v>1</v>
      </c>
      <c r="Y18" s="585">
        <f t="shared" ref="Y18:Y19" si="14">1/G18</f>
        <v>19.142459003233686</v>
      </c>
      <c r="Z18" s="478">
        <f t="shared" ref="Z18:Z19" si="15">H18/$H$1</f>
        <v>1</v>
      </c>
      <c r="AA18" s="585">
        <f t="shared" ref="AA18:AA19" si="16">1/H18</f>
        <v>12.472530735879349</v>
      </c>
      <c r="AB18" s="478">
        <f t="shared" ref="AB18:AB19" si="17">I18/$I$1</f>
        <v>0</v>
      </c>
      <c r="AC18" s="585"/>
      <c r="AD18" s="478"/>
      <c r="AE18" s="478"/>
      <c r="AF18" s="478"/>
      <c r="AG18" s="585"/>
    </row>
    <row r="19" spans="1:33" x14ac:dyDescent="0.25">
      <c r="A19" s="651"/>
      <c r="B19" s="482" t="s">
        <v>603</v>
      </c>
      <c r="C19" s="520"/>
      <c r="D19" s="486"/>
      <c r="E19" s="486"/>
      <c r="F19" s="486"/>
      <c r="G19" s="486">
        <v>2.5968749999999961E-2</v>
      </c>
      <c r="H19" s="486">
        <v>2.5281249999999998E-2</v>
      </c>
      <c r="I19" s="486">
        <v>3.0639083333333313E-2</v>
      </c>
      <c r="J19" s="486"/>
      <c r="K19" s="486"/>
      <c r="L19" s="486">
        <v>0.1339285714285714</v>
      </c>
      <c r="M19" s="595">
        <f>1/L19</f>
        <v>7.4666666666666686</v>
      </c>
      <c r="N19" s="653"/>
      <c r="O19" s="526" t="s">
        <v>603</v>
      </c>
      <c r="P19" s="491"/>
      <c r="Q19" s="585"/>
      <c r="R19" s="478"/>
      <c r="S19" s="585"/>
      <c r="T19" s="478"/>
      <c r="U19" s="585"/>
      <c r="V19" s="478"/>
      <c r="W19" s="585"/>
      <c r="X19" s="478">
        <f t="shared" si="13"/>
        <v>0.49710573224022403</v>
      </c>
      <c r="Y19" s="585">
        <f t="shared" si="14"/>
        <v>38.507821901323766</v>
      </c>
      <c r="Z19" s="478">
        <f t="shared" si="15"/>
        <v>0.31532116766644974</v>
      </c>
      <c r="AA19" s="585">
        <f t="shared" si="16"/>
        <v>39.555006180469718</v>
      </c>
      <c r="AB19" s="478">
        <f t="shared" si="17"/>
        <v>0.52860855720150501</v>
      </c>
      <c r="AC19" s="585">
        <f t="shared" ref="AC19" si="18">1/I19</f>
        <v>32.63805216104705</v>
      </c>
      <c r="AD19" s="478"/>
      <c r="AE19" s="478"/>
      <c r="AF19" s="478"/>
      <c r="AG19" s="585"/>
    </row>
    <row r="20" spans="1:33" x14ac:dyDescent="0.25">
      <c r="A20" s="651"/>
      <c r="B20" s="482" t="s">
        <v>569</v>
      </c>
      <c r="C20" s="520"/>
      <c r="D20" s="486"/>
      <c r="E20" s="486"/>
      <c r="F20" s="486"/>
      <c r="G20" s="486"/>
      <c r="H20" s="486"/>
      <c r="I20" s="486"/>
      <c r="J20" s="486"/>
      <c r="K20" s="486"/>
      <c r="L20" s="486"/>
      <c r="M20" s="9"/>
      <c r="N20" s="653"/>
      <c r="O20" s="526" t="s">
        <v>569</v>
      </c>
      <c r="P20" s="491"/>
      <c r="Q20" s="585"/>
      <c r="R20" s="478"/>
      <c r="S20" s="585"/>
      <c r="T20" s="478"/>
      <c r="U20" s="585"/>
      <c r="V20" s="478"/>
      <c r="W20" s="585"/>
      <c r="X20" s="478"/>
      <c r="Y20" s="585"/>
      <c r="Z20" s="478"/>
      <c r="AA20" s="585"/>
      <c r="AB20" s="478"/>
      <c r="AC20" s="585"/>
      <c r="AD20" s="478"/>
      <c r="AE20" s="587"/>
      <c r="AF20" s="491"/>
      <c r="AG20" s="587"/>
    </row>
    <row r="21" spans="1:33" x14ac:dyDescent="0.25">
      <c r="A21" s="651"/>
      <c r="B21" s="494" t="s">
        <v>0</v>
      </c>
      <c r="C21" s="520"/>
      <c r="D21" s="486"/>
      <c r="E21" s="486"/>
      <c r="F21" s="486"/>
      <c r="G21" s="486"/>
      <c r="H21" s="486"/>
      <c r="I21" s="486"/>
      <c r="J21" s="486"/>
      <c r="K21" s="486"/>
      <c r="L21" s="486"/>
      <c r="M21" s="9"/>
      <c r="N21" s="653"/>
      <c r="O21" s="526" t="s">
        <v>0</v>
      </c>
      <c r="P21" s="492"/>
      <c r="Q21" s="586"/>
      <c r="R21" s="479"/>
      <c r="S21" s="586"/>
      <c r="T21" s="479"/>
      <c r="U21" s="586"/>
      <c r="V21" s="479"/>
      <c r="W21" s="586"/>
      <c r="X21" s="479"/>
      <c r="Y21" s="586"/>
      <c r="Z21" s="479"/>
      <c r="AA21" s="479"/>
      <c r="AB21" s="479"/>
      <c r="AC21" s="478"/>
      <c r="AD21" s="478" t="e">
        <f>J21/$J$1</f>
        <v>#DIV/0!</v>
      </c>
      <c r="AE21" s="589" t="e">
        <f>1/J21</f>
        <v>#DIV/0!</v>
      </c>
      <c r="AF21" s="492">
        <f>K21/$K$1</f>
        <v>0</v>
      </c>
      <c r="AG21" s="589" t="e">
        <f>1/K21</f>
        <v>#DIV/0!</v>
      </c>
    </row>
    <row r="22" spans="1:33" x14ac:dyDescent="0.25">
      <c r="A22" s="652" t="s">
        <v>601</v>
      </c>
      <c r="B22" s="497" t="s">
        <v>551</v>
      </c>
      <c r="C22" s="525">
        <v>7.6541020779221203E-2</v>
      </c>
      <c r="D22" s="499">
        <v>9.516709370629349E-2</v>
      </c>
      <c r="E22" s="499">
        <v>0.10114897692307692</v>
      </c>
      <c r="F22" s="499"/>
      <c r="G22" s="499"/>
      <c r="H22" s="499"/>
      <c r="I22" s="499"/>
      <c r="J22" s="499">
        <v>0</v>
      </c>
      <c r="K22" s="499">
        <v>3.3705144855144913E-2</v>
      </c>
      <c r="L22" s="499">
        <v>5.9334415584415767E-2</v>
      </c>
      <c r="M22" s="9"/>
      <c r="N22" s="654" t="s">
        <v>601</v>
      </c>
      <c r="O22" s="527" t="s">
        <v>551</v>
      </c>
      <c r="P22" s="491">
        <f>C22/$C$1</f>
        <v>1</v>
      </c>
      <c r="Q22" s="584">
        <f>1/C22</f>
        <v>13.064889778311823</v>
      </c>
      <c r="R22" s="490">
        <f>D22/$D$1</f>
        <v>1</v>
      </c>
      <c r="S22" s="584">
        <f>1/D22</f>
        <v>10.507833759074531</v>
      </c>
      <c r="T22" s="490">
        <f>E22/$E$1</f>
        <v>1</v>
      </c>
      <c r="U22" s="591">
        <f>1/E22</f>
        <v>9.8864074597659339</v>
      </c>
      <c r="V22" s="579"/>
      <c r="W22" s="588"/>
      <c r="X22" s="491"/>
      <c r="Y22" s="585"/>
      <c r="Z22" s="478"/>
      <c r="AA22" s="478"/>
      <c r="AB22" s="491"/>
      <c r="AC22" s="489"/>
      <c r="AD22" s="489"/>
      <c r="AE22" s="478"/>
      <c r="AF22" s="478">
        <f>K22/K1</f>
        <v>0.93049972627372424</v>
      </c>
      <c r="AG22" s="585"/>
    </row>
    <row r="23" spans="1:33" x14ac:dyDescent="0.25">
      <c r="A23" s="651"/>
      <c r="B23" s="498" t="s">
        <v>550</v>
      </c>
      <c r="C23" s="520"/>
      <c r="D23" s="486"/>
      <c r="E23" s="486"/>
      <c r="F23" s="486">
        <v>4.3797642829840472E-2</v>
      </c>
      <c r="G23" s="486"/>
      <c r="H23" s="486"/>
      <c r="I23" s="486"/>
      <c r="J23" s="486"/>
      <c r="K23" s="486"/>
      <c r="L23" s="486"/>
      <c r="M23" s="9"/>
      <c r="N23" s="653"/>
      <c r="O23" s="526" t="s">
        <v>550</v>
      </c>
      <c r="P23" s="491"/>
      <c r="Q23" s="585"/>
      <c r="R23" s="478"/>
      <c r="S23" s="585"/>
      <c r="T23" s="478"/>
      <c r="U23" s="592"/>
      <c r="V23" s="580">
        <f>F23/F1</f>
        <v>0.83349513708837697</v>
      </c>
      <c r="W23" s="587">
        <f>1/F23</f>
        <v>22.832278985541066</v>
      </c>
      <c r="X23" s="491"/>
      <c r="Y23" s="585"/>
      <c r="Z23" s="478"/>
      <c r="AA23" s="478"/>
      <c r="AB23" s="491"/>
      <c r="AC23" s="491"/>
      <c r="AD23" s="491"/>
      <c r="AE23" s="478"/>
      <c r="AF23" s="478"/>
      <c r="AG23" s="585"/>
    </row>
    <row r="24" spans="1:33" x14ac:dyDescent="0.25">
      <c r="A24" s="651"/>
      <c r="B24" s="498" t="s">
        <v>602</v>
      </c>
      <c r="C24" s="520"/>
      <c r="D24" s="486"/>
      <c r="E24" s="486"/>
      <c r="F24" s="486"/>
      <c r="G24" s="486">
        <v>4.8379892473118219E-2</v>
      </c>
      <c r="H24" s="486">
        <v>7.5159999999999741E-2</v>
      </c>
      <c r="I24" s="486">
        <v>0</v>
      </c>
      <c r="J24" s="486"/>
      <c r="K24" s="486"/>
      <c r="L24" s="486"/>
      <c r="M24" s="9"/>
      <c r="N24" s="653"/>
      <c r="O24" s="526" t="s">
        <v>602</v>
      </c>
      <c r="P24" s="491"/>
      <c r="Q24" s="585"/>
      <c r="R24" s="478"/>
      <c r="S24" s="585"/>
      <c r="T24" s="478"/>
      <c r="U24" s="592"/>
      <c r="V24" s="580"/>
      <c r="W24" s="587"/>
      <c r="X24" s="491">
        <f t="shared" ref="X24:X25" si="19">G24/$G$1</f>
        <v>0.92611010824751949</v>
      </c>
      <c r="Y24" s="585">
        <f t="shared" ref="Y24:Y25" si="20">1/G24</f>
        <v>20.669744161908575</v>
      </c>
      <c r="Z24" s="478">
        <f t="shared" ref="Z24:Z25" si="21">H24/$H$1</f>
        <v>0.93743541010868858</v>
      </c>
      <c r="AA24" s="585">
        <f t="shared" ref="AA24:AA25" si="22">1/H24</f>
        <v>13.30494944119217</v>
      </c>
      <c r="AB24" s="478">
        <f t="shared" ref="AB24:AB25" si="23">I24/$I$1</f>
        <v>0</v>
      </c>
      <c r="AC24" s="587"/>
      <c r="AD24" s="491"/>
      <c r="AE24" s="478"/>
      <c r="AF24" s="478"/>
      <c r="AG24" s="585"/>
    </row>
    <row r="25" spans="1:33" x14ac:dyDescent="0.25">
      <c r="A25" s="651"/>
      <c r="B25" s="498" t="s">
        <v>603</v>
      </c>
      <c r="C25" s="520"/>
      <c r="D25" s="486"/>
      <c r="E25" s="486"/>
      <c r="F25" s="486"/>
      <c r="G25" s="486">
        <v>2.3874999999999962E-2</v>
      </c>
      <c r="H25" s="486">
        <v>2.31875E-2</v>
      </c>
      <c r="I25" s="486">
        <v>2.7005333333333312E-2</v>
      </c>
      <c r="J25" s="486"/>
      <c r="K25" s="486"/>
      <c r="L25" s="486">
        <v>0.16964285714285698</v>
      </c>
      <c r="M25" s="595">
        <f>1/L25</f>
        <v>5.894736842105269</v>
      </c>
      <c r="N25" s="653"/>
      <c r="O25" s="526" t="s">
        <v>603</v>
      </c>
      <c r="P25" s="491"/>
      <c r="Q25" s="585"/>
      <c r="R25" s="478"/>
      <c r="S25" s="585"/>
      <c r="T25" s="478"/>
      <c r="U25" s="592"/>
      <c r="V25" s="580"/>
      <c r="W25" s="587"/>
      <c r="X25" s="491">
        <f t="shared" si="19"/>
        <v>0.45702620870220356</v>
      </c>
      <c r="Y25" s="585">
        <f t="shared" si="20"/>
        <v>41.884816753926771</v>
      </c>
      <c r="Z25" s="478">
        <f t="shared" si="21"/>
        <v>0.2892068064382024</v>
      </c>
      <c r="AA25" s="585">
        <f t="shared" si="22"/>
        <v>43.126684636118597</v>
      </c>
      <c r="AB25" s="478">
        <f t="shared" si="23"/>
        <v>0.46591636357960148</v>
      </c>
      <c r="AC25" s="587">
        <f t="shared" ref="AC25" si="24">1/I25</f>
        <v>37.029722523945914</v>
      </c>
      <c r="AD25" s="491"/>
      <c r="AE25" s="478"/>
      <c r="AF25" s="478"/>
      <c r="AG25" s="585"/>
    </row>
    <row r="26" spans="1:33" x14ac:dyDescent="0.25">
      <c r="A26" s="651"/>
      <c r="B26" s="498" t="s">
        <v>569</v>
      </c>
      <c r="C26" s="520"/>
      <c r="D26" s="486"/>
      <c r="E26" s="486"/>
      <c r="F26" s="486"/>
      <c r="G26" s="486"/>
      <c r="H26" s="486"/>
      <c r="I26" s="486"/>
      <c r="J26" s="486"/>
      <c r="K26" s="486"/>
      <c r="L26" s="486"/>
      <c r="M26" s="9"/>
      <c r="N26" s="653"/>
      <c r="O26" s="526" t="s">
        <v>569</v>
      </c>
      <c r="P26" s="491"/>
      <c r="Q26" s="585"/>
      <c r="R26" s="478"/>
      <c r="S26" s="585"/>
      <c r="T26" s="478"/>
      <c r="U26" s="592"/>
      <c r="V26" s="580"/>
      <c r="W26" s="491"/>
      <c r="X26" s="491"/>
      <c r="Y26" s="585"/>
      <c r="Z26" s="478"/>
      <c r="AA26" s="585"/>
      <c r="AB26" s="478"/>
      <c r="AC26" s="587"/>
      <c r="AD26" s="491"/>
      <c r="AE26" s="587"/>
      <c r="AF26" s="491"/>
      <c r="AG26" s="587"/>
    </row>
    <row r="27" spans="1:33" x14ac:dyDescent="0.25">
      <c r="A27" s="651"/>
      <c r="B27" s="494" t="s">
        <v>0</v>
      </c>
      <c r="C27" s="521"/>
      <c r="D27" s="477"/>
      <c r="E27" s="477"/>
      <c r="F27" s="477"/>
      <c r="G27" s="477"/>
      <c r="H27" s="477"/>
      <c r="I27" s="477"/>
      <c r="J27" s="477"/>
      <c r="K27" s="477"/>
      <c r="L27" s="477"/>
      <c r="M27" s="9"/>
      <c r="N27" s="653"/>
      <c r="O27" s="526" t="s">
        <v>0</v>
      </c>
      <c r="P27" s="492"/>
      <c r="Q27" s="586"/>
      <c r="R27" s="479"/>
      <c r="S27" s="586"/>
      <c r="T27" s="479"/>
      <c r="U27" s="593"/>
      <c r="V27" s="581"/>
      <c r="W27" s="492"/>
      <c r="X27" s="492"/>
      <c r="Y27" s="586"/>
      <c r="Z27" s="479"/>
      <c r="AA27" s="479"/>
      <c r="AB27" s="492"/>
      <c r="AC27" s="492"/>
      <c r="AD27" s="492" t="e">
        <f>J27/$J$1</f>
        <v>#DIV/0!</v>
      </c>
      <c r="AE27" s="589" t="e">
        <f>1/J27</f>
        <v>#DIV/0!</v>
      </c>
      <c r="AF27" s="492">
        <f>K27/$K$1</f>
        <v>0</v>
      </c>
      <c r="AG27" s="589" t="e">
        <f>1/K27</f>
        <v>#DIV/0!</v>
      </c>
    </row>
    <row r="28" spans="1:33" x14ac:dyDescent="0.25">
      <c r="Q28" s="413"/>
      <c r="S28" s="413"/>
      <c r="U28" s="413"/>
      <c r="AD28" s="9"/>
      <c r="AE28" s="9"/>
      <c r="AF28" s="9"/>
      <c r="AG28" s="9"/>
    </row>
    <row r="29" spans="1:33" x14ac:dyDescent="0.25">
      <c r="Q29" s="413"/>
      <c r="S29" s="413"/>
      <c r="U29" s="413"/>
    </row>
    <row r="30" spans="1:33" x14ac:dyDescent="0.25">
      <c r="B30" s="480" t="s">
        <v>587</v>
      </c>
      <c r="H30" s="574"/>
      <c r="I30" s="574"/>
      <c r="Q30" s="413"/>
      <c r="S30" s="413"/>
      <c r="U30" s="413"/>
    </row>
    <row r="31" spans="1:33" x14ac:dyDescent="0.25">
      <c r="B31" s="481">
        <v>42724</v>
      </c>
      <c r="G31" s="574"/>
      <c r="H31" s="574"/>
      <c r="I31" s="574"/>
      <c r="Q31" s="413"/>
      <c r="S31" s="413"/>
    </row>
    <row r="32" spans="1:33" x14ac:dyDescent="0.25">
      <c r="G32" s="574"/>
      <c r="H32" s="574"/>
      <c r="I32" s="574"/>
      <c r="Q32" s="413"/>
    </row>
    <row r="33" spans="17:17" x14ac:dyDescent="0.25">
      <c r="Q33" s="413"/>
    </row>
    <row r="34" spans="17:17" x14ac:dyDescent="0.25">
      <c r="Q34" s="413"/>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35" t="s">
        <v>251</v>
      </c>
      <c r="C2" s="435" t="s">
        <v>174</v>
      </c>
      <c r="D2" s="435" t="s">
        <v>561</v>
      </c>
      <c r="E2" s="435" t="s">
        <v>1</v>
      </c>
      <c r="F2" s="435" t="s">
        <v>2</v>
      </c>
      <c r="G2" s="435" t="s">
        <v>568</v>
      </c>
      <c r="H2" s="435" t="s">
        <v>65</v>
      </c>
      <c r="I2" s="435" t="s">
        <v>470</v>
      </c>
      <c r="J2" s="435" t="s">
        <v>569</v>
      </c>
      <c r="K2" s="435" t="s">
        <v>0</v>
      </c>
      <c r="M2" s="537">
        <v>352</v>
      </c>
      <c r="N2" s="391" t="s">
        <v>677</v>
      </c>
      <c r="O2" s="48" t="s">
        <v>572</v>
      </c>
      <c r="P2" s="48" t="s">
        <v>678</v>
      </c>
      <c r="Q2" s="48" t="s">
        <v>572</v>
      </c>
      <c r="R2" s="48" t="s">
        <v>64</v>
      </c>
      <c r="S2" s="48" t="s">
        <v>574</v>
      </c>
      <c r="T2" s="48" t="s">
        <v>575</v>
      </c>
      <c r="U2" s="48" t="s">
        <v>574</v>
      </c>
      <c r="V2" s="48" t="s">
        <v>464</v>
      </c>
      <c r="W2" s="48" t="s">
        <v>679</v>
      </c>
      <c r="X2" s="48" t="s">
        <v>680</v>
      </c>
    </row>
    <row r="3" spans="2:25" x14ac:dyDescent="0.25">
      <c r="B3" t="s">
        <v>1</v>
      </c>
      <c r="C3" t="str">
        <f>Evaluacion!A3</f>
        <v>D. Gehmacher</v>
      </c>
      <c r="D3" s="576"/>
      <c r="E3" s="238">
        <f>Evaluacion!K3</f>
        <v>16.666666666666668</v>
      </c>
      <c r="F3" s="238">
        <f>Evaluacion!L3</f>
        <v>11.95</v>
      </c>
      <c r="G3" s="238">
        <f>Evaluacion!M3</f>
        <v>2.0699999999999985</v>
      </c>
      <c r="H3" s="238">
        <f>Evaluacion!N3</f>
        <v>2.149999999999999</v>
      </c>
      <c r="I3" s="238">
        <f>Evaluacion!O3</f>
        <v>0.95</v>
      </c>
      <c r="J3" s="238">
        <f>Evaluacion!P3</f>
        <v>0</v>
      </c>
      <c r="K3" s="238">
        <f>Evaluacion!Q3</f>
        <v>18.2</v>
      </c>
      <c r="M3" t="s">
        <v>1</v>
      </c>
      <c r="N3" s="538">
        <v>1</v>
      </c>
      <c r="O3" s="539">
        <f>Evaluacion!X3</f>
        <v>15.721407074755762</v>
      </c>
      <c r="P3" s="539">
        <f>Evaluacion!Y3</f>
        <v>23.169483486265392</v>
      </c>
      <c r="Q3" s="539">
        <f>Evaluacion!Z3</f>
        <v>15.721407074755762</v>
      </c>
      <c r="R3" s="539">
        <v>0</v>
      </c>
      <c r="S3" s="539">
        <v>0</v>
      </c>
      <c r="T3" s="539">
        <v>0</v>
      </c>
      <c r="U3" s="539">
        <v>0</v>
      </c>
      <c r="V3" s="539">
        <v>0</v>
      </c>
      <c r="W3" s="539">
        <f>Evaluacion!T3</f>
        <v>0.54600000000000004</v>
      </c>
      <c r="X3" s="539">
        <f>Evaluacion!U3</f>
        <v>1.024</v>
      </c>
      <c r="Y3" s="543"/>
    </row>
    <row r="4" spans="2:25" x14ac:dyDescent="0.25">
      <c r="B4" t="s">
        <v>673</v>
      </c>
      <c r="C4" t="str">
        <f>Evaluacion!A6</f>
        <v>E. Toney</v>
      </c>
      <c r="D4" s="576"/>
      <c r="E4" s="238">
        <f>Evaluacion!K6</f>
        <v>0</v>
      </c>
      <c r="F4" s="238">
        <f>Evaluacion!L6</f>
        <v>11.95</v>
      </c>
      <c r="G4" s="238">
        <f>Evaluacion!M6</f>
        <v>12.95</v>
      </c>
      <c r="H4" s="238">
        <f>Evaluacion!N6</f>
        <v>8.9499999999999993</v>
      </c>
      <c r="I4" s="238">
        <f>Evaluacion!O6</f>
        <v>8.9499999999999993</v>
      </c>
      <c r="J4" s="238">
        <f>Evaluacion!P6</f>
        <v>1.95</v>
      </c>
      <c r="K4" s="238">
        <f>Evaluacion!Q6</f>
        <v>17.177777777777774</v>
      </c>
      <c r="M4" t="s">
        <v>673</v>
      </c>
      <c r="N4" s="538">
        <v>1</v>
      </c>
      <c r="O4" s="539">
        <f>Evaluacion!AI6</f>
        <v>13.913800939593388</v>
      </c>
      <c r="P4" s="539">
        <f>Evaluacion!AJ6</f>
        <v>6.2612104228170242</v>
      </c>
      <c r="Q4" s="539">
        <v>0</v>
      </c>
      <c r="R4" s="539">
        <f>Evaluacion!AK6</f>
        <v>2.6926573444696693</v>
      </c>
      <c r="S4" s="539">
        <f>Evaluacion!AL6</f>
        <v>7.1287336440009907</v>
      </c>
      <c r="T4" s="539">
        <v>0</v>
      </c>
      <c r="U4" s="539">
        <v>0</v>
      </c>
      <c r="V4" s="539">
        <f>Evaluacion!R6</f>
        <v>4.1062499999999993</v>
      </c>
      <c r="W4" s="539">
        <f>Evaluacion!T6</f>
        <v>0.61283333333333312</v>
      </c>
      <c r="X4" s="539">
        <f>Evaluacion!U6</f>
        <v>0.99333333333333318</v>
      </c>
    </row>
    <row r="5" spans="2:25" x14ac:dyDescent="0.25">
      <c r="B5" t="s">
        <v>674</v>
      </c>
      <c r="C5" t="str">
        <f>Evaluacion!A15</f>
        <v>E. Gross</v>
      </c>
      <c r="D5" s="576"/>
      <c r="E5" s="238">
        <f>Evaluacion!K15</f>
        <v>0</v>
      </c>
      <c r="F5" s="238">
        <f>Evaluacion!L15</f>
        <v>10.549999999999995</v>
      </c>
      <c r="G5" s="238">
        <f>Evaluacion!M15</f>
        <v>12.95</v>
      </c>
      <c r="H5" s="238">
        <f>Evaluacion!N15</f>
        <v>4.95</v>
      </c>
      <c r="I5" s="238">
        <f>Evaluacion!O15</f>
        <v>8.9499999999999993</v>
      </c>
      <c r="J5" s="238">
        <f>Evaluacion!P15</f>
        <v>0.95</v>
      </c>
      <c r="K5" s="238">
        <f>Evaluacion!Q15</f>
        <v>17.3</v>
      </c>
      <c r="M5" t="s">
        <v>674</v>
      </c>
      <c r="N5" s="538">
        <v>1</v>
      </c>
      <c r="O5" s="539">
        <f>(Evaluacion!AA15+Evaluacion!AC15)/2</f>
        <v>5.2398619885583724</v>
      </c>
      <c r="P5" s="539">
        <f>Evaluacion!AB15</f>
        <v>13.539695060874347</v>
      </c>
      <c r="Q5" s="539">
        <f>O5</f>
        <v>5.2398619885583724</v>
      </c>
      <c r="R5" s="539">
        <f>Evaluacion!AD15</f>
        <v>3.7936474244880953</v>
      </c>
      <c r="S5" s="539">
        <v>0</v>
      </c>
      <c r="T5" s="539">
        <v>0</v>
      </c>
      <c r="U5" s="539">
        <v>0</v>
      </c>
      <c r="V5" s="539">
        <f>Evaluacion!R15</f>
        <v>3.9312499999999995</v>
      </c>
      <c r="W5" s="539">
        <f>Evaluacion!T15</f>
        <v>0.5665</v>
      </c>
      <c r="X5" s="539">
        <f>Evaluacion!U15</f>
        <v>0.94099999999999984</v>
      </c>
    </row>
    <row r="6" spans="2:25" x14ac:dyDescent="0.25">
      <c r="B6" t="s">
        <v>673</v>
      </c>
      <c r="C6" t="str">
        <f>Evaluacion!A9</f>
        <v>B. Pinczehelyi</v>
      </c>
      <c r="D6" s="576" t="str">
        <f>Evaluacion!D9</f>
        <v>CAB</v>
      </c>
      <c r="E6" s="238">
        <f>Evaluacion!K9</f>
        <v>0</v>
      </c>
      <c r="F6" s="238">
        <f>Evaluacion!L9</f>
        <v>14.300000000000004</v>
      </c>
      <c r="G6" s="238">
        <f>Evaluacion!M9</f>
        <v>9.3793333333333351</v>
      </c>
      <c r="H6" s="238">
        <f>Evaluacion!N9</f>
        <v>13.95</v>
      </c>
      <c r="I6" s="238">
        <f>Evaluacion!O9</f>
        <v>8.9499999999999993</v>
      </c>
      <c r="J6" s="238">
        <f>Evaluacion!P9</f>
        <v>0</v>
      </c>
      <c r="K6" s="238">
        <f>Evaluacion!Q9</f>
        <v>11.25</v>
      </c>
      <c r="M6" t="s">
        <v>673</v>
      </c>
      <c r="N6" s="538">
        <v>1</v>
      </c>
      <c r="O6" s="539">
        <v>0</v>
      </c>
      <c r="P6" s="539">
        <f>Evaluacion!AJ9</f>
        <v>7.0400719877259625</v>
      </c>
      <c r="Q6" s="539">
        <f>Evaluacion!AI9</f>
        <v>15.644604417168807</v>
      </c>
      <c r="R6" s="539">
        <f>Evaluacion!AK9</f>
        <v>2.0180844684788304</v>
      </c>
      <c r="S6" s="539">
        <v>0</v>
      </c>
      <c r="T6" s="539">
        <f>0</f>
        <v>0</v>
      </c>
      <c r="U6" s="539">
        <f>Evaluacion!AL9</f>
        <v>9.7931428231470168</v>
      </c>
      <c r="V6" s="539">
        <f>Evaluacion!R9</f>
        <v>4.4000000000000004</v>
      </c>
      <c r="W6" s="539">
        <f>Evaluacion!T9</f>
        <v>0.33750000000000002</v>
      </c>
      <c r="X6" s="539">
        <f>Evaluacion!U9</f>
        <v>0.9095000000000002</v>
      </c>
    </row>
    <row r="7" spans="2:25" x14ac:dyDescent="0.25">
      <c r="B7" t="s">
        <v>427</v>
      </c>
      <c r="C7" t="str">
        <f>Evaluacion!A13</f>
        <v>S. Buschelman</v>
      </c>
      <c r="D7" s="576" t="str">
        <f>Evaluacion!D13</f>
        <v>TEC</v>
      </c>
      <c r="E7" s="238">
        <f>Evaluacion!K13</f>
        <v>0</v>
      </c>
      <c r="F7" s="238">
        <f>Evaluacion!L13</f>
        <v>9.3036666666666648</v>
      </c>
      <c r="G7" s="238">
        <f>Evaluacion!M13</f>
        <v>14</v>
      </c>
      <c r="H7" s="238">
        <f>Evaluacion!N13</f>
        <v>12.945</v>
      </c>
      <c r="I7" s="238">
        <f>Evaluacion!O13</f>
        <v>9.9499999999999993</v>
      </c>
      <c r="J7" s="238">
        <f>Evaluacion!P13</f>
        <v>3.95</v>
      </c>
      <c r="K7" s="238">
        <f>Evaluacion!Q13</f>
        <v>16</v>
      </c>
      <c r="M7" t="s">
        <v>427</v>
      </c>
      <c r="N7" s="538">
        <v>0.82499999999999996</v>
      </c>
      <c r="O7" s="539">
        <f>Evaluacion!BE13*N7</f>
        <v>2.9682910500979252</v>
      </c>
      <c r="P7" s="539">
        <f>Evaluacion!BF13*N7</f>
        <v>3.5497088846531888</v>
      </c>
      <c r="Q7" s="539">
        <v>0</v>
      </c>
      <c r="R7" s="539">
        <f>Evaluacion!BG13*N7</f>
        <v>12.399888128389254</v>
      </c>
      <c r="S7" s="539">
        <f>Evaluacion!BH13*N7</f>
        <v>10.960397431484727</v>
      </c>
      <c r="T7" s="539">
        <f>Evaluacion!BI13*N7</f>
        <v>2.5867826307512027</v>
      </c>
      <c r="U7" s="539">
        <v>0</v>
      </c>
      <c r="V7" s="539">
        <v>0</v>
      </c>
      <c r="W7" s="539">
        <f>Evaluacion!T13*N7</f>
        <v>0.55893749999999998</v>
      </c>
      <c r="X7" s="539">
        <f>Evaluacion!U13*N7</f>
        <v>0.70302099999999978</v>
      </c>
    </row>
    <row r="8" spans="2:25" x14ac:dyDescent="0.25">
      <c r="B8" t="s">
        <v>675</v>
      </c>
      <c r="C8" t="str">
        <f>Evaluacion!A16</f>
        <v>L. Bauman</v>
      </c>
      <c r="D8" s="576"/>
      <c r="E8" s="238">
        <f>Evaluacion!K16</f>
        <v>0</v>
      </c>
      <c r="F8" s="238">
        <f>Evaluacion!L16</f>
        <v>5.95</v>
      </c>
      <c r="G8" s="238">
        <f>Evaluacion!M16</f>
        <v>14.1</v>
      </c>
      <c r="H8" s="238">
        <f>Evaluacion!N16</f>
        <v>2.95</v>
      </c>
      <c r="I8" s="238">
        <f>Evaluacion!O16</f>
        <v>8.9499999999999993</v>
      </c>
      <c r="J8" s="238">
        <f>Evaluacion!P16</f>
        <v>5.95</v>
      </c>
      <c r="K8" s="238">
        <f>Evaluacion!Q16</f>
        <v>17</v>
      </c>
      <c r="M8" t="s">
        <v>675</v>
      </c>
      <c r="N8" s="538">
        <v>0.82499999999999996</v>
      </c>
      <c r="O8" s="539">
        <f>((Evaluacion!AX16+Evaluacion!AZ16)/2)*N8</f>
        <v>1.0395022732899759</v>
      </c>
      <c r="P8" s="539">
        <f>Evaluacion!AY16*N8</f>
        <v>2.9333397482609551</v>
      </c>
      <c r="Q8" s="539">
        <f>O8</f>
        <v>1.0395022732899759</v>
      </c>
      <c r="R8" s="539">
        <f>Evaluacion!BA16*N8</f>
        <v>14.057099370652386</v>
      </c>
      <c r="S8" s="539">
        <f>((Evaluacion!BB16+Evaluacion!BD16)/2)*N8</f>
        <v>1.86113429308129</v>
      </c>
      <c r="T8" s="539">
        <f>Evaluacion!BC16*N8</f>
        <v>4.8846505032294649</v>
      </c>
      <c r="U8" s="539">
        <f>S8</f>
        <v>1.86113429308129</v>
      </c>
      <c r="V8" s="539">
        <v>0</v>
      </c>
      <c r="W8" s="539">
        <f>Evaluacion!T16*N8</f>
        <v>0.66618749999999982</v>
      </c>
      <c r="X8" s="539">
        <f>Evaluacion!U16*N8</f>
        <v>0.61709999999999998</v>
      </c>
    </row>
    <row r="9" spans="2:25" x14ac:dyDescent="0.25">
      <c r="B9" t="s">
        <v>427</v>
      </c>
      <c r="C9" t="str">
        <f>Evaluacion!A14</f>
        <v>C. Rojas</v>
      </c>
      <c r="D9" s="576" t="str">
        <f>Evaluacion!D14</f>
        <v>TEC</v>
      </c>
      <c r="E9" s="238">
        <f>Evaluacion!K14</f>
        <v>0</v>
      </c>
      <c r="F9" s="238">
        <f>Evaluacion!L14</f>
        <v>7.95</v>
      </c>
      <c r="G9" s="238">
        <f>Evaluacion!M14</f>
        <v>13.95</v>
      </c>
      <c r="H9" s="238">
        <f>Evaluacion!N14</f>
        <v>8.9499999999999993</v>
      </c>
      <c r="I9" s="238">
        <f>Evaluacion!O14</f>
        <v>9.9499999999999993</v>
      </c>
      <c r="J9" s="238">
        <f>Evaluacion!P14</f>
        <v>1.95</v>
      </c>
      <c r="K9" s="238">
        <f>Evaluacion!Q14</f>
        <v>17.144444444444439</v>
      </c>
      <c r="M9" t="s">
        <v>427</v>
      </c>
      <c r="N9" s="538">
        <v>0.82499999999999996</v>
      </c>
      <c r="O9" s="539">
        <v>0</v>
      </c>
      <c r="P9" s="539">
        <f>Evaluacion!BF14*N9</f>
        <v>3.1565161619740612</v>
      </c>
      <c r="Q9" s="539">
        <f>Evaluacion!BE14*N9</f>
        <v>2.6395005837196894</v>
      </c>
      <c r="R9" s="539">
        <f>Evaluacion!BG14*N9</f>
        <v>12.352015341089507</v>
      </c>
      <c r="S9" s="539">
        <v>0</v>
      </c>
      <c r="T9" s="539">
        <f>Evaluacion!BI14*N9</f>
        <v>2.5836281466544504</v>
      </c>
      <c r="U9" s="539">
        <f>Evaluacion!BH14*N9</f>
        <v>9.0569289310199448</v>
      </c>
      <c r="V9" s="539">
        <v>0</v>
      </c>
      <c r="W9" s="539">
        <f>Evaluacion!T14*N9</f>
        <v>0.50476249999999978</v>
      </c>
      <c r="X9" s="539">
        <f>Evaluacion!U14*N9</f>
        <v>0.68667499999999992</v>
      </c>
    </row>
    <row r="10" spans="2:25" x14ac:dyDescent="0.25">
      <c r="B10" t="s">
        <v>676</v>
      </c>
      <c r="C10" t="str">
        <f>Evaluacion!A10</f>
        <v>E. Romweber</v>
      </c>
      <c r="D10" s="576" t="str">
        <f>Evaluacion!D10</f>
        <v>IMP</v>
      </c>
      <c r="E10" s="238">
        <f>Evaluacion!K10</f>
        <v>0</v>
      </c>
      <c r="F10" s="238">
        <f>Evaluacion!L10</f>
        <v>11.95</v>
      </c>
      <c r="G10" s="238">
        <f>Evaluacion!M10</f>
        <v>12.614111111111114</v>
      </c>
      <c r="H10" s="238">
        <f>Evaluacion!N10</f>
        <v>12.95</v>
      </c>
      <c r="I10" s="238">
        <f>Evaluacion!O10</f>
        <v>10.95</v>
      </c>
      <c r="J10" s="238">
        <f>Evaluacion!P10</f>
        <v>5.95</v>
      </c>
      <c r="K10" s="238">
        <f>Evaluacion!Q10</f>
        <v>17.529999999999998</v>
      </c>
      <c r="M10" t="s">
        <v>676</v>
      </c>
      <c r="N10" s="538">
        <v>1</v>
      </c>
      <c r="O10" s="539">
        <f>Evaluacion!BT10</f>
        <v>4.286694527135162</v>
      </c>
      <c r="P10" s="539">
        <f>Evaluacion!BU10</f>
        <v>3.6829347345809138</v>
      </c>
      <c r="Q10" s="539">
        <v>0</v>
      </c>
      <c r="R10" s="539">
        <f>Evaluacion!BV10</f>
        <v>7.1699381958601309</v>
      </c>
      <c r="S10" s="539">
        <f>Evaluacion!BW10</f>
        <v>17.344146253752676</v>
      </c>
      <c r="T10" s="539">
        <f>Evaluacion!BX10</f>
        <v>1.7053733724766007</v>
      </c>
      <c r="U10" s="539">
        <v>0</v>
      </c>
      <c r="V10" s="539">
        <v>0</v>
      </c>
      <c r="W10" s="539">
        <f>Evaluacion!T10*N10</f>
        <v>0.82340000000000002</v>
      </c>
      <c r="X10" s="539">
        <f>Evaluacion!U10*N10</f>
        <v>1.0039</v>
      </c>
    </row>
    <row r="11" spans="2:25" x14ac:dyDescent="0.25">
      <c r="B11" t="s">
        <v>676</v>
      </c>
      <c r="C11" t="str">
        <f>Evaluacion!A11</f>
        <v>K. Helms</v>
      </c>
      <c r="D11" s="576" t="str">
        <f>Evaluacion!D11</f>
        <v>TEC</v>
      </c>
      <c r="E11" s="238">
        <f>Evaluacion!K11</f>
        <v>0</v>
      </c>
      <c r="F11" s="238">
        <f>Evaluacion!L11</f>
        <v>7.2503030303030309</v>
      </c>
      <c r="G11" s="238">
        <f>Evaluacion!M11</f>
        <v>10.600000000000005</v>
      </c>
      <c r="H11" s="238">
        <f>Evaluacion!N11</f>
        <v>13.471666666666668</v>
      </c>
      <c r="I11" s="238">
        <f>Evaluacion!O11</f>
        <v>9.9499999999999993</v>
      </c>
      <c r="J11" s="238">
        <f>Evaluacion!P11</f>
        <v>3.95</v>
      </c>
      <c r="K11" s="238">
        <f>Evaluacion!Q11</f>
        <v>18</v>
      </c>
      <c r="M11" t="s">
        <v>676</v>
      </c>
      <c r="N11" s="538">
        <v>1</v>
      </c>
      <c r="O11" s="539">
        <v>0</v>
      </c>
      <c r="P11" s="539">
        <f>Evaluacion!BU11</f>
        <v>2.5028091920776476</v>
      </c>
      <c r="Q11" s="539">
        <f>Evaluacion!BT11</f>
        <v>2.9131057809428356</v>
      </c>
      <c r="R11" s="539">
        <f>Evaluacion!BV11</f>
        <v>6.191235819553639</v>
      </c>
      <c r="S11" s="539">
        <v>0</v>
      </c>
      <c r="T11" s="539">
        <f>Evaluacion!BX11</f>
        <v>1.5678105146505275</v>
      </c>
      <c r="U11" s="539">
        <f>Evaluacion!BW11</f>
        <v>17.399199753989954</v>
      </c>
      <c r="V11" s="539">
        <v>0</v>
      </c>
      <c r="W11" s="539">
        <f>Evaluacion!T11*N11</f>
        <v>0.73750000000000004</v>
      </c>
      <c r="X11" s="539">
        <f>Evaluacion!U11*N11</f>
        <v>0.8300121212121212</v>
      </c>
    </row>
    <row r="12" spans="2:25" x14ac:dyDescent="0.25">
      <c r="B12" t="s">
        <v>66</v>
      </c>
      <c r="C12" t="str">
        <f>Evaluacion!A19</f>
        <v>J. Limon</v>
      </c>
      <c r="D12" s="576" t="str">
        <f>Evaluacion!D19</f>
        <v>RAP</v>
      </c>
      <c r="E12" s="238">
        <f>Evaluacion!K19</f>
        <v>0</v>
      </c>
      <c r="F12" s="238">
        <f>Evaluacion!L19</f>
        <v>6.8376190476190493</v>
      </c>
      <c r="G12" s="238">
        <f>Evaluacion!M19</f>
        <v>8.9499999999999993</v>
      </c>
      <c r="H12" s="238">
        <f>Evaluacion!N19</f>
        <v>8.7399999999999967</v>
      </c>
      <c r="I12" s="238">
        <f>Evaluacion!O19</f>
        <v>9.9499999999999993</v>
      </c>
      <c r="J12" s="238">
        <f>Evaluacion!P19</f>
        <v>7.95</v>
      </c>
      <c r="K12" s="238">
        <f>Evaluacion!Q19</f>
        <v>18.999999999999993</v>
      </c>
      <c r="M12" t="s">
        <v>66</v>
      </c>
      <c r="N12" s="538">
        <v>0.94499999999999995</v>
      </c>
      <c r="O12" s="539">
        <v>0</v>
      </c>
      <c r="P12" s="539">
        <v>0</v>
      </c>
      <c r="Q12" s="539">
        <v>0</v>
      </c>
      <c r="R12" s="539">
        <f>N12*Evaluacion!CK19</f>
        <v>2.8327433518014939</v>
      </c>
      <c r="S12" s="539">
        <f>N12*Evaluacion!CH19</f>
        <v>6.7809789826893221</v>
      </c>
      <c r="T12" s="539">
        <f>N12*Evaluacion!CI19</f>
        <v>14.915807594464981</v>
      </c>
      <c r="U12" s="539">
        <f>S12</f>
        <v>6.7809789826893221</v>
      </c>
      <c r="V12" s="539">
        <v>0</v>
      </c>
      <c r="W12" s="539">
        <f>Evaluacion!T19*N12</f>
        <v>0.9142874999999997</v>
      </c>
      <c r="X12" s="539">
        <f>Evaluacion!U19*N12</f>
        <v>0.79711199999999982</v>
      </c>
    </row>
    <row r="13" spans="2:25" x14ac:dyDescent="0.25">
      <c r="B13" t="s">
        <v>489</v>
      </c>
      <c r="C13" t="str">
        <f>Evaluacion!A20</f>
        <v>L. Calosso</v>
      </c>
      <c r="D13" s="576" t="str">
        <f>Evaluacion!D20</f>
        <v>TEC</v>
      </c>
      <c r="E13" s="238">
        <f>Evaluacion!K20</f>
        <v>0</v>
      </c>
      <c r="F13" s="238">
        <f>Evaluacion!L20</f>
        <v>2.95</v>
      </c>
      <c r="G13" s="238">
        <f>Evaluacion!M20</f>
        <v>13.95</v>
      </c>
      <c r="H13" s="238">
        <f>Evaluacion!N20</f>
        <v>2.95</v>
      </c>
      <c r="I13" s="238">
        <f>Evaluacion!O20</f>
        <v>14.95</v>
      </c>
      <c r="J13" s="238">
        <f>Evaluacion!P20</f>
        <v>8.9499999999999993</v>
      </c>
      <c r="K13" s="238">
        <f>Evaluacion!Q20</f>
        <v>11.25</v>
      </c>
      <c r="M13" t="s">
        <v>489</v>
      </c>
      <c r="N13" s="538">
        <f>1-0.055</f>
        <v>0.94499999999999995</v>
      </c>
      <c r="O13" s="539">
        <v>0</v>
      </c>
      <c r="P13" s="539">
        <v>0</v>
      </c>
      <c r="Q13" s="539">
        <v>0</v>
      </c>
      <c r="R13" s="539">
        <f>N13*Evaluacion!CD20</f>
        <v>6.535189599951102</v>
      </c>
      <c r="S13" s="539">
        <f>N13*Evaluacion!CE20</f>
        <v>7.8208671910606187</v>
      </c>
      <c r="T13" s="539">
        <f>N13*Evaluacion!CF20</f>
        <v>15.88314839789394</v>
      </c>
      <c r="U13" s="539">
        <f>S13</f>
        <v>7.8208671910606187</v>
      </c>
      <c r="V13" s="539">
        <v>0</v>
      </c>
      <c r="W13" s="539">
        <f>Evaluacion!T20*N13</f>
        <v>0.74182499999999985</v>
      </c>
      <c r="X13" s="539">
        <f>Evaluacion!U20*N13</f>
        <v>0.43044749999999993</v>
      </c>
    </row>
    <row r="14" spans="2:25" x14ac:dyDescent="0.25">
      <c r="M14" s="236"/>
      <c r="N14" s="391"/>
      <c r="O14" s="540">
        <f>SUM(O3:O13)</f>
        <v>43.169557853430582</v>
      </c>
      <c r="P14" s="540">
        <f t="shared" ref="P14:X14" si="0">SUM(P3:P13)</f>
        <v>65.835769679229486</v>
      </c>
      <c r="Q14" s="540">
        <f t="shared" si="0"/>
        <v>43.197982118435441</v>
      </c>
      <c r="R14" s="540">
        <f t="shared" si="0"/>
        <v>70.042499044734114</v>
      </c>
      <c r="S14" s="540">
        <f t="shared" si="0"/>
        <v>51.896257796069627</v>
      </c>
      <c r="T14" s="540">
        <f t="shared" si="0"/>
        <v>44.127201160121167</v>
      </c>
      <c r="U14" s="540">
        <f t="shared" si="0"/>
        <v>52.712251974988149</v>
      </c>
      <c r="V14" s="594">
        <f t="shared" si="0"/>
        <v>12.437499999999998</v>
      </c>
      <c r="W14" s="594">
        <f t="shared" si="0"/>
        <v>7.0097333333333323</v>
      </c>
      <c r="X14" s="594">
        <f t="shared" si="0"/>
        <v>8.9361009545454539</v>
      </c>
    </row>
    <row r="15" spans="2:25" ht="15.75" x14ac:dyDescent="0.25">
      <c r="M15" s="236"/>
      <c r="N15" s="236" t="s">
        <v>681</v>
      </c>
      <c r="O15" s="542">
        <f>O14*0.34</f>
        <v>14.677649670166399</v>
      </c>
      <c r="P15" s="542">
        <f>P14*0.245</f>
        <v>16.129763571411225</v>
      </c>
      <c r="Q15" s="542">
        <f>Q14*0.34</f>
        <v>14.687313920268052</v>
      </c>
      <c r="R15" s="542">
        <f>R14*0.125</f>
        <v>8.7553123805917643</v>
      </c>
      <c r="S15" s="542">
        <f>S14*0.25</f>
        <v>12.974064449017407</v>
      </c>
      <c r="T15" s="542">
        <f>T14*0.19</f>
        <v>8.384168220423021</v>
      </c>
      <c r="U15" s="542">
        <f>U14*0.25</f>
        <v>13.178062993747037</v>
      </c>
    </row>
    <row r="16" spans="2:25" ht="15.75" x14ac:dyDescent="0.25">
      <c r="M16" s="236"/>
      <c r="N16" s="236" t="s">
        <v>682</v>
      </c>
      <c r="O16" s="552">
        <f>O15*1.2/1.05</f>
        <v>16.774456765904457</v>
      </c>
      <c r="P16" s="552">
        <f t="shared" ref="P16:Q16" si="1">P15*1.2/1.05</f>
        <v>18.434015510184256</v>
      </c>
      <c r="Q16" s="552">
        <f t="shared" si="1"/>
        <v>16.785501623163487</v>
      </c>
      <c r="R16" s="552">
        <f>R15</f>
        <v>8.7553123805917643</v>
      </c>
      <c r="S16" s="552">
        <f>S15*0.925/1.05</f>
        <v>11.429532966991525</v>
      </c>
      <c r="T16" s="552">
        <f t="shared" ref="T16:U16" si="2">T15*0.925/1.05</f>
        <v>7.3860529560869477</v>
      </c>
      <c r="U16" s="552">
        <f t="shared" si="2"/>
        <v>11.609245970681915</v>
      </c>
    </row>
    <row r="17" spans="13:21" ht="15.75" x14ac:dyDescent="0.25">
      <c r="M17" s="236"/>
      <c r="N17" s="236" t="s">
        <v>683</v>
      </c>
      <c r="O17" s="552">
        <f>O15*0.925/1.05</f>
        <v>12.930310423718019</v>
      </c>
      <c r="P17" s="552">
        <f t="shared" ref="P17:Q17" si="3">P15*0.925/1.05</f>
        <v>14.209553622433697</v>
      </c>
      <c r="Q17" s="552">
        <f t="shared" si="3"/>
        <v>12.938824167855188</v>
      </c>
      <c r="R17" s="552">
        <f>R16</f>
        <v>8.7553123805917643</v>
      </c>
      <c r="S17" s="552">
        <f>S15*1.135/1.05</f>
        <v>14.024345856795007</v>
      </c>
      <c r="T17" s="552">
        <f t="shared" ref="T17:U17" si="4">T15*1.135/1.05</f>
        <v>9.0628866001715505</v>
      </c>
      <c r="U17" s="552">
        <f t="shared" si="4"/>
        <v>14.244858569431321</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35" t="s">
        <v>251</v>
      </c>
      <c r="B1" s="435" t="s">
        <v>174</v>
      </c>
      <c r="C1" s="435" t="s">
        <v>561</v>
      </c>
      <c r="D1" s="435" t="s">
        <v>1</v>
      </c>
      <c r="E1" s="435" t="s">
        <v>2</v>
      </c>
      <c r="F1" s="435" t="s">
        <v>568</v>
      </c>
      <c r="G1" s="435" t="s">
        <v>65</v>
      </c>
      <c r="H1" s="435" t="s">
        <v>470</v>
      </c>
      <c r="I1" s="435" t="s">
        <v>569</v>
      </c>
      <c r="J1" s="435" t="s">
        <v>0</v>
      </c>
      <c r="L1" s="537">
        <v>541</v>
      </c>
      <c r="M1" s="391" t="s">
        <v>677</v>
      </c>
      <c r="N1" s="48" t="s">
        <v>572</v>
      </c>
      <c r="O1" s="48" t="s">
        <v>678</v>
      </c>
      <c r="P1" s="48" t="s">
        <v>572</v>
      </c>
      <c r="Q1" s="48" t="s">
        <v>64</v>
      </c>
      <c r="R1" s="48" t="s">
        <v>574</v>
      </c>
      <c r="S1" s="48" t="s">
        <v>575</v>
      </c>
      <c r="T1" s="48" t="s">
        <v>574</v>
      </c>
      <c r="U1" s="48" t="s">
        <v>464</v>
      </c>
      <c r="V1" s="48" t="s">
        <v>679</v>
      </c>
      <c r="W1" s="48" t="s">
        <v>680</v>
      </c>
    </row>
    <row r="2" spans="1:27" x14ac:dyDescent="0.25">
      <c r="A2" t="s">
        <v>1</v>
      </c>
      <c r="B2" t="str">
        <f>Evaluacion!A3</f>
        <v>D. Gehmacher</v>
      </c>
      <c r="C2">
        <f>Evaluacion!D3</f>
        <v>0</v>
      </c>
      <c r="D2" s="238">
        <f>Evaluacion!K3</f>
        <v>16.666666666666668</v>
      </c>
      <c r="E2" s="238">
        <f>Evaluacion!L3</f>
        <v>11.95</v>
      </c>
      <c r="F2" s="238">
        <f>Evaluacion!M3</f>
        <v>2.0699999999999985</v>
      </c>
      <c r="G2" s="238">
        <f>Evaluacion!N3</f>
        <v>2.149999999999999</v>
      </c>
      <c r="H2" s="238">
        <f>Evaluacion!O3</f>
        <v>0.95</v>
      </c>
      <c r="I2" s="238">
        <f>Evaluacion!P3</f>
        <v>0</v>
      </c>
      <c r="J2" s="238">
        <f>Evaluacion!Q3</f>
        <v>18.2</v>
      </c>
      <c r="L2" t="str">
        <f>A2</f>
        <v>POR</v>
      </c>
      <c r="M2" s="538">
        <v>1</v>
      </c>
      <c r="N2" s="539">
        <f>Evaluacion!X3</f>
        <v>15.721407074755762</v>
      </c>
      <c r="O2" s="539">
        <f>Evaluacion!Y3</f>
        <v>23.169483486265392</v>
      </c>
      <c r="P2" s="539">
        <f>Evaluacion!Z3</f>
        <v>15.721407074755762</v>
      </c>
      <c r="Q2" s="539">
        <v>0</v>
      </c>
      <c r="R2" s="539">
        <v>0</v>
      </c>
      <c r="S2" s="539">
        <v>0</v>
      </c>
      <c r="T2" s="539">
        <v>0</v>
      </c>
      <c r="U2" s="539">
        <v>0</v>
      </c>
      <c r="V2" s="539">
        <f>Evaluacion!T3</f>
        <v>0.54600000000000004</v>
      </c>
      <c r="W2" s="539">
        <f>Evaluacion!U3</f>
        <v>1.024</v>
      </c>
      <c r="AA2" s="544"/>
    </row>
    <row r="3" spans="1:27" x14ac:dyDescent="0.25">
      <c r="A3" t="s">
        <v>673</v>
      </c>
      <c r="B3" t="str">
        <f>Evaluacion!A9</f>
        <v>B. Pinczehelyi</v>
      </c>
      <c r="C3" t="str">
        <f>Evaluacion!D9</f>
        <v>CAB</v>
      </c>
      <c r="D3" s="238">
        <f>Evaluacion!K9</f>
        <v>0</v>
      </c>
      <c r="E3" s="238">
        <f>Evaluacion!L9</f>
        <v>14.300000000000004</v>
      </c>
      <c r="F3" s="238">
        <f>Evaluacion!M9</f>
        <v>9.3793333333333351</v>
      </c>
      <c r="G3" s="238">
        <f>Evaluacion!N9</f>
        <v>13.95</v>
      </c>
      <c r="H3" s="238">
        <f>Evaluacion!O9</f>
        <v>8.9499999999999993</v>
      </c>
      <c r="I3" s="238">
        <f>Evaluacion!P9</f>
        <v>0</v>
      </c>
      <c r="J3" s="238">
        <f>Evaluacion!Q9</f>
        <v>11.25</v>
      </c>
      <c r="L3" t="str">
        <f t="shared" ref="L3:L12" si="0">A3</f>
        <v>LATN</v>
      </c>
      <c r="M3" s="538">
        <v>1</v>
      </c>
      <c r="N3" s="539">
        <f>Evaluacion!AI9</f>
        <v>15.644604417168807</v>
      </c>
      <c r="O3" s="539">
        <f>Evaluacion!AJ9</f>
        <v>7.0400719877259625</v>
      </c>
      <c r="P3" s="539">
        <v>0</v>
      </c>
      <c r="Q3" s="539">
        <f>Evaluacion!AK9</f>
        <v>2.0180844684788304</v>
      </c>
      <c r="R3" s="539">
        <f>Evaluacion!AL9</f>
        <v>9.7931428231470168</v>
      </c>
      <c r="S3" s="539">
        <v>0</v>
      </c>
      <c r="T3" s="539">
        <v>0</v>
      </c>
      <c r="U3" s="539">
        <f>Evaluacion!R9</f>
        <v>4.4000000000000004</v>
      </c>
      <c r="V3" s="539">
        <f>Evaluacion!T9</f>
        <v>0.33750000000000002</v>
      </c>
      <c r="W3" s="539">
        <f>Evaluacion!U9</f>
        <v>0.9095000000000002</v>
      </c>
      <c r="AA3" s="545"/>
    </row>
    <row r="4" spans="1:27" x14ac:dyDescent="0.25">
      <c r="A4" t="s">
        <v>685</v>
      </c>
      <c r="B4" t="str">
        <f>Evaluacion!A7</f>
        <v>B. Bartolache</v>
      </c>
      <c r="C4">
        <f>Evaluacion!D7</f>
        <v>0</v>
      </c>
      <c r="D4" s="238">
        <f>Evaluacion!K7</f>
        <v>0</v>
      </c>
      <c r="E4" s="238">
        <f>Evaluacion!L7</f>
        <v>11.95</v>
      </c>
      <c r="F4" s="238">
        <f>Evaluacion!M7</f>
        <v>5.95</v>
      </c>
      <c r="G4" s="238">
        <f>Evaluacion!N7</f>
        <v>6.95</v>
      </c>
      <c r="H4" s="238">
        <f>Evaluacion!O7</f>
        <v>7.95</v>
      </c>
      <c r="I4" s="238">
        <f>Evaluacion!P7</f>
        <v>2.95</v>
      </c>
      <c r="J4" s="238">
        <f>Evaluacion!Q7</f>
        <v>16</v>
      </c>
      <c r="L4" t="str">
        <f t="shared" si="0"/>
        <v>DCHL</v>
      </c>
      <c r="M4" s="538">
        <v>0.9</v>
      </c>
      <c r="N4" s="539">
        <f>M4*Evaluacion!AM7</f>
        <v>10.097008840210583</v>
      </c>
      <c r="O4" s="539">
        <f>M4*Evaluacion!AN7</f>
        <v>9.4810109534072833</v>
      </c>
      <c r="P4" s="539">
        <v>0</v>
      </c>
      <c r="Q4" s="539">
        <f>M4*Evaluacion!AO7</f>
        <v>2.8450551542641476</v>
      </c>
      <c r="R4" s="539">
        <f>M4*Evaluacion!AP7</f>
        <v>1.7587824217249968</v>
      </c>
      <c r="S4" s="539">
        <v>0</v>
      </c>
      <c r="T4" s="539">
        <v>0</v>
      </c>
      <c r="U4" s="539">
        <f>Evaluacion!R7</f>
        <v>3.8562499999999997</v>
      </c>
      <c r="V4" s="539">
        <f>Evaluacion!T7*M4</f>
        <v>0.56475000000000009</v>
      </c>
      <c r="W4" s="539">
        <f>Evaluacion!U7*M4</f>
        <v>0.86219999999999997</v>
      </c>
      <c r="AA4" s="545"/>
    </row>
    <row r="5" spans="1:27" x14ac:dyDescent="0.25">
      <c r="A5" t="s">
        <v>684</v>
      </c>
      <c r="B5" t="str">
        <f>Evaluacion!A6</f>
        <v>E. Toney</v>
      </c>
      <c r="C5">
        <f>Evaluacion!D6</f>
        <v>0</v>
      </c>
      <c r="D5" s="238">
        <f>Evaluacion!K6</f>
        <v>0</v>
      </c>
      <c r="E5" s="238">
        <f>Evaluacion!L6</f>
        <v>11.95</v>
      </c>
      <c r="F5" s="238">
        <f>Evaluacion!M6</f>
        <v>12.95</v>
      </c>
      <c r="G5" s="238">
        <f>Evaluacion!N6</f>
        <v>8.9499999999999993</v>
      </c>
      <c r="H5" s="238">
        <f>Evaluacion!O6</f>
        <v>8.9499999999999993</v>
      </c>
      <c r="I5" s="238">
        <f>Evaluacion!P6</f>
        <v>1.95</v>
      </c>
      <c r="J5" s="238">
        <f>Evaluacion!Q6</f>
        <v>17.177777777777774</v>
      </c>
      <c r="L5" t="str">
        <f t="shared" si="0"/>
        <v>DCN</v>
      </c>
      <c r="M5" s="538">
        <v>0.9</v>
      </c>
      <c r="N5" s="539">
        <f>M5*(Evaluacion!AA6+Evaluacion!AC6)/2</f>
        <v>5.2675835513699747</v>
      </c>
      <c r="O5" s="539">
        <f>M5*Evaluacion!AB6</f>
        <v>13.611327006123966</v>
      </c>
      <c r="P5" s="539">
        <f>N5</f>
        <v>5.2675835513699747</v>
      </c>
      <c r="Q5" s="539">
        <f>M5*Evaluacion!AD6</f>
        <v>3.4536958274575036</v>
      </c>
      <c r="R5" s="539">
        <v>0</v>
      </c>
      <c r="S5" s="539">
        <f>0</f>
        <v>0</v>
      </c>
      <c r="T5" s="539">
        <v>0</v>
      </c>
      <c r="U5" s="539">
        <f>Evaluacion!R6</f>
        <v>4.1062499999999993</v>
      </c>
      <c r="V5" s="539">
        <f>Evaluacion!T6*M5</f>
        <v>0.55154999999999987</v>
      </c>
      <c r="W5" s="539">
        <f>Evaluacion!U6*M5</f>
        <v>0.89399999999999991</v>
      </c>
      <c r="AA5" s="545"/>
    </row>
    <row r="6" spans="1:27" x14ac:dyDescent="0.25">
      <c r="A6" t="s">
        <v>685</v>
      </c>
      <c r="B6" t="e">
        <f>Evaluacion!A5</f>
        <v>#REF!</v>
      </c>
      <c r="C6" t="e">
        <f>Evaluacion!D5</f>
        <v>#REF!</v>
      </c>
      <c r="D6" s="238" t="e">
        <f>Evaluacion!K5</f>
        <v>#REF!</v>
      </c>
      <c r="E6" s="238" t="e">
        <f>Evaluacion!L5</f>
        <v>#REF!</v>
      </c>
      <c r="F6" s="238" t="e">
        <f>Evaluacion!M5</f>
        <v>#REF!</v>
      </c>
      <c r="G6" s="238" t="e">
        <f>Evaluacion!N5</f>
        <v>#REF!</v>
      </c>
      <c r="H6" s="238" t="e">
        <f>Evaluacion!O5</f>
        <v>#REF!</v>
      </c>
      <c r="I6" s="238" t="e">
        <f>Evaluacion!P5</f>
        <v>#REF!</v>
      </c>
      <c r="J6" s="238" t="e">
        <f>Evaluacion!Q5</f>
        <v>#REF!</v>
      </c>
      <c r="L6" t="str">
        <f t="shared" si="0"/>
        <v>DCHL</v>
      </c>
      <c r="M6" s="538">
        <v>0.9</v>
      </c>
      <c r="N6" s="539">
        <v>0</v>
      </c>
      <c r="O6" s="539" t="e">
        <f>M6*Evaluacion!AN5</f>
        <v>#REF!</v>
      </c>
      <c r="P6" s="539" t="e">
        <f>M6*Evaluacion!AM5</f>
        <v>#REF!</v>
      </c>
      <c r="Q6" s="539" t="e">
        <f>M6*Evaluacion!AO5</f>
        <v>#REF!</v>
      </c>
      <c r="R6" s="539">
        <v>0</v>
      </c>
      <c r="S6" s="539">
        <v>0</v>
      </c>
      <c r="T6" s="539" t="e">
        <f>M6*Evaluacion!AP5</f>
        <v>#REF!</v>
      </c>
      <c r="U6" s="539" t="e">
        <f>Evaluacion!R5</f>
        <v>#REF!</v>
      </c>
      <c r="V6" s="539" t="e">
        <f>Evaluacion!T5*M6</f>
        <v>#REF!</v>
      </c>
      <c r="W6" s="539" t="e">
        <f>Evaluacion!U5*M6</f>
        <v>#REF!</v>
      </c>
      <c r="AA6" s="545"/>
    </row>
    <row r="7" spans="1:27" x14ac:dyDescent="0.25">
      <c r="A7" t="s">
        <v>673</v>
      </c>
      <c r="B7" t="str">
        <f>Evaluacion!A10</f>
        <v>E. Romweber</v>
      </c>
      <c r="C7" t="str">
        <f>Evaluacion!D10</f>
        <v>IMP</v>
      </c>
      <c r="D7" s="238">
        <f>Evaluacion!K10</f>
        <v>0</v>
      </c>
      <c r="E7" s="238">
        <f>Evaluacion!L10</f>
        <v>11.95</v>
      </c>
      <c r="F7" s="238">
        <f>Evaluacion!M10</f>
        <v>12.614111111111114</v>
      </c>
      <c r="G7" s="238">
        <f>Evaluacion!N10</f>
        <v>12.95</v>
      </c>
      <c r="H7" s="238">
        <f>Evaluacion!O10</f>
        <v>10.95</v>
      </c>
      <c r="I7" s="238">
        <f>Evaluacion!P10</f>
        <v>5.95</v>
      </c>
      <c r="J7" s="238">
        <f>Evaluacion!Q10</f>
        <v>17.529999999999998</v>
      </c>
      <c r="L7" t="str">
        <f t="shared" si="0"/>
        <v>LATN</v>
      </c>
      <c r="M7" s="538">
        <v>1</v>
      </c>
      <c r="N7" s="539">
        <v>0</v>
      </c>
      <c r="O7" s="539">
        <f>Evaluacion!AJ10</f>
        <v>6.2489138529364681</v>
      </c>
      <c r="P7" s="539">
        <f>Evaluacion!AI10</f>
        <v>13.886475228747708</v>
      </c>
      <c r="Q7" s="539">
        <f>Evaluacion!AK10</f>
        <v>2.6316036894695425</v>
      </c>
      <c r="R7" s="539">
        <v>0</v>
      </c>
      <c r="S7" s="539">
        <v>0</v>
      </c>
      <c r="T7" s="539">
        <f>Evaluacion!AL10</f>
        <v>9.4632689505474481</v>
      </c>
      <c r="U7" s="539">
        <f>Evaluacion!R10</f>
        <v>4.6062499999999993</v>
      </c>
      <c r="V7" s="539">
        <f>Evaluacion!T10</f>
        <v>0.82340000000000002</v>
      </c>
      <c r="W7" s="539">
        <f>Evaluacion!U10</f>
        <v>1.0039</v>
      </c>
      <c r="AA7" s="545"/>
    </row>
    <row r="8" spans="1:27" x14ac:dyDescent="0.25">
      <c r="A8" t="s">
        <v>427</v>
      </c>
      <c r="B8" t="str">
        <f>Evaluacion!A14</f>
        <v>C. Rojas</v>
      </c>
      <c r="C8" t="str">
        <f>Evaluacion!D14</f>
        <v>TEC</v>
      </c>
      <c r="D8" s="238">
        <f>Evaluacion!K14</f>
        <v>0</v>
      </c>
      <c r="E8" s="238">
        <f>Evaluacion!L14</f>
        <v>7.95</v>
      </c>
      <c r="F8" s="238">
        <f>Evaluacion!M14</f>
        <v>13.95</v>
      </c>
      <c r="G8" s="238">
        <f>Evaluacion!N14</f>
        <v>8.9499999999999993</v>
      </c>
      <c r="H8" s="238">
        <f>Evaluacion!O14</f>
        <v>9.9499999999999993</v>
      </c>
      <c r="I8" s="238">
        <f>Evaluacion!P14</f>
        <v>1.95</v>
      </c>
      <c r="J8" s="238">
        <f>Evaluacion!Q14</f>
        <v>17.144444444444439</v>
      </c>
      <c r="L8" t="str">
        <f t="shared" si="0"/>
        <v>IHL</v>
      </c>
      <c r="M8" s="538">
        <f>1-0.065</f>
        <v>0.93500000000000005</v>
      </c>
      <c r="N8" s="539">
        <f>M8*Evaluacion!BE14</f>
        <v>2.991433994882315</v>
      </c>
      <c r="O8" s="539">
        <f>M8*Evaluacion!BF14</f>
        <v>3.5773849835706031</v>
      </c>
      <c r="P8" s="539">
        <v>0</v>
      </c>
      <c r="Q8" s="539">
        <f>Evaluacion!BG14*M8</f>
        <v>13.998950719901442</v>
      </c>
      <c r="R8" s="539">
        <f>Evaluacion!BH14*M8</f>
        <v>10.264519455155938</v>
      </c>
      <c r="S8" s="539">
        <f>Evaluacion!BI14*M8</f>
        <v>2.9281118995417108</v>
      </c>
      <c r="T8" s="539">
        <v>0</v>
      </c>
      <c r="U8" s="539">
        <v>0</v>
      </c>
      <c r="V8" s="539">
        <f>Evaluacion!T14*M8</f>
        <v>0.57206416666666648</v>
      </c>
      <c r="W8" s="539">
        <f>Evaluacion!U14*M8</f>
        <v>0.77823166666666665</v>
      </c>
      <c r="AA8" s="545"/>
    </row>
    <row r="9" spans="1:27" x14ac:dyDescent="0.25">
      <c r="A9" t="s">
        <v>427</v>
      </c>
      <c r="B9" t="str">
        <f>Evaluacion!A13</f>
        <v>S. Buschelman</v>
      </c>
      <c r="C9" t="str">
        <f>Evaluacion!D13</f>
        <v>TEC</v>
      </c>
      <c r="D9" s="238">
        <f>Evaluacion!K13</f>
        <v>0</v>
      </c>
      <c r="E9" s="238">
        <f>Evaluacion!L13</f>
        <v>9.3036666666666648</v>
      </c>
      <c r="F9" s="238">
        <f>Evaluacion!M13</f>
        <v>14</v>
      </c>
      <c r="G9" s="238">
        <f>Evaluacion!N13</f>
        <v>12.945</v>
      </c>
      <c r="H9" s="238">
        <f>Evaluacion!O13</f>
        <v>9.9499999999999993</v>
      </c>
      <c r="I9" s="238">
        <f>Evaluacion!P13</f>
        <v>3.95</v>
      </c>
      <c r="J9" s="238">
        <f>Evaluacion!Q13</f>
        <v>16</v>
      </c>
      <c r="L9" t="str">
        <f t="shared" si="0"/>
        <v>IHL</v>
      </c>
      <c r="M9" s="538">
        <f>1-0.065</f>
        <v>0.93500000000000005</v>
      </c>
      <c r="N9" s="539">
        <v>0</v>
      </c>
      <c r="O9" s="539">
        <f>M9*Evaluacion!BF13</f>
        <v>4.0230034026069479</v>
      </c>
      <c r="P9" s="539">
        <f>M9*Evaluacion!BE13</f>
        <v>3.3640631901109819</v>
      </c>
      <c r="Q9" s="539">
        <f>Evaluacion!BG13*M9</f>
        <v>14.053206545507821</v>
      </c>
      <c r="R9" s="539">
        <v>0</v>
      </c>
      <c r="S9" s="539">
        <f>Evaluacion!BI13*M9</f>
        <v>2.9316869815180304</v>
      </c>
      <c r="T9" s="539">
        <f>Evaluacion!BH13*M9</f>
        <v>12.421783755682693</v>
      </c>
      <c r="U9" s="539">
        <v>0</v>
      </c>
      <c r="V9" s="539">
        <f>Evaluacion!T13*M9</f>
        <v>0.63346250000000004</v>
      </c>
      <c r="W9" s="539">
        <f>Evaluacion!U13*M9</f>
        <v>0.7967571333333332</v>
      </c>
      <c r="AA9" s="545"/>
    </row>
    <row r="10" spans="1:27" x14ac:dyDescent="0.25">
      <c r="A10" t="s">
        <v>676</v>
      </c>
      <c r="B10" t="str">
        <f>Evaluacion!A11</f>
        <v>K. Helms</v>
      </c>
      <c r="C10" t="str">
        <f>Evaluacion!D11</f>
        <v>TEC</v>
      </c>
      <c r="D10" s="238">
        <f>Evaluacion!K11</f>
        <v>0</v>
      </c>
      <c r="E10" s="238">
        <f>Evaluacion!L11</f>
        <v>7.2503030303030309</v>
      </c>
      <c r="F10" s="238">
        <f>Evaluacion!M11</f>
        <v>10.600000000000005</v>
      </c>
      <c r="G10" s="238">
        <f>Evaluacion!N11</f>
        <v>13.471666666666668</v>
      </c>
      <c r="H10" s="238">
        <f>Evaluacion!O11</f>
        <v>9.9499999999999993</v>
      </c>
      <c r="I10" s="238">
        <f>Evaluacion!P11</f>
        <v>3.95</v>
      </c>
      <c r="J10" s="238">
        <f>Evaluacion!Q11</f>
        <v>18</v>
      </c>
      <c r="L10" t="str">
        <f t="shared" si="0"/>
        <v>EXTN</v>
      </c>
      <c r="M10" s="538">
        <v>1</v>
      </c>
      <c r="N10" s="539">
        <f>Evaluacion!BT11</f>
        <v>2.9131057809428356</v>
      </c>
      <c r="O10" s="539">
        <f>Evaluacion!BU11</f>
        <v>2.5028091920776476</v>
      </c>
      <c r="P10" s="539">
        <v>0</v>
      </c>
      <c r="Q10" s="539">
        <f>Evaluacion!BV11</f>
        <v>6.191235819553639</v>
      </c>
      <c r="R10" s="539">
        <f>Evaluacion!BW11</f>
        <v>17.399199753989954</v>
      </c>
      <c r="S10" s="539">
        <f>Evaluacion!BX11</f>
        <v>1.5678105146505275</v>
      </c>
      <c r="T10" s="539">
        <v>0</v>
      </c>
      <c r="U10" s="539">
        <v>0</v>
      </c>
      <c r="V10" s="539">
        <f>Evaluacion!T11</f>
        <v>0.73750000000000004</v>
      </c>
      <c r="W10" s="539">
        <f>Evaluacion!U11</f>
        <v>0.8300121212121212</v>
      </c>
      <c r="AA10" s="545"/>
    </row>
    <row r="11" spans="1:27" x14ac:dyDescent="0.25">
      <c r="A11" t="s">
        <v>676</v>
      </c>
      <c r="B11" t="str">
        <f>Evaluacion!A12</f>
        <v>S. Zobbe</v>
      </c>
      <c r="C11" t="str">
        <f>Evaluacion!D12</f>
        <v>CAB</v>
      </c>
      <c r="D11" s="238">
        <f>Evaluacion!K12</f>
        <v>0</v>
      </c>
      <c r="E11" s="238">
        <f>Evaluacion!L12</f>
        <v>8.3599999999999977</v>
      </c>
      <c r="F11" s="238">
        <f>Evaluacion!M12</f>
        <v>12.253412698412699</v>
      </c>
      <c r="G11" s="238">
        <f>Evaluacion!N12</f>
        <v>12.95</v>
      </c>
      <c r="H11" s="238">
        <f>Evaluacion!O12</f>
        <v>10.24</v>
      </c>
      <c r="I11" s="238">
        <f>Evaluacion!P12</f>
        <v>6.95</v>
      </c>
      <c r="J11" s="238">
        <f>Evaluacion!Q12</f>
        <v>16</v>
      </c>
      <c r="L11" t="str">
        <f t="shared" si="0"/>
        <v>EXTN</v>
      </c>
      <c r="M11" s="538">
        <v>1</v>
      </c>
      <c r="N11" s="539">
        <v>0</v>
      </c>
      <c r="O11" s="539">
        <f>Evaluacion!BU12</f>
        <v>2.7682429039504903</v>
      </c>
      <c r="P11" s="539">
        <f>Evaluacion!BT12</f>
        <v>3.2220532160735211</v>
      </c>
      <c r="Q11" s="539">
        <f>Evaluacion!BV12</f>
        <v>6.9335950781772597</v>
      </c>
      <c r="R11" s="539">
        <v>0</v>
      </c>
      <c r="S11" s="539">
        <f>Evaluacion!BX12</f>
        <v>1.6002561941721696</v>
      </c>
      <c r="T11" s="539">
        <f>Evaluacion!BW12</f>
        <v>16.995025645807967</v>
      </c>
      <c r="U11" s="539">
        <v>0</v>
      </c>
      <c r="V11" s="539">
        <f>Evaluacion!T12</f>
        <v>0.82750000000000001</v>
      </c>
      <c r="W11" s="539">
        <f>Evaluacion!U12</f>
        <v>0.81439999999999979</v>
      </c>
      <c r="AA11" s="545"/>
    </row>
    <row r="12" spans="1:27" x14ac:dyDescent="0.25">
      <c r="A12" t="s">
        <v>489</v>
      </c>
      <c r="B12" t="str">
        <f>Evaluacion!A20</f>
        <v>L. Calosso</v>
      </c>
      <c r="C12" t="str">
        <f>Evaluacion!D20</f>
        <v>TEC</v>
      </c>
      <c r="D12" s="238">
        <f>Evaluacion!K20</f>
        <v>0</v>
      </c>
      <c r="E12" s="238">
        <f>Evaluacion!L20</f>
        <v>2.95</v>
      </c>
      <c r="F12" s="238">
        <f>Evaluacion!M20</f>
        <v>13.95</v>
      </c>
      <c r="G12" s="238">
        <f>Evaluacion!N20</f>
        <v>2.95</v>
      </c>
      <c r="H12" s="238">
        <f>Evaluacion!O20</f>
        <v>14.95</v>
      </c>
      <c r="I12" s="238">
        <f>Evaluacion!P20</f>
        <v>8.9499999999999993</v>
      </c>
      <c r="J12" s="238">
        <f>Evaluacion!Q20</f>
        <v>11.25</v>
      </c>
      <c r="L12" t="str">
        <f t="shared" si="0"/>
        <v>DD</v>
      </c>
      <c r="M12" s="538">
        <v>1</v>
      </c>
      <c r="N12" s="539">
        <v>0</v>
      </c>
      <c r="O12" s="539">
        <v>0</v>
      </c>
      <c r="P12" s="539">
        <v>0</v>
      </c>
      <c r="Q12" s="539">
        <f>M12*Evaluacion!CD20</f>
        <v>6.9155445502128066</v>
      </c>
      <c r="R12" s="539">
        <f>M12*Evaluacion!CE20</f>
        <v>8.276049937630285</v>
      </c>
      <c r="S12" s="539">
        <f>M12*Evaluacion!CF20</f>
        <v>16.80756444221581</v>
      </c>
      <c r="T12" s="539">
        <f>R12</f>
        <v>8.276049937630285</v>
      </c>
      <c r="U12" s="539">
        <v>0</v>
      </c>
      <c r="V12" s="539">
        <f>Evaluacion!T20*M12</f>
        <v>0.78499999999999992</v>
      </c>
      <c r="W12" s="539">
        <f>Evaluacion!U20*M12</f>
        <v>0.45549999999999996</v>
      </c>
      <c r="AA12" s="545"/>
    </row>
    <row r="13" spans="1:27" x14ac:dyDescent="0.25">
      <c r="L13" s="236"/>
      <c r="M13" s="391"/>
      <c r="N13" s="540">
        <f>SUM(N2:N12)</f>
        <v>52.635143659330275</v>
      </c>
      <c r="O13" s="540" t="e">
        <f t="shared" ref="O13:W13" si="1">SUM(O2:O12)</f>
        <v>#REF!</v>
      </c>
      <c r="P13" s="540" t="e">
        <f t="shared" si="1"/>
        <v>#REF!</v>
      </c>
      <c r="Q13" s="540" t="e">
        <f t="shared" si="1"/>
        <v>#REF!</v>
      </c>
      <c r="R13" s="540">
        <f t="shared" si="1"/>
        <v>47.491694391648188</v>
      </c>
      <c r="S13" s="540">
        <f t="shared" si="1"/>
        <v>25.835430032098248</v>
      </c>
      <c r="T13" s="540" t="e">
        <f t="shared" si="1"/>
        <v>#REF!</v>
      </c>
      <c r="U13" s="541" t="e">
        <f t="shared" si="1"/>
        <v>#REF!</v>
      </c>
      <c r="V13" s="541" t="e">
        <f t="shared" si="1"/>
        <v>#REF!</v>
      </c>
      <c r="W13" s="541" t="e">
        <f t="shared" si="1"/>
        <v>#REF!</v>
      </c>
    </row>
    <row r="14" spans="1:27" ht="15.75" x14ac:dyDescent="0.25">
      <c r="L14" s="236"/>
      <c r="M14" s="236" t="s">
        <v>681</v>
      </c>
      <c r="N14" s="542">
        <f>N13*0.34</f>
        <v>17.895948844172295</v>
      </c>
      <c r="O14" s="542" t="e">
        <f>O13*0.245</f>
        <v>#REF!</v>
      </c>
      <c r="P14" s="542" t="e">
        <f>P13*0.34</f>
        <v>#REF!</v>
      </c>
      <c r="Q14" s="542" t="e">
        <f>Q13*0.125</f>
        <v>#REF!</v>
      </c>
      <c r="R14" s="542">
        <f>R13*0.25</f>
        <v>11.872923597912047</v>
      </c>
      <c r="S14" s="542">
        <f>S13*0.19</f>
        <v>4.908731706098667</v>
      </c>
      <c r="T14" s="542" t="e">
        <f>T13*0.25</f>
        <v>#REF!</v>
      </c>
    </row>
    <row r="15" spans="1:27" ht="15.75" x14ac:dyDescent="0.25">
      <c r="L15" s="236"/>
      <c r="M15" s="236" t="s">
        <v>682</v>
      </c>
      <c r="N15" s="552">
        <f>N14*1.2/1.05</f>
        <v>20.452512964768335</v>
      </c>
      <c r="O15" s="552" t="e">
        <f t="shared" ref="O15:P15" si="2">O14*1.2/1.05</f>
        <v>#REF!</v>
      </c>
      <c r="P15" s="552" t="e">
        <f t="shared" si="2"/>
        <v>#REF!</v>
      </c>
      <c r="Q15" s="552" t="e">
        <f>Q14</f>
        <v>#REF!</v>
      </c>
      <c r="R15" s="552">
        <f>R14*0.925/1.05</f>
        <v>10.459480312446328</v>
      </c>
      <c r="S15" s="552">
        <f t="shared" ref="S15:T15" si="3">S14*0.925/1.05</f>
        <v>4.3243588839440639</v>
      </c>
      <c r="T15" s="552" t="e">
        <f t="shared" si="3"/>
        <v>#REF!</v>
      </c>
    </row>
    <row r="16" spans="1:27" ht="15.75" x14ac:dyDescent="0.25">
      <c r="L16" s="236"/>
      <c r="M16" s="236" t="s">
        <v>683</v>
      </c>
      <c r="N16" s="552">
        <f>N14*0.925/1.05</f>
        <v>15.765478743675596</v>
      </c>
      <c r="O16" s="552" t="e">
        <f t="shared" ref="O16:P16" si="4">O14*0.925/1.05</f>
        <v>#REF!</v>
      </c>
      <c r="P16" s="552" t="e">
        <f t="shared" si="4"/>
        <v>#REF!</v>
      </c>
      <c r="Q16" s="552" t="e">
        <f>Q15</f>
        <v>#REF!</v>
      </c>
      <c r="R16" s="552">
        <f>R14*1.135/1.05</f>
        <v>12.834065032028736</v>
      </c>
      <c r="S16" s="552">
        <f t="shared" ref="S16:T16" si="5">S14*1.135/1.05</f>
        <v>5.3061052251637975</v>
      </c>
      <c r="T16" s="552"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553" bestFit="1" customWidth="1"/>
    <col min="13" max="13" width="6.5703125" style="559" customWidth="1"/>
    <col min="14" max="14" width="8.28515625" style="553"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704</v>
      </c>
      <c r="AD1" t="s">
        <v>705</v>
      </c>
      <c r="AG1" t="s">
        <v>706</v>
      </c>
    </row>
    <row r="2" spans="1:34" x14ac:dyDescent="0.25">
      <c r="B2" s="263">
        <v>43060</v>
      </c>
      <c r="Y2" s="561">
        <f>SUM(Y4:Y12)</f>
        <v>0.23658764552873529</v>
      </c>
      <c r="Z2" s="561">
        <f>SUM(Z4:Z12)</f>
        <v>0.33824859010884656</v>
      </c>
      <c r="AA2" s="561"/>
      <c r="AD2" s="435" t="s">
        <v>251</v>
      </c>
      <c r="AE2" s="435" t="s">
        <v>174</v>
      </c>
      <c r="AG2" s="435" t="s">
        <v>251</v>
      </c>
      <c r="AH2" s="435" t="s">
        <v>174</v>
      </c>
    </row>
    <row r="3" spans="1:34" x14ac:dyDescent="0.25">
      <c r="A3" s="271" t="s">
        <v>736</v>
      </c>
      <c r="B3" s="271" t="str">
        <f>PLANTILLA!D4</f>
        <v>Jugador</v>
      </c>
      <c r="C3" s="271" t="str">
        <f>PLANTILLA!E4</f>
        <v>Anys</v>
      </c>
      <c r="D3" s="271" t="str">
        <f>PLANTILLA!F4</f>
        <v>Dias</v>
      </c>
      <c r="E3" s="271" t="str">
        <f>PLANTILLA!X4</f>
        <v>Po</v>
      </c>
      <c r="F3" s="271" t="str">
        <f>PLANTILLA!Y4</f>
        <v>De</v>
      </c>
      <c r="G3" s="271" t="str">
        <f>PLANTILLA!Z4</f>
        <v>Cr</v>
      </c>
      <c r="H3" s="271" t="str">
        <f>PLANTILLA!AA4</f>
        <v>Ex</v>
      </c>
      <c r="I3" s="271" t="str">
        <f>PLANTILLA!AB4</f>
        <v>Ps</v>
      </c>
      <c r="J3" s="271" t="str">
        <f>PLANTILLA!AC4</f>
        <v>An</v>
      </c>
      <c r="K3" s="271" t="str">
        <f>PLANTILLA!AD4</f>
        <v>PA</v>
      </c>
      <c r="L3" s="554">
        <v>1</v>
      </c>
      <c r="M3" s="554">
        <v>0.5</v>
      </c>
      <c r="N3" s="271" t="s">
        <v>709</v>
      </c>
      <c r="O3" s="558" t="s">
        <v>1</v>
      </c>
      <c r="P3" s="556" t="s">
        <v>674</v>
      </c>
      <c r="Q3" s="555" t="s">
        <v>702</v>
      </c>
      <c r="R3" s="555" t="s">
        <v>708</v>
      </c>
      <c r="S3" s="555" t="s">
        <v>703</v>
      </c>
      <c r="T3" s="555" t="s">
        <v>675</v>
      </c>
      <c r="U3" s="555" t="s">
        <v>427</v>
      </c>
      <c r="V3" s="555" t="s">
        <v>707</v>
      </c>
      <c r="W3" s="556" t="s">
        <v>489</v>
      </c>
      <c r="X3" s="556" t="s">
        <v>66</v>
      </c>
      <c r="Y3" s="555" t="s">
        <v>705</v>
      </c>
      <c r="Z3" s="558" t="s">
        <v>706</v>
      </c>
      <c r="AA3" s="558" t="s">
        <v>711</v>
      </c>
      <c r="AD3" t="s">
        <v>1</v>
      </c>
      <c r="AE3" t="s">
        <v>653</v>
      </c>
      <c r="AG3" t="s">
        <v>1</v>
      </c>
      <c r="AH3" t="s">
        <v>653</v>
      </c>
    </row>
    <row r="4" spans="1:34" x14ac:dyDescent="0.25">
      <c r="A4" s="260" t="str">
        <f>PLANTILLA!A16</f>
        <v>#12</v>
      </c>
      <c r="B4" s="156" t="str">
        <f>PLANTILLA!D16</f>
        <v>E. Gross</v>
      </c>
      <c r="C4" s="5">
        <f>PLANTILLA!E16</f>
        <v>35</v>
      </c>
      <c r="D4" s="5">
        <f ca="1">PLANTILLA!F16</f>
        <v>64</v>
      </c>
      <c r="E4" s="152">
        <f>PLANTILLA!X16</f>
        <v>0</v>
      </c>
      <c r="F4" s="152">
        <f>PLANTILLA!Y16</f>
        <v>10.549999999999995</v>
      </c>
      <c r="G4" s="152">
        <f>PLANTILLA!Z16</f>
        <v>12.95</v>
      </c>
      <c r="H4" s="152">
        <f>PLANTILLA!AA16</f>
        <v>4.95</v>
      </c>
      <c r="I4" s="152">
        <f>PLANTILLA!AB16</f>
        <v>8.9499999999999993</v>
      </c>
      <c r="J4" s="152">
        <f>PLANTILLA!AC16</f>
        <v>0.95</v>
      </c>
      <c r="K4" s="152">
        <f>PLANTILLA!AD16</f>
        <v>17.3</v>
      </c>
      <c r="L4" s="302">
        <f>1/13</f>
        <v>7.6923076923076927E-2</v>
      </c>
      <c r="M4" s="302"/>
      <c r="N4" s="302">
        <f t="shared" ref="N4:N23" si="0">L4/6</f>
        <v>1.2820512820512822E-2</v>
      </c>
      <c r="O4" s="148">
        <f t="shared" ref="O4:O23" si="1">L4*(0.245*0.425+0.34*0.276)/(0.245+0.34)</f>
        <v>2.6030900723208419E-2</v>
      </c>
      <c r="P4" s="148">
        <f t="shared" ref="P4:P23" si="2">L4*(0.245*1+0.34*0.516+0.34*0.258)/(0.245+0.34)</f>
        <v>6.6819197896120994E-2</v>
      </c>
      <c r="Q4" s="148">
        <f t="shared" ref="Q4:Q23" si="3">L4*(0.245*0.725+0.34*0.378+0.34*0.189)/(0.245+0.34)</f>
        <v>4.8705456936226174E-2</v>
      </c>
      <c r="R4" s="148">
        <f t="shared" ref="R4:R23" si="4">L4*(0.245*0.708+0.34*0.754)/(0.245+0.34)</f>
        <v>5.6518080210387907E-2</v>
      </c>
      <c r="S4" s="148">
        <f t="shared" ref="S4:S23" si="5">L4*(0.245*0.414+0.34*0.919)/(0.245+0.34)</f>
        <v>5.4423405654174889E-2</v>
      </c>
      <c r="T4" s="148">
        <f t="shared" ref="T4:T10" si="6">L4*(0.245*0.4+0.34*0.189+0.34*0.095)</f>
        <v>1.4966153846153848E-2</v>
      </c>
      <c r="U4" s="148">
        <f t="shared" ref="U4:U10" si="7">L4*(0.245*0.348+0.34*0.291)</f>
        <v>1.4169230769230767E-2</v>
      </c>
      <c r="V4" s="148">
        <f t="shared" ref="V4:V10" si="8">L4*(0.245*0.201+0.34*0.349)</f>
        <v>1.2915769230769231E-2</v>
      </c>
      <c r="W4" s="148">
        <v>0</v>
      </c>
      <c r="X4" s="148">
        <v>0</v>
      </c>
      <c r="Y4" s="353">
        <f>P4</f>
        <v>6.6819197896120994E-2</v>
      </c>
      <c r="Z4" s="353">
        <f>P4</f>
        <v>6.6819197896120994E-2</v>
      </c>
      <c r="AA4" s="353">
        <f t="shared" ref="AA4:AA23" si="9">MAX(Z4,Y4)</f>
        <v>6.6819197896120994E-2</v>
      </c>
      <c r="AD4" t="s">
        <v>673</v>
      </c>
      <c r="AE4" s="575" t="s">
        <v>724</v>
      </c>
      <c r="AG4" t="s">
        <v>673</v>
      </c>
      <c r="AH4" s="575" t="str">
        <f>AE4</f>
        <v>B. Pinczehelyi</v>
      </c>
    </row>
    <row r="5" spans="1:34" x14ac:dyDescent="0.25">
      <c r="A5" s="260" t="str">
        <f>PLANTILLA!A9</f>
        <v>#3</v>
      </c>
      <c r="B5" s="156" t="str">
        <f>PLANTILLA!D9</f>
        <v>B. Bartolache</v>
      </c>
      <c r="C5" s="5">
        <f>PLANTILLA!E9</f>
        <v>35</v>
      </c>
      <c r="D5" s="5">
        <f ca="1">PLANTILLA!F9</f>
        <v>100</v>
      </c>
      <c r="E5" s="152">
        <f>PLANTILLA!X9</f>
        <v>0</v>
      </c>
      <c r="F5" s="152">
        <f>PLANTILLA!Y9</f>
        <v>11.95</v>
      </c>
      <c r="G5" s="152">
        <f>PLANTILLA!Z9</f>
        <v>5.95</v>
      </c>
      <c r="H5" s="152">
        <f>PLANTILLA!AA9</f>
        <v>6.95</v>
      </c>
      <c r="I5" s="152">
        <f>PLANTILLA!AB9</f>
        <v>7.95</v>
      </c>
      <c r="J5" s="152">
        <f>PLANTILLA!AC9</f>
        <v>2.95</v>
      </c>
      <c r="K5" s="152">
        <f>PLANTILLA!AD9</f>
        <v>16</v>
      </c>
      <c r="L5" s="302">
        <f>1/15</f>
        <v>6.6666666666666666E-2</v>
      </c>
      <c r="M5" s="302"/>
      <c r="N5" s="302">
        <f t="shared" si="0"/>
        <v>1.1111111111111112E-2</v>
      </c>
      <c r="O5" s="148">
        <f t="shared" si="1"/>
        <v>2.256011396011396E-2</v>
      </c>
      <c r="P5" s="148">
        <f t="shared" si="2"/>
        <v>5.7909971509971521E-2</v>
      </c>
      <c r="Q5" s="148">
        <f t="shared" si="3"/>
        <v>4.2211396011396014E-2</v>
      </c>
      <c r="R5" s="148">
        <f t="shared" si="4"/>
        <v>4.8982336182336182E-2</v>
      </c>
      <c r="S5" s="148">
        <f t="shared" si="5"/>
        <v>4.7166951566951568E-2</v>
      </c>
      <c r="T5" s="148">
        <f t="shared" si="6"/>
        <v>1.2970666666666667E-2</v>
      </c>
      <c r="U5" s="148">
        <f t="shared" si="7"/>
        <v>1.2279999999999998E-2</v>
      </c>
      <c r="V5" s="148">
        <f t="shared" si="8"/>
        <v>1.1193666666666666E-2</v>
      </c>
      <c r="W5" s="148">
        <v>0</v>
      </c>
      <c r="X5" s="148">
        <v>0</v>
      </c>
      <c r="Y5" s="353"/>
      <c r="Z5" s="353">
        <f>R5</f>
        <v>4.8982336182336182E-2</v>
      </c>
      <c r="AA5" s="353">
        <f t="shared" si="9"/>
        <v>4.8982336182336182E-2</v>
      </c>
      <c r="AD5" t="s">
        <v>674</v>
      </c>
      <c r="AE5" t="s">
        <v>247</v>
      </c>
      <c r="AG5" t="s">
        <v>685</v>
      </c>
      <c r="AH5" t="s">
        <v>248</v>
      </c>
    </row>
    <row r="6" spans="1:34" x14ac:dyDescent="0.25">
      <c r="A6" s="260" t="e">
        <f>PLANTILLA!#REF!</f>
        <v>#REF!</v>
      </c>
      <c r="B6" s="156" t="e">
        <f>PLANTILLA!#REF!</f>
        <v>#REF!</v>
      </c>
      <c r="C6" s="5" t="e">
        <f>PLANTILLA!#REF!</f>
        <v>#REF!</v>
      </c>
      <c r="D6" s="5" t="e">
        <f>PLANTILLA!#REF!</f>
        <v>#REF!</v>
      </c>
      <c r="E6" s="152" t="e">
        <f>PLANTILLA!#REF!</f>
        <v>#REF!</v>
      </c>
      <c r="F6" s="152" t="e">
        <f>PLANTILLA!#REF!</f>
        <v>#REF!</v>
      </c>
      <c r="G6" s="152" t="e">
        <f>PLANTILLA!#REF!</f>
        <v>#REF!</v>
      </c>
      <c r="H6" s="152" t="e">
        <f>PLANTILLA!#REF!</f>
        <v>#REF!</v>
      </c>
      <c r="I6" s="152" t="e">
        <f>PLANTILLA!#REF!</f>
        <v>#REF!</v>
      </c>
      <c r="J6" s="152" t="e">
        <f>PLANTILLA!#REF!</f>
        <v>#REF!</v>
      </c>
      <c r="K6" s="152" t="e">
        <f>PLANTILLA!#REF!</f>
        <v>#REF!</v>
      </c>
      <c r="L6" s="302">
        <f>1/15</f>
        <v>6.6666666666666666E-2</v>
      </c>
      <c r="M6" s="302"/>
      <c r="N6" s="302">
        <f t="shared" si="0"/>
        <v>1.1111111111111112E-2</v>
      </c>
      <c r="O6" s="148">
        <f t="shared" si="1"/>
        <v>2.256011396011396E-2</v>
      </c>
      <c r="P6" s="148">
        <f t="shared" si="2"/>
        <v>5.7909971509971521E-2</v>
      </c>
      <c r="Q6" s="148">
        <f t="shared" si="3"/>
        <v>4.2211396011396014E-2</v>
      </c>
      <c r="R6" s="148">
        <f t="shared" si="4"/>
        <v>4.8982336182336182E-2</v>
      </c>
      <c r="S6" s="148">
        <f t="shared" si="5"/>
        <v>4.7166951566951568E-2</v>
      </c>
      <c r="T6" s="148">
        <f t="shared" si="6"/>
        <v>1.2970666666666667E-2</v>
      </c>
      <c r="U6" s="148">
        <f t="shared" si="7"/>
        <v>1.2279999999999998E-2</v>
      </c>
      <c r="V6" s="148">
        <f t="shared" si="8"/>
        <v>1.1193666666666666E-2</v>
      </c>
      <c r="W6" s="148">
        <v>0</v>
      </c>
      <c r="X6" s="148">
        <v>0</v>
      </c>
      <c r="Y6" s="353"/>
      <c r="Z6" s="353">
        <f>R6</f>
        <v>4.8982336182336182E-2</v>
      </c>
      <c r="AA6" s="353">
        <f t="shared" si="9"/>
        <v>4.8982336182336182E-2</v>
      </c>
      <c r="AD6" t="s">
        <v>673</v>
      </c>
      <c r="AE6" t="s">
        <v>244</v>
      </c>
      <c r="AG6" t="s">
        <v>684</v>
      </c>
      <c r="AH6" t="s">
        <v>244</v>
      </c>
    </row>
    <row r="7" spans="1:34" x14ac:dyDescent="0.25">
      <c r="A7" s="260" t="str">
        <f>PLANTILLA!A8</f>
        <v>#2</v>
      </c>
      <c r="B7" s="156" t="str">
        <f>PLANTILLA!D8</f>
        <v>E. Toney</v>
      </c>
      <c r="C7" s="5">
        <f>PLANTILLA!E8</f>
        <v>36</v>
      </c>
      <c r="D7" s="5">
        <f ca="1">PLANTILLA!F8</f>
        <v>3</v>
      </c>
      <c r="E7" s="152">
        <f>PLANTILLA!X8</f>
        <v>0</v>
      </c>
      <c r="F7" s="152">
        <f>PLANTILLA!Y8</f>
        <v>11.95</v>
      </c>
      <c r="G7" s="152">
        <f>PLANTILLA!Z8</f>
        <v>12.95</v>
      </c>
      <c r="H7" s="152">
        <f>PLANTILLA!AA8</f>
        <v>8.9499999999999993</v>
      </c>
      <c r="I7" s="152">
        <f>PLANTILLA!AB8</f>
        <v>8.9499999999999993</v>
      </c>
      <c r="J7" s="152">
        <f>PLANTILLA!AC8</f>
        <v>1.95</v>
      </c>
      <c r="K7" s="152">
        <f>PLANTILLA!AD8</f>
        <v>17.177777777777774</v>
      </c>
      <c r="L7" s="302">
        <f>1/18</f>
        <v>5.5555555555555552E-2</v>
      </c>
      <c r="M7" s="302"/>
      <c r="N7" s="302">
        <f t="shared" si="0"/>
        <v>9.2592592592592587E-3</v>
      </c>
      <c r="O7" s="148">
        <f t="shared" si="1"/>
        <v>1.8800094966761632E-2</v>
      </c>
      <c r="P7" s="148">
        <f t="shared" si="2"/>
        <v>4.8258309591642928E-2</v>
      </c>
      <c r="Q7" s="148">
        <f t="shared" si="3"/>
        <v>3.5176163342830011E-2</v>
      </c>
      <c r="R7" s="148">
        <f t="shared" si="4"/>
        <v>4.0818613485280153E-2</v>
      </c>
      <c r="S7" s="148">
        <f t="shared" si="5"/>
        <v>3.930579297245964E-2</v>
      </c>
      <c r="T7" s="148">
        <f t="shared" si="6"/>
        <v>1.0808888888888889E-2</v>
      </c>
      <c r="U7" s="148">
        <f t="shared" si="7"/>
        <v>1.0233333333333332E-2</v>
      </c>
      <c r="V7" s="148">
        <f t="shared" si="8"/>
        <v>9.3280555555555547E-3</v>
      </c>
      <c r="W7" s="148">
        <v>0</v>
      </c>
      <c r="X7" s="148">
        <v>0</v>
      </c>
      <c r="Y7" s="353">
        <f>S7</f>
        <v>3.930579297245964E-2</v>
      </c>
      <c r="Z7" s="353">
        <f>R7</f>
        <v>4.0818613485280153E-2</v>
      </c>
      <c r="AA7" s="353">
        <f t="shared" si="9"/>
        <v>4.0818613485280153E-2</v>
      </c>
      <c r="AD7" t="s">
        <v>427</v>
      </c>
      <c r="AE7" t="s">
        <v>503</v>
      </c>
      <c r="AG7" t="s">
        <v>685</v>
      </c>
      <c r="AH7" t="s">
        <v>250</v>
      </c>
    </row>
    <row r="8" spans="1:34" x14ac:dyDescent="0.25">
      <c r="A8" s="260" t="str">
        <f>PLANTILLA!A11</f>
        <v>#7</v>
      </c>
      <c r="B8" s="156" t="str">
        <f>PLANTILLA!D11</f>
        <v>E. Romweber</v>
      </c>
      <c r="C8" s="5">
        <f>PLANTILLA!E11</f>
        <v>35</v>
      </c>
      <c r="D8" s="5">
        <f ca="1">PLANTILLA!F11</f>
        <v>77</v>
      </c>
      <c r="E8" s="152">
        <f>PLANTILLA!X11</f>
        <v>0</v>
      </c>
      <c r="F8" s="152">
        <f>PLANTILLA!Y11</f>
        <v>11.95</v>
      </c>
      <c r="G8" s="152">
        <f>PLANTILLA!Z11</f>
        <v>12.614111111111114</v>
      </c>
      <c r="H8" s="152">
        <f>PLANTILLA!AA11</f>
        <v>12.95</v>
      </c>
      <c r="I8" s="152">
        <f>PLANTILLA!AB11</f>
        <v>10.95</v>
      </c>
      <c r="J8" s="152">
        <f>PLANTILLA!AC11</f>
        <v>5.95</v>
      </c>
      <c r="K8" s="152">
        <f>PLANTILLA!AD11</f>
        <v>17.529999999999998</v>
      </c>
      <c r="L8" s="302">
        <f>1/18</f>
        <v>5.5555555555555552E-2</v>
      </c>
      <c r="M8" s="302"/>
      <c r="N8" s="302">
        <f t="shared" si="0"/>
        <v>9.2592592592592587E-3</v>
      </c>
      <c r="O8" s="148">
        <f t="shared" si="1"/>
        <v>1.8800094966761632E-2</v>
      </c>
      <c r="P8" s="148">
        <f t="shared" si="2"/>
        <v>4.8258309591642928E-2</v>
      </c>
      <c r="Q8" s="148">
        <f t="shared" si="3"/>
        <v>3.5176163342830011E-2</v>
      </c>
      <c r="R8" s="148">
        <f t="shared" si="4"/>
        <v>4.0818613485280153E-2</v>
      </c>
      <c r="S8" s="148">
        <f t="shared" si="5"/>
        <v>3.930579297245964E-2</v>
      </c>
      <c r="T8" s="148">
        <f t="shared" si="6"/>
        <v>1.0808888888888889E-2</v>
      </c>
      <c r="U8" s="148">
        <f t="shared" si="7"/>
        <v>1.0233333333333332E-2</v>
      </c>
      <c r="V8" s="148">
        <f t="shared" si="8"/>
        <v>9.3280555555555547E-3</v>
      </c>
      <c r="W8" s="148">
        <v>0</v>
      </c>
      <c r="X8" s="148">
        <v>0</v>
      </c>
      <c r="Y8" s="353">
        <f>V8</f>
        <v>9.3280555555555547E-3</v>
      </c>
      <c r="Z8" s="353">
        <f>S8</f>
        <v>3.930579297245964E-2</v>
      </c>
      <c r="AA8" s="353">
        <f t="shared" si="9"/>
        <v>3.930579297245964E-2</v>
      </c>
      <c r="AD8" t="s">
        <v>675</v>
      </c>
      <c r="AE8" t="s">
        <v>349</v>
      </c>
      <c r="AG8" t="s">
        <v>673</v>
      </c>
      <c r="AH8" t="s">
        <v>686</v>
      </c>
    </row>
    <row r="9" spans="1:34" x14ac:dyDescent="0.25">
      <c r="A9" s="260" t="str">
        <f>PLANTILLA!A19</f>
        <v>#19</v>
      </c>
      <c r="B9" s="156" t="str">
        <f>PLANTILLA!D19</f>
        <v>G. Kerschl</v>
      </c>
      <c r="C9" s="5">
        <f>PLANTILLA!E19</f>
        <v>33</v>
      </c>
      <c r="D9" s="5">
        <f ca="1">PLANTILLA!F19</f>
        <v>66</v>
      </c>
      <c r="E9" s="152">
        <f>PLANTILLA!X19</f>
        <v>0</v>
      </c>
      <c r="F9" s="152">
        <f>PLANTILLA!Y19</f>
        <v>3</v>
      </c>
      <c r="G9" s="152">
        <f>PLANTILLA!Z19</f>
        <v>15.07</v>
      </c>
      <c r="H9" s="152">
        <f>PLANTILLA!AA19</f>
        <v>12.12</v>
      </c>
      <c r="I9" s="152">
        <f>PLANTILLA!AB19</f>
        <v>12.95</v>
      </c>
      <c r="J9" s="152">
        <f>PLANTILLA!AC19</f>
        <v>7.95</v>
      </c>
      <c r="K9" s="152">
        <f>PLANTILLA!AD19</f>
        <v>7</v>
      </c>
      <c r="L9" s="302">
        <f>1/5</f>
        <v>0.2</v>
      </c>
      <c r="M9" s="302"/>
      <c r="N9" s="302">
        <f t="shared" si="0"/>
        <v>3.3333333333333333E-2</v>
      </c>
      <c r="O9" s="148">
        <f t="shared" si="1"/>
        <v>6.7680341880341888E-2</v>
      </c>
      <c r="P9" s="148">
        <f t="shared" si="2"/>
        <v>0.17372991452991457</v>
      </c>
      <c r="Q9" s="148">
        <f t="shared" si="3"/>
        <v>0.12663418803418802</v>
      </c>
      <c r="R9" s="148">
        <f t="shared" si="4"/>
        <v>0.14694700854700857</v>
      </c>
      <c r="S9" s="148">
        <f t="shared" si="5"/>
        <v>0.14150085470085472</v>
      </c>
      <c r="T9" s="148">
        <f t="shared" si="6"/>
        <v>3.8912000000000002E-2</v>
      </c>
      <c r="U9" s="148">
        <f t="shared" si="7"/>
        <v>3.6839999999999998E-2</v>
      </c>
      <c r="V9" s="148">
        <f t="shared" si="8"/>
        <v>3.3581E-2</v>
      </c>
      <c r="W9" s="148">
        <v>0</v>
      </c>
      <c r="X9" s="148">
        <v>0</v>
      </c>
      <c r="Y9" s="353">
        <f>U9</f>
        <v>3.6839999999999998E-2</v>
      </c>
      <c r="Z9" s="353">
        <f>U9</f>
        <v>3.6839999999999998E-2</v>
      </c>
      <c r="AA9" s="353">
        <f t="shared" si="9"/>
        <v>3.6839999999999998E-2</v>
      </c>
      <c r="AD9" t="s">
        <v>427</v>
      </c>
      <c r="AE9" t="s">
        <v>252</v>
      </c>
      <c r="AG9" t="s">
        <v>427</v>
      </c>
      <c r="AH9" t="s">
        <v>252</v>
      </c>
    </row>
    <row r="10" spans="1:34" x14ac:dyDescent="0.25">
      <c r="A10" s="260" t="str">
        <f>PLANTILLA!A7</f>
        <v>#17</v>
      </c>
      <c r="B10" s="156" t="str">
        <f>PLANTILLA!D7</f>
        <v>B. Pinczehelyi</v>
      </c>
      <c r="C10" s="5">
        <f>PLANTILLA!E7</f>
        <v>35</v>
      </c>
      <c r="D10" s="5">
        <f>PLANTILLA!F7</f>
        <v>0</v>
      </c>
      <c r="E10" s="152">
        <f>PLANTILLA!X7</f>
        <v>0</v>
      </c>
      <c r="F10" s="152">
        <f>PLANTILLA!Y7</f>
        <v>14.300000000000004</v>
      </c>
      <c r="G10" s="152">
        <f>PLANTILLA!Z7</f>
        <v>9.3793333333333351</v>
      </c>
      <c r="H10" s="152">
        <f>PLANTILLA!AA7</f>
        <v>13.95</v>
      </c>
      <c r="I10" s="152">
        <f>PLANTILLA!AB7</f>
        <v>8.9499999999999993</v>
      </c>
      <c r="J10" s="152">
        <f>PLANTILLA!AC7</f>
        <v>0</v>
      </c>
      <c r="K10" s="152">
        <f>PLANTILLA!AD7</f>
        <v>11.25</v>
      </c>
      <c r="L10" s="302">
        <f>1/25</f>
        <v>0.04</v>
      </c>
      <c r="M10" s="302"/>
      <c r="N10" s="302">
        <f t="shared" si="0"/>
        <v>6.6666666666666671E-3</v>
      </c>
      <c r="O10" s="148">
        <f t="shared" si="1"/>
        <v>1.3536068376068376E-2</v>
      </c>
      <c r="P10" s="148">
        <f t="shared" si="2"/>
        <v>3.4745982905982908E-2</v>
      </c>
      <c r="Q10" s="148">
        <f t="shared" si="3"/>
        <v>2.5326837606837609E-2</v>
      </c>
      <c r="R10" s="148">
        <f t="shared" si="4"/>
        <v>2.9389401709401713E-2</v>
      </c>
      <c r="S10" s="148">
        <f t="shared" si="5"/>
        <v>2.8300170940170941E-2</v>
      </c>
      <c r="T10" s="148">
        <f t="shared" si="6"/>
        <v>7.7824000000000009E-3</v>
      </c>
      <c r="U10" s="148">
        <f t="shared" si="7"/>
        <v>7.3679999999999995E-3</v>
      </c>
      <c r="V10" s="148">
        <f t="shared" si="8"/>
        <v>6.7162000000000003E-3</v>
      </c>
      <c r="W10" s="148">
        <v>0</v>
      </c>
      <c r="X10" s="148">
        <v>0</v>
      </c>
      <c r="Y10" s="353">
        <f>S10</f>
        <v>2.8300170940170941E-2</v>
      </c>
      <c r="Z10" s="353">
        <f>S10</f>
        <v>2.8300170940170941E-2</v>
      </c>
      <c r="AA10" s="353">
        <f t="shared" si="9"/>
        <v>2.8300170940170941E-2</v>
      </c>
      <c r="AD10" t="s">
        <v>676</v>
      </c>
      <c r="AE10" t="s">
        <v>686</v>
      </c>
      <c r="AG10" t="s">
        <v>427</v>
      </c>
      <c r="AH10" t="s">
        <v>503</v>
      </c>
    </row>
    <row r="11" spans="1:34" x14ac:dyDescent="0.25">
      <c r="A11" s="260" t="str">
        <f>PLANTILLA!A5</f>
        <v>#1</v>
      </c>
      <c r="B11" s="156" t="str">
        <f>PLANTILLA!D5</f>
        <v>D. Gehmacher</v>
      </c>
      <c r="C11" s="5">
        <f>PLANTILLA!E5</f>
        <v>34</v>
      </c>
      <c r="D11" s="5">
        <f ca="1">PLANTILLA!F5</f>
        <v>104</v>
      </c>
      <c r="E11" s="152">
        <f>PLANTILLA!X5</f>
        <v>16.666666666666668</v>
      </c>
      <c r="F11" s="152">
        <f>PLANTILLA!Y5</f>
        <v>11.95</v>
      </c>
      <c r="G11" s="152">
        <f>PLANTILLA!Z5</f>
        <v>2.0699999999999985</v>
      </c>
      <c r="H11" s="152">
        <f>PLANTILLA!AA5</f>
        <v>2.149999999999999</v>
      </c>
      <c r="I11" s="152">
        <f>PLANTILLA!AB5</f>
        <v>0.95</v>
      </c>
      <c r="J11" s="152">
        <f>PLANTILLA!AC5</f>
        <v>0</v>
      </c>
      <c r="K11" s="152">
        <f>PLANTILLA!AD5</f>
        <v>18.2</v>
      </c>
      <c r="L11" s="302">
        <f>1/12</f>
        <v>8.3333333333333329E-2</v>
      </c>
      <c r="M11" s="302"/>
      <c r="N11" s="302">
        <f t="shared" si="0"/>
        <v>1.3888888888888888E-2</v>
      </c>
      <c r="O11" s="148">
        <f t="shared" si="1"/>
        <v>2.8200142450142449E-2</v>
      </c>
      <c r="P11" s="148">
        <f t="shared" si="2"/>
        <v>7.2387464387464406E-2</v>
      </c>
      <c r="Q11" s="148">
        <f t="shared" si="3"/>
        <v>5.2764245014245009E-2</v>
      </c>
      <c r="R11" s="148">
        <f t="shared" si="4"/>
        <v>6.1227920227920223E-2</v>
      </c>
      <c r="S11" s="148">
        <f t="shared" si="5"/>
        <v>5.8958689458689456E-2</v>
      </c>
      <c r="T11" s="148">
        <f>L11*(0.245*0.4+0.34*0.189+0.34*0.095)/(0.34+0.245)</f>
        <v>2.7715099715099716E-2</v>
      </c>
      <c r="U11" s="148">
        <f>L11*(0.245*0.348+0.34*0.291)/(0.34+0.245)</f>
        <v>2.6239316239316236E-2</v>
      </c>
      <c r="V11" s="148">
        <f>L11*(0.245*0.201+0.34*0.349)/(0.34+0.245)</f>
        <v>2.3918091168091168E-2</v>
      </c>
      <c r="W11" s="148">
        <v>0</v>
      </c>
      <c r="X11" s="148">
        <v>0</v>
      </c>
      <c r="Y11" s="353">
        <f>O11</f>
        <v>2.8200142450142449E-2</v>
      </c>
      <c r="Z11" s="353">
        <f>O11</f>
        <v>2.8200142450142449E-2</v>
      </c>
      <c r="AA11" s="353">
        <f t="shared" si="9"/>
        <v>2.8200142450142449E-2</v>
      </c>
      <c r="AD11" t="s">
        <v>676</v>
      </c>
      <c r="AE11" t="s">
        <v>258</v>
      </c>
      <c r="AG11" t="s">
        <v>676</v>
      </c>
      <c r="AH11" t="s">
        <v>258</v>
      </c>
    </row>
    <row r="12" spans="1:34" x14ac:dyDescent="0.25">
      <c r="A12" s="260" t="str">
        <f>PLANTILLA!A17</f>
        <v>#5</v>
      </c>
      <c r="B12" s="156" t="str">
        <f>PLANTILLA!D17</f>
        <v>L. Bauman</v>
      </c>
      <c r="C12" s="5">
        <f>PLANTILLA!E17</f>
        <v>35</v>
      </c>
      <c r="D12" s="5">
        <f ca="1">PLANTILLA!F17</f>
        <v>39</v>
      </c>
      <c r="E12" s="152">
        <f>PLANTILLA!X17</f>
        <v>0</v>
      </c>
      <c r="F12" s="152">
        <f>PLANTILLA!Y17</f>
        <v>5.95</v>
      </c>
      <c r="G12" s="152">
        <f>PLANTILLA!Z17</f>
        <v>14.1</v>
      </c>
      <c r="H12" s="152">
        <f>PLANTILLA!AA17</f>
        <v>2.95</v>
      </c>
      <c r="I12" s="152">
        <f>PLANTILLA!AB17</f>
        <v>8.9499999999999993</v>
      </c>
      <c r="J12" s="152">
        <f>PLANTILLA!AC17</f>
        <v>5.95</v>
      </c>
      <c r="K12" s="152">
        <f>PLANTILLA!AD17</f>
        <v>17</v>
      </c>
      <c r="L12" s="302">
        <f>1/7</f>
        <v>0.14285714285714285</v>
      </c>
      <c r="M12" s="302"/>
      <c r="N12" s="302">
        <f t="shared" si="0"/>
        <v>2.3809523809523808E-2</v>
      </c>
      <c r="O12" s="148">
        <f t="shared" si="1"/>
        <v>4.8343101343101345E-2</v>
      </c>
      <c r="P12" s="148">
        <f t="shared" si="2"/>
        <v>0.12409279609279611</v>
      </c>
      <c r="Q12" s="148">
        <f t="shared" si="3"/>
        <v>9.0452991452991446E-2</v>
      </c>
      <c r="R12" s="148">
        <f t="shared" si="4"/>
        <v>0.10496214896214895</v>
      </c>
      <c r="S12" s="148">
        <f t="shared" si="5"/>
        <v>0.10107203907203907</v>
      </c>
      <c r="T12" s="148">
        <f t="shared" ref="T12:T23" si="10">L12*(0.245*0.4+0.34*0.189+0.34*0.095)</f>
        <v>2.7794285714285716E-2</v>
      </c>
      <c r="U12" s="148">
        <f t="shared" ref="U12:U23" si="11">L12*(0.245*0.348+0.34*0.291)</f>
        <v>2.631428571428571E-2</v>
      </c>
      <c r="V12" s="148">
        <f t="shared" ref="V12:V23" si="12">L12*(0.245*0.201+0.34*0.349)</f>
        <v>2.3986428571428568E-2</v>
      </c>
      <c r="W12" s="148">
        <v>0</v>
      </c>
      <c r="X12" s="148">
        <v>0</v>
      </c>
      <c r="Y12" s="353">
        <f>T12</f>
        <v>2.7794285714285716E-2</v>
      </c>
      <c r="Z12" s="353">
        <f>W12</f>
        <v>0</v>
      </c>
      <c r="AA12" s="353">
        <f t="shared" si="9"/>
        <v>2.7794285714285716E-2</v>
      </c>
      <c r="AD12" t="s">
        <v>66</v>
      </c>
      <c r="AE12" t="s">
        <v>253</v>
      </c>
      <c r="AG12" t="s">
        <v>676</v>
      </c>
      <c r="AH12" t="s">
        <v>431</v>
      </c>
    </row>
    <row r="13" spans="1:34" x14ac:dyDescent="0.25">
      <c r="A13" s="260" t="str">
        <f>PLANTILLA!A12</f>
        <v>#11</v>
      </c>
      <c r="B13" s="156" t="str">
        <f>PLANTILLA!D12</f>
        <v>K. Helms</v>
      </c>
      <c r="C13" s="5">
        <f>PLANTILLA!E12</f>
        <v>35</v>
      </c>
      <c r="D13" s="5">
        <f ca="1">PLANTILLA!F12</f>
        <v>24</v>
      </c>
      <c r="E13" s="152">
        <f>PLANTILLA!X12</f>
        <v>0</v>
      </c>
      <c r="F13" s="152">
        <f>PLANTILLA!Y12</f>
        <v>7.2503030303030309</v>
      </c>
      <c r="G13" s="152">
        <f>PLANTILLA!Z12</f>
        <v>10.600000000000005</v>
      </c>
      <c r="H13" s="152">
        <f>PLANTILLA!AA12</f>
        <v>13.471666666666668</v>
      </c>
      <c r="I13" s="152">
        <f>PLANTILLA!AB12</f>
        <v>9.9499999999999993</v>
      </c>
      <c r="J13" s="152">
        <f>PLANTILLA!AC12</f>
        <v>3.95</v>
      </c>
      <c r="K13" s="152">
        <f>PLANTILLA!AD12</f>
        <v>18</v>
      </c>
      <c r="L13" s="302">
        <f>1/8</f>
        <v>0.125</v>
      </c>
      <c r="M13" s="302"/>
      <c r="N13" s="302">
        <f t="shared" si="0"/>
        <v>2.0833333333333332E-2</v>
      </c>
      <c r="O13" s="148">
        <f t="shared" si="1"/>
        <v>4.230021367521368E-2</v>
      </c>
      <c r="P13" s="148">
        <f t="shared" si="2"/>
        <v>0.1085811965811966</v>
      </c>
      <c r="Q13" s="148">
        <f t="shared" si="3"/>
        <v>7.9146367521367528E-2</v>
      </c>
      <c r="R13" s="148">
        <f t="shared" si="4"/>
        <v>9.1841880341880344E-2</v>
      </c>
      <c r="S13" s="148">
        <f t="shared" si="5"/>
        <v>8.8438034188034184E-2</v>
      </c>
      <c r="T13" s="148">
        <f t="shared" si="10"/>
        <v>2.4320000000000001E-2</v>
      </c>
      <c r="U13" s="148">
        <f t="shared" si="11"/>
        <v>2.3024999999999997E-2</v>
      </c>
      <c r="V13" s="148">
        <f t="shared" si="12"/>
        <v>2.0988125E-2</v>
      </c>
      <c r="W13" s="148">
        <v>0</v>
      </c>
      <c r="X13" s="148">
        <v>0</v>
      </c>
      <c r="Y13" s="353">
        <f>V13</f>
        <v>2.0988125E-2</v>
      </c>
      <c r="Z13" s="353">
        <f>V13</f>
        <v>2.0988125E-2</v>
      </c>
      <c r="AA13" s="353">
        <f t="shared" si="9"/>
        <v>2.0988125E-2</v>
      </c>
      <c r="AD13" t="s">
        <v>66</v>
      </c>
      <c r="AE13" t="s">
        <v>431</v>
      </c>
      <c r="AG13" t="s">
        <v>66</v>
      </c>
      <c r="AH13" t="s">
        <v>253</v>
      </c>
    </row>
    <row r="14" spans="1:34" x14ac:dyDescent="0.25">
      <c r="A14" s="260" t="str">
        <f>PLANTILLA!A13</f>
        <v>#10</v>
      </c>
      <c r="B14" s="200" t="str">
        <f>PLANTILLA!D13</f>
        <v>S. Zobbe</v>
      </c>
      <c r="C14" s="5">
        <f>PLANTILLA!E13</f>
        <v>32</v>
      </c>
      <c r="D14" s="5">
        <f ca="1">PLANTILLA!F13</f>
        <v>39</v>
      </c>
      <c r="E14" s="152">
        <f>PLANTILLA!X13</f>
        <v>0</v>
      </c>
      <c r="F14" s="152">
        <f>PLANTILLA!Y13</f>
        <v>8.3599999999999977</v>
      </c>
      <c r="G14" s="152">
        <f>PLANTILLA!Z13</f>
        <v>12.253412698412699</v>
      </c>
      <c r="H14" s="152">
        <f>PLANTILLA!AA13</f>
        <v>12.95</v>
      </c>
      <c r="I14" s="152">
        <f>PLANTILLA!AB13</f>
        <v>10.24</v>
      </c>
      <c r="J14" s="152">
        <f>PLANTILLA!AC13</f>
        <v>6.95</v>
      </c>
      <c r="K14" s="152">
        <f>PLANTILLA!AD13</f>
        <v>16</v>
      </c>
      <c r="L14" s="302">
        <f>1/9</f>
        <v>0.1111111111111111</v>
      </c>
      <c r="M14" s="302"/>
      <c r="N14" s="302">
        <f t="shared" si="0"/>
        <v>1.8518518518518517E-2</v>
      </c>
      <c r="O14" s="148">
        <f t="shared" si="1"/>
        <v>3.7600189933523265E-2</v>
      </c>
      <c r="P14" s="148">
        <f t="shared" si="2"/>
        <v>9.6516619183285857E-2</v>
      </c>
      <c r="Q14" s="148">
        <f t="shared" si="3"/>
        <v>7.0352326685660022E-2</v>
      </c>
      <c r="R14" s="148">
        <f t="shared" si="4"/>
        <v>8.1637226970560306E-2</v>
      </c>
      <c r="S14" s="148">
        <f t="shared" si="5"/>
        <v>7.8611585944919279E-2</v>
      </c>
      <c r="T14" s="148">
        <f t="shared" si="10"/>
        <v>2.1617777777777777E-2</v>
      </c>
      <c r="U14" s="148">
        <f t="shared" si="11"/>
        <v>2.0466666666666664E-2</v>
      </c>
      <c r="V14" s="148">
        <f t="shared" si="12"/>
        <v>1.8656111111111109E-2</v>
      </c>
      <c r="W14" s="148">
        <v>0</v>
      </c>
      <c r="X14" s="148">
        <v>0</v>
      </c>
      <c r="Y14" s="353">
        <f>V14</f>
        <v>1.8656111111111109E-2</v>
      </c>
      <c r="Z14" s="353">
        <f>V14</f>
        <v>1.8656111111111109E-2</v>
      </c>
      <c r="AA14" s="353">
        <f t="shared" si="9"/>
        <v>1.8656111111111109E-2</v>
      </c>
    </row>
    <row r="15" spans="1:34" x14ac:dyDescent="0.25">
      <c r="A15" s="260" t="str">
        <f>PLANTILLA!A14</f>
        <v>#6</v>
      </c>
      <c r="B15" s="200" t="str">
        <f>PLANTILLA!D14</f>
        <v>S. Buschelman</v>
      </c>
      <c r="C15" s="5">
        <f>PLANTILLA!E14</f>
        <v>34</v>
      </c>
      <c r="D15" s="5">
        <f ca="1">PLANTILLA!F14</f>
        <v>36</v>
      </c>
      <c r="E15" s="152">
        <f>PLANTILLA!X14</f>
        <v>0</v>
      </c>
      <c r="F15" s="152">
        <f>PLANTILLA!Y14</f>
        <v>9.3036666666666648</v>
      </c>
      <c r="G15" s="152">
        <f>PLANTILLA!Z14</f>
        <v>14</v>
      </c>
      <c r="H15" s="152">
        <f>PLANTILLA!AA14</f>
        <v>12.945</v>
      </c>
      <c r="I15" s="152">
        <f>PLANTILLA!AB14</f>
        <v>9.9499999999999993</v>
      </c>
      <c r="J15" s="152">
        <f>PLANTILLA!AC14</f>
        <v>3.95</v>
      </c>
      <c r="K15" s="152">
        <f>PLANTILLA!AD14</f>
        <v>16</v>
      </c>
      <c r="L15" s="302">
        <f>1/10</f>
        <v>0.1</v>
      </c>
      <c r="M15" s="302"/>
      <c r="N15" s="302">
        <f t="shared" si="0"/>
        <v>1.6666666666666666E-2</v>
      </c>
      <c r="O15" s="148">
        <f t="shared" si="1"/>
        <v>3.3840170940170944E-2</v>
      </c>
      <c r="P15" s="148">
        <f t="shared" si="2"/>
        <v>8.6864957264957285E-2</v>
      </c>
      <c r="Q15" s="148">
        <f t="shared" si="3"/>
        <v>6.3317094017094011E-2</v>
      </c>
      <c r="R15" s="148">
        <f t="shared" si="4"/>
        <v>7.3473504273504284E-2</v>
      </c>
      <c r="S15" s="148">
        <f t="shared" si="5"/>
        <v>7.0750427350427358E-2</v>
      </c>
      <c r="T15" s="148">
        <f t="shared" si="10"/>
        <v>1.9456000000000001E-2</v>
      </c>
      <c r="U15" s="148">
        <f t="shared" si="11"/>
        <v>1.8419999999999999E-2</v>
      </c>
      <c r="V15" s="148">
        <f t="shared" si="12"/>
        <v>1.67905E-2</v>
      </c>
      <c r="W15" s="148">
        <v>0</v>
      </c>
      <c r="X15" s="148">
        <v>0</v>
      </c>
      <c r="Y15" s="353">
        <f>U15</f>
        <v>1.8419999999999999E-2</v>
      </c>
      <c r="Z15" s="353">
        <f>U15</f>
        <v>1.8419999999999999E-2</v>
      </c>
      <c r="AA15" s="353">
        <f t="shared" si="9"/>
        <v>1.8419999999999999E-2</v>
      </c>
    </row>
    <row r="16" spans="1:34" x14ac:dyDescent="0.25">
      <c r="A16" s="260" t="str">
        <f>PLANTILLA!A15</f>
        <v>#4</v>
      </c>
      <c r="B16" s="200" t="str">
        <f>PLANTILLA!D15</f>
        <v>C. Rojas</v>
      </c>
      <c r="C16" s="5">
        <f>PLANTILLA!E15</f>
        <v>36</v>
      </c>
      <c r="D16" s="5">
        <f ca="1">PLANTILLA!F15</f>
        <v>70</v>
      </c>
      <c r="E16" s="152">
        <f>PLANTILLA!X15</f>
        <v>0</v>
      </c>
      <c r="F16" s="152">
        <f>PLANTILLA!Y15</f>
        <v>7.95</v>
      </c>
      <c r="G16" s="152">
        <f>PLANTILLA!Z15</f>
        <v>13.95</v>
      </c>
      <c r="H16" s="152">
        <f>PLANTILLA!AA15</f>
        <v>8.9499999999999993</v>
      </c>
      <c r="I16" s="152">
        <f>PLANTILLA!AB15</f>
        <v>9.9499999999999993</v>
      </c>
      <c r="J16" s="152">
        <f>PLANTILLA!AC15</f>
        <v>1.95</v>
      </c>
      <c r="K16" s="152">
        <f>PLANTILLA!AD15</f>
        <v>17.144444444444439</v>
      </c>
      <c r="L16" s="302">
        <f>1/11</f>
        <v>9.0909090909090912E-2</v>
      </c>
      <c r="M16" s="302"/>
      <c r="N16" s="302">
        <f t="shared" si="0"/>
        <v>1.5151515151515152E-2</v>
      </c>
      <c r="O16" s="148">
        <f t="shared" si="1"/>
        <v>3.0763791763791768E-2</v>
      </c>
      <c r="P16" s="148">
        <f t="shared" si="2"/>
        <v>7.8968142968142974E-2</v>
      </c>
      <c r="Q16" s="148">
        <f t="shared" si="3"/>
        <v>5.7560994560994561E-2</v>
      </c>
      <c r="R16" s="148">
        <f t="shared" si="4"/>
        <v>6.6794094794094788E-2</v>
      </c>
      <c r="S16" s="148">
        <f t="shared" si="5"/>
        <v>6.4318570318570328E-2</v>
      </c>
      <c r="T16" s="148">
        <f t="shared" si="10"/>
        <v>1.7687272727272729E-2</v>
      </c>
      <c r="U16" s="148">
        <f t="shared" si="11"/>
        <v>1.6745454545454543E-2</v>
      </c>
      <c r="V16" s="148">
        <f t="shared" si="12"/>
        <v>1.5264090909090909E-2</v>
      </c>
      <c r="W16" s="148">
        <v>0</v>
      </c>
      <c r="X16" s="148">
        <v>0</v>
      </c>
      <c r="Y16" s="353">
        <f>U16</f>
        <v>1.6745454545454543E-2</v>
      </c>
      <c r="Z16" s="353">
        <f>U16</f>
        <v>1.6745454545454543E-2</v>
      </c>
      <c r="AA16" s="353">
        <f t="shared" si="9"/>
        <v>1.6745454545454543E-2</v>
      </c>
    </row>
    <row r="17" spans="1:27" x14ac:dyDescent="0.25">
      <c r="A17" s="260" t="str">
        <f>PLANTILLA!A20</f>
        <v>#9</v>
      </c>
      <c r="B17" s="260" t="str">
        <f>PLANTILLA!D20</f>
        <v>J. Limon</v>
      </c>
      <c r="C17" s="5">
        <f>PLANTILLA!E20</f>
        <v>34</v>
      </c>
      <c r="D17" s="5">
        <f ca="1">PLANTILLA!F20</f>
        <v>76</v>
      </c>
      <c r="E17" s="152">
        <f>PLANTILLA!X20</f>
        <v>0</v>
      </c>
      <c r="F17" s="152">
        <f>PLANTILLA!Y20</f>
        <v>6.8376190476190493</v>
      </c>
      <c r="G17" s="152">
        <f>PLANTILLA!Z20</f>
        <v>8.9499999999999993</v>
      </c>
      <c r="H17" s="152">
        <f>PLANTILLA!AA20</f>
        <v>8.7399999999999967</v>
      </c>
      <c r="I17" s="152">
        <f>PLANTILLA!AB20</f>
        <v>9.9499999999999993</v>
      </c>
      <c r="J17" s="152">
        <f>PLANTILLA!AC20</f>
        <v>7.95</v>
      </c>
      <c r="K17" s="152">
        <f>PLANTILLA!AD20</f>
        <v>18.999999999999993</v>
      </c>
      <c r="L17" s="302">
        <f>1/8</f>
        <v>0.125</v>
      </c>
      <c r="M17" s="302"/>
      <c r="N17" s="302">
        <f t="shared" si="0"/>
        <v>2.0833333333333332E-2</v>
      </c>
      <c r="O17" s="148">
        <f t="shared" si="1"/>
        <v>4.230021367521368E-2</v>
      </c>
      <c r="P17" s="148">
        <f t="shared" si="2"/>
        <v>0.1085811965811966</v>
      </c>
      <c r="Q17" s="148">
        <f t="shared" si="3"/>
        <v>7.9146367521367528E-2</v>
      </c>
      <c r="R17" s="148">
        <f t="shared" si="4"/>
        <v>9.1841880341880344E-2</v>
      </c>
      <c r="S17" s="148">
        <f t="shared" si="5"/>
        <v>8.8438034188034184E-2</v>
      </c>
      <c r="T17" s="148">
        <f t="shared" si="10"/>
        <v>2.4320000000000001E-2</v>
      </c>
      <c r="U17" s="148">
        <f t="shared" si="11"/>
        <v>2.3024999999999997E-2</v>
      </c>
      <c r="V17" s="148">
        <f t="shared" si="12"/>
        <v>2.0988125E-2</v>
      </c>
      <c r="W17" s="148">
        <v>0</v>
      </c>
      <c r="X17" s="148">
        <v>0</v>
      </c>
      <c r="Y17" s="353">
        <v>0</v>
      </c>
      <c r="Z17" s="353">
        <v>0</v>
      </c>
      <c r="AA17" s="353">
        <f t="shared" si="9"/>
        <v>0</v>
      </c>
    </row>
    <row r="18" spans="1:27" x14ac:dyDescent="0.25">
      <c r="A18" s="260" t="str">
        <f>PLANTILLA!A30</f>
        <v>#15</v>
      </c>
      <c r="B18" s="260" t="str">
        <f>PLANTILLA!D30</f>
        <v>P .Trivadi</v>
      </c>
      <c r="C18" s="5">
        <f>PLANTILLA!E30</f>
        <v>31</v>
      </c>
      <c r="D18" s="5">
        <f ca="1">PLANTILLA!F30</f>
        <v>107</v>
      </c>
      <c r="E18" s="152">
        <f>PLANTILLA!X30</f>
        <v>0</v>
      </c>
      <c r="F18" s="152">
        <f>PLANTILLA!Y30</f>
        <v>4.0199999999999996</v>
      </c>
      <c r="G18" s="152">
        <f>PLANTILLA!Z30</f>
        <v>5.95</v>
      </c>
      <c r="H18" s="152">
        <f>PLANTILLA!AA30</f>
        <v>5.5099999999999989</v>
      </c>
      <c r="I18" s="152">
        <f>PLANTILLA!AB30</f>
        <v>10.95</v>
      </c>
      <c r="J18" s="152">
        <f>PLANTILLA!AC30</f>
        <v>7.95</v>
      </c>
      <c r="K18" s="152">
        <f>PLANTILLA!AD30</f>
        <v>14</v>
      </c>
      <c r="L18" s="302">
        <f>1/6</f>
        <v>0.16666666666666666</v>
      </c>
      <c r="M18" s="302"/>
      <c r="N18" s="302">
        <f t="shared" si="0"/>
        <v>2.7777777777777776E-2</v>
      </c>
      <c r="O18" s="148">
        <f t="shared" si="1"/>
        <v>5.6400284900284897E-2</v>
      </c>
      <c r="P18" s="148">
        <f t="shared" si="2"/>
        <v>0.14477492877492881</v>
      </c>
      <c r="Q18" s="148">
        <f t="shared" si="3"/>
        <v>0.10552849002849002</v>
      </c>
      <c r="R18" s="148">
        <f t="shared" si="4"/>
        <v>0.12245584045584045</v>
      </c>
      <c r="S18" s="148">
        <f t="shared" si="5"/>
        <v>0.11791737891737891</v>
      </c>
      <c r="T18" s="148">
        <f t="shared" si="10"/>
        <v>3.2426666666666666E-2</v>
      </c>
      <c r="U18" s="148">
        <f t="shared" si="11"/>
        <v>3.0699999999999995E-2</v>
      </c>
      <c r="V18" s="148">
        <f t="shared" si="12"/>
        <v>2.7984166666666664E-2</v>
      </c>
      <c r="W18" s="148">
        <v>0</v>
      </c>
      <c r="X18" s="148">
        <v>0</v>
      </c>
      <c r="Y18" s="353">
        <v>0</v>
      </c>
      <c r="Z18" s="353">
        <v>0</v>
      </c>
      <c r="AA18" s="353">
        <f t="shared" si="9"/>
        <v>0</v>
      </c>
    </row>
    <row r="19" spans="1:27" x14ac:dyDescent="0.25">
      <c r="A19" s="260" t="str">
        <f>PLANTILLA!A21</f>
        <v>#18</v>
      </c>
      <c r="B19" s="260" t="str">
        <f>PLANTILLA!D21</f>
        <v>L. Calosso</v>
      </c>
      <c r="C19" s="5">
        <f>PLANTILLA!E21</f>
        <v>35</v>
      </c>
      <c r="D19" s="5">
        <f ca="1">PLANTILLA!F21</f>
        <v>33</v>
      </c>
      <c r="E19" s="152">
        <f>PLANTILLA!X21</f>
        <v>0</v>
      </c>
      <c r="F19" s="152">
        <f>PLANTILLA!Y21</f>
        <v>2.95</v>
      </c>
      <c r="G19" s="152">
        <f>PLANTILLA!Z21</f>
        <v>13.95</v>
      </c>
      <c r="H19" s="152">
        <f>PLANTILLA!AA21</f>
        <v>2.95</v>
      </c>
      <c r="I19" s="152">
        <f>PLANTILLA!AB21</f>
        <v>14.95</v>
      </c>
      <c r="J19" s="152">
        <f>PLANTILLA!AC21</f>
        <v>8.9499999999999993</v>
      </c>
      <c r="K19" s="152">
        <f>PLANTILLA!AD21</f>
        <v>11.25</v>
      </c>
      <c r="L19" s="302">
        <f>1/5</f>
        <v>0.2</v>
      </c>
      <c r="M19" s="302"/>
      <c r="N19" s="302">
        <f t="shared" si="0"/>
        <v>3.3333333333333333E-2</v>
      </c>
      <c r="O19" s="148">
        <f t="shared" si="1"/>
        <v>6.7680341880341888E-2</v>
      </c>
      <c r="P19" s="148">
        <f t="shared" si="2"/>
        <v>0.17372991452991457</v>
      </c>
      <c r="Q19" s="148">
        <f t="shared" si="3"/>
        <v>0.12663418803418802</v>
      </c>
      <c r="R19" s="148">
        <f t="shared" si="4"/>
        <v>0.14694700854700857</v>
      </c>
      <c r="S19" s="148">
        <f t="shared" si="5"/>
        <v>0.14150085470085472</v>
      </c>
      <c r="T19" s="148">
        <f t="shared" si="10"/>
        <v>3.8912000000000002E-2</v>
      </c>
      <c r="U19" s="148">
        <f t="shared" si="11"/>
        <v>3.6839999999999998E-2</v>
      </c>
      <c r="V19" s="148">
        <f t="shared" si="12"/>
        <v>3.3581E-2</v>
      </c>
      <c r="W19" s="148">
        <v>0</v>
      </c>
      <c r="X19" s="148">
        <v>0</v>
      </c>
      <c r="Y19" s="353">
        <v>0</v>
      </c>
      <c r="Z19" s="353">
        <v>0</v>
      </c>
      <c r="AA19" s="353">
        <f t="shared" si="9"/>
        <v>0</v>
      </c>
    </row>
    <row r="20" spans="1:27" x14ac:dyDescent="0.25">
      <c r="A20" s="260" t="str">
        <f>PLANTILLA!A10</f>
        <v>#13</v>
      </c>
      <c r="B20" s="260" t="str">
        <f>PLANTILLA!D10</f>
        <v>F. Lasprilla</v>
      </c>
      <c r="C20" s="5">
        <f>PLANTILLA!E10</f>
        <v>32</v>
      </c>
      <c r="D20" s="5">
        <f ca="1">PLANTILLA!F10</f>
        <v>11</v>
      </c>
      <c r="E20" s="152">
        <f>PLANTILLA!X10</f>
        <v>0</v>
      </c>
      <c r="F20" s="152">
        <f>PLANTILLA!Y10</f>
        <v>9.6046666666666667</v>
      </c>
      <c r="G20" s="152">
        <f>PLANTILLA!Z10</f>
        <v>7.7607222222222223</v>
      </c>
      <c r="H20" s="152">
        <f>PLANTILLA!AA10</f>
        <v>6.1599999999999984</v>
      </c>
      <c r="I20" s="152">
        <f>PLANTILLA!AB10</f>
        <v>8.8633333333333315</v>
      </c>
      <c r="J20" s="152">
        <f>PLANTILLA!AC10</f>
        <v>2.95</v>
      </c>
      <c r="K20" s="152">
        <f>PLANTILLA!AD10</f>
        <v>13.33611111111111</v>
      </c>
      <c r="L20" s="302"/>
      <c r="M20" s="302"/>
      <c r="N20" s="302">
        <f t="shared" si="0"/>
        <v>0</v>
      </c>
      <c r="O20" s="148">
        <f t="shared" si="1"/>
        <v>0</v>
      </c>
      <c r="P20" s="148">
        <f t="shared" si="2"/>
        <v>0</v>
      </c>
      <c r="Q20" s="148">
        <f t="shared" si="3"/>
        <v>0</v>
      </c>
      <c r="R20" s="148">
        <f t="shared" si="4"/>
        <v>0</v>
      </c>
      <c r="S20" s="148">
        <f t="shared" si="5"/>
        <v>0</v>
      </c>
      <c r="T20" s="148">
        <f t="shared" si="10"/>
        <v>0</v>
      </c>
      <c r="U20" s="148">
        <f t="shared" si="11"/>
        <v>0</v>
      </c>
      <c r="V20" s="148">
        <f t="shared" si="12"/>
        <v>0</v>
      </c>
      <c r="W20" s="148">
        <v>0</v>
      </c>
      <c r="X20" s="148">
        <v>0</v>
      </c>
      <c r="Y20" s="353"/>
      <c r="Z20" s="353"/>
      <c r="AA20" s="353">
        <f t="shared" si="9"/>
        <v>0</v>
      </c>
    </row>
    <row r="21" spans="1:27" x14ac:dyDescent="0.25">
      <c r="A21" s="260" t="str">
        <f>PLANTILLA!A18</f>
        <v>#14</v>
      </c>
      <c r="B21" s="260" t="str">
        <f>PLANTILLA!D18</f>
        <v>W. Gelifini</v>
      </c>
      <c r="C21" s="5">
        <f>PLANTILLA!E18</f>
        <v>33</v>
      </c>
      <c r="D21" s="5">
        <f ca="1">PLANTILLA!F18</f>
        <v>101</v>
      </c>
      <c r="E21" s="152">
        <f>PLANTILLA!X18</f>
        <v>0</v>
      </c>
      <c r="F21" s="152">
        <f>PLANTILLA!Y18</f>
        <v>5.6515555555555519</v>
      </c>
      <c r="G21" s="152">
        <f>PLANTILLA!Z18</f>
        <v>9.9499999999999993</v>
      </c>
      <c r="H21" s="152">
        <f>PLANTILLA!AA18</f>
        <v>6.95</v>
      </c>
      <c r="I21" s="152">
        <f>PLANTILLA!AB18</f>
        <v>9.2666666666666639</v>
      </c>
      <c r="J21" s="152">
        <f>PLANTILLA!AC18</f>
        <v>2.95</v>
      </c>
      <c r="K21" s="152">
        <f>PLANTILLA!AD18</f>
        <v>12.847222222222223</v>
      </c>
      <c r="L21" s="302"/>
      <c r="M21" s="302"/>
      <c r="N21" s="302">
        <f t="shared" si="0"/>
        <v>0</v>
      </c>
      <c r="O21" s="148">
        <f t="shared" si="1"/>
        <v>0</v>
      </c>
      <c r="P21" s="148">
        <f t="shared" si="2"/>
        <v>0</v>
      </c>
      <c r="Q21" s="148">
        <f t="shared" si="3"/>
        <v>0</v>
      </c>
      <c r="R21" s="148">
        <f t="shared" si="4"/>
        <v>0</v>
      </c>
      <c r="S21" s="148">
        <f t="shared" si="5"/>
        <v>0</v>
      </c>
      <c r="T21" s="148">
        <f t="shared" si="10"/>
        <v>0</v>
      </c>
      <c r="U21" s="148">
        <f t="shared" si="11"/>
        <v>0</v>
      </c>
      <c r="V21" s="148">
        <f t="shared" si="12"/>
        <v>0</v>
      </c>
      <c r="W21" s="148">
        <v>0</v>
      </c>
      <c r="X21" s="148">
        <v>0</v>
      </c>
      <c r="Y21" s="353"/>
      <c r="Z21" s="353"/>
      <c r="AA21" s="353">
        <f t="shared" si="9"/>
        <v>0</v>
      </c>
    </row>
    <row r="22" spans="1:27" x14ac:dyDescent="0.25">
      <c r="A22" s="260" t="str">
        <f>PLANTILLA!A6</f>
        <v>#16</v>
      </c>
      <c r="B22" s="260" t="str">
        <f>PLANTILLA!D6</f>
        <v>T. Hammond</v>
      </c>
      <c r="C22" s="5">
        <f>PLANTILLA!E6</f>
        <v>39</v>
      </c>
      <c r="D22" s="5">
        <f ca="1">PLANTILLA!F6</f>
        <v>1</v>
      </c>
      <c r="E22" s="152">
        <f>PLANTILLA!X6</f>
        <v>7.95</v>
      </c>
      <c r="F22" s="152">
        <f>PLANTILLA!Y6</f>
        <v>7.95</v>
      </c>
      <c r="G22" s="152">
        <f>PLANTILLA!Z6</f>
        <v>0.95</v>
      </c>
      <c r="H22" s="152">
        <f>PLANTILLA!AA6</f>
        <v>0.95</v>
      </c>
      <c r="I22" s="152">
        <f>PLANTILLA!AB6</f>
        <v>1.95</v>
      </c>
      <c r="J22" s="152">
        <f>PLANTILLA!AC6</f>
        <v>0</v>
      </c>
      <c r="K22" s="152">
        <f>PLANTILLA!AD6</f>
        <v>14.95</v>
      </c>
      <c r="L22" s="302"/>
      <c r="M22" s="302"/>
      <c r="N22" s="302">
        <f t="shared" si="0"/>
        <v>0</v>
      </c>
      <c r="O22" s="148">
        <f t="shared" si="1"/>
        <v>0</v>
      </c>
      <c r="P22" s="148">
        <f t="shared" si="2"/>
        <v>0</v>
      </c>
      <c r="Q22" s="148">
        <f t="shared" si="3"/>
        <v>0</v>
      </c>
      <c r="R22" s="148">
        <f t="shared" si="4"/>
        <v>0</v>
      </c>
      <c r="S22" s="148">
        <f t="shared" si="5"/>
        <v>0</v>
      </c>
      <c r="T22" s="148">
        <f t="shared" si="10"/>
        <v>0</v>
      </c>
      <c r="U22" s="148">
        <f t="shared" si="11"/>
        <v>0</v>
      </c>
      <c r="V22" s="148">
        <f t="shared" si="12"/>
        <v>0</v>
      </c>
      <c r="W22" s="148">
        <v>0</v>
      </c>
      <c r="X22" s="148">
        <v>0</v>
      </c>
      <c r="Y22" s="353"/>
      <c r="Z22" s="353"/>
      <c r="AA22" s="353">
        <f t="shared" si="9"/>
        <v>0</v>
      </c>
    </row>
    <row r="23" spans="1:27" x14ac:dyDescent="0.25">
      <c r="A23" s="260" t="e">
        <f>PLANTILLA!#REF!</f>
        <v>#REF!</v>
      </c>
      <c r="B23" s="260" t="e">
        <f>PLANTILLA!#REF!</f>
        <v>#REF!</v>
      </c>
      <c r="C23" s="5" t="e">
        <f>PLANTILLA!#REF!</f>
        <v>#REF!</v>
      </c>
      <c r="D23" s="5"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302"/>
      <c r="M23" s="302"/>
      <c r="N23" s="302">
        <f t="shared" si="0"/>
        <v>0</v>
      </c>
      <c r="O23" s="148">
        <f t="shared" si="1"/>
        <v>0</v>
      </c>
      <c r="P23" s="148">
        <f t="shared" si="2"/>
        <v>0</v>
      </c>
      <c r="Q23" s="148">
        <f t="shared" si="3"/>
        <v>0</v>
      </c>
      <c r="R23" s="148">
        <f t="shared" si="4"/>
        <v>0</v>
      </c>
      <c r="S23" s="148">
        <f t="shared" si="5"/>
        <v>0</v>
      </c>
      <c r="T23" s="148">
        <f t="shared" si="10"/>
        <v>0</v>
      </c>
      <c r="U23" s="148">
        <f t="shared" si="11"/>
        <v>0</v>
      </c>
      <c r="V23" s="148">
        <f t="shared" si="12"/>
        <v>0</v>
      </c>
      <c r="W23" s="148">
        <v>0</v>
      </c>
      <c r="X23" s="148">
        <v>0</v>
      </c>
      <c r="Y23" s="353"/>
      <c r="Z23" s="353"/>
      <c r="AA23" s="353">
        <f t="shared" si="9"/>
        <v>0</v>
      </c>
    </row>
    <row r="26" spans="1:27" x14ac:dyDescent="0.25">
      <c r="B26" s="263"/>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553" bestFit="1" customWidth="1"/>
    <col min="14" max="14" width="8.28515625" style="553" bestFit="1" customWidth="1"/>
    <col min="15" max="15" width="4.5703125" style="559"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704</v>
      </c>
      <c r="AD1" t="s">
        <v>705</v>
      </c>
      <c r="AG1" t="s">
        <v>706</v>
      </c>
    </row>
    <row r="2" spans="1:34" x14ac:dyDescent="0.25">
      <c r="B2" s="263">
        <v>42584</v>
      </c>
      <c r="Y2" s="561">
        <f>SUM(Y4:Y22)</f>
        <v>0.38669362836502424</v>
      </c>
      <c r="Z2" s="561">
        <f>SUM(Z4:Z22)</f>
        <v>0.36442744206594319</v>
      </c>
      <c r="AA2" s="561"/>
      <c r="AD2" s="435" t="s">
        <v>251</v>
      </c>
      <c r="AE2" s="435" t="s">
        <v>174</v>
      </c>
      <c r="AG2" s="435" t="s">
        <v>251</v>
      </c>
      <c r="AH2" s="435" t="s">
        <v>174</v>
      </c>
    </row>
    <row r="3" spans="1:34" x14ac:dyDescent="0.25">
      <c r="A3" s="271" t="s">
        <v>736</v>
      </c>
      <c r="B3" s="271" t="str">
        <f>PLANTILLA!D4</f>
        <v>Jugador</v>
      </c>
      <c r="C3" s="271" t="str">
        <f>PLANTILLA!E4</f>
        <v>Anys</v>
      </c>
      <c r="D3" s="271" t="str">
        <f>PLANTILLA!F4</f>
        <v>Dias</v>
      </c>
      <c r="E3" s="271" t="str">
        <f>PLANTILLA!X4</f>
        <v>Po</v>
      </c>
      <c r="F3" s="271" t="str">
        <f>PLANTILLA!Y4</f>
        <v>De</v>
      </c>
      <c r="G3" s="271" t="str">
        <f>PLANTILLA!Z4</f>
        <v>Cr</v>
      </c>
      <c r="H3" s="271" t="str">
        <f>PLANTILLA!AA4</f>
        <v>Ex</v>
      </c>
      <c r="I3" s="271" t="str">
        <f>PLANTILLA!AB4</f>
        <v>Ps</v>
      </c>
      <c r="J3" s="271" t="str">
        <f>PLANTILLA!AC4</f>
        <v>An</v>
      </c>
      <c r="K3" s="271" t="str">
        <f>PLANTILLA!AD4</f>
        <v>PA</v>
      </c>
      <c r="L3" s="554">
        <v>1</v>
      </c>
      <c r="M3" s="554">
        <v>0.5</v>
      </c>
      <c r="N3" s="271" t="s">
        <v>701</v>
      </c>
      <c r="O3" s="556" t="s">
        <v>1</v>
      </c>
      <c r="P3" s="556" t="s">
        <v>674</v>
      </c>
      <c r="Q3" s="555" t="s">
        <v>702</v>
      </c>
      <c r="R3" s="555" t="s">
        <v>708</v>
      </c>
      <c r="S3" s="555" t="s">
        <v>703</v>
      </c>
      <c r="T3" s="555" t="s">
        <v>675</v>
      </c>
      <c r="U3" s="555" t="s">
        <v>427</v>
      </c>
      <c r="V3" s="555" t="s">
        <v>707</v>
      </c>
      <c r="W3" s="556" t="s">
        <v>489</v>
      </c>
      <c r="X3" s="560" t="s">
        <v>66</v>
      </c>
      <c r="Y3" s="558" t="s">
        <v>705</v>
      </c>
      <c r="Z3" s="558" t="s">
        <v>706</v>
      </c>
      <c r="AA3" s="558" t="s">
        <v>711</v>
      </c>
      <c r="AD3" t="s">
        <v>1</v>
      </c>
      <c r="AE3" t="s">
        <v>653</v>
      </c>
      <c r="AG3" t="s">
        <v>1</v>
      </c>
      <c r="AH3" t="s">
        <v>653</v>
      </c>
    </row>
    <row r="4" spans="1:34" x14ac:dyDescent="0.25">
      <c r="A4" s="260" t="str">
        <f>PLANTILLA!A14</f>
        <v>#6</v>
      </c>
      <c r="B4" s="156" t="str">
        <f>PLANTILLA!D14</f>
        <v>S. Buschelman</v>
      </c>
      <c r="C4" s="260">
        <f>PLANTILLA!E14</f>
        <v>34</v>
      </c>
      <c r="D4" s="260">
        <f ca="1">PLANTILLA!F14</f>
        <v>36</v>
      </c>
      <c r="E4" s="152">
        <f>PLANTILLA!X14</f>
        <v>0</v>
      </c>
      <c r="F4" s="152">
        <f>PLANTILLA!Y14</f>
        <v>9.3036666666666648</v>
      </c>
      <c r="G4" s="152">
        <f>PLANTILLA!Z14</f>
        <v>14</v>
      </c>
      <c r="H4" s="152">
        <f>PLANTILLA!AA14</f>
        <v>12.945</v>
      </c>
      <c r="I4" s="152">
        <f>PLANTILLA!AB14</f>
        <v>9.9499999999999993</v>
      </c>
      <c r="J4" s="152">
        <f>PLANTILLA!AC14</f>
        <v>3.95</v>
      </c>
      <c r="K4" s="152">
        <f>PLANTILLA!AD14</f>
        <v>16</v>
      </c>
      <c r="L4" s="557">
        <f>1/16</f>
        <v>6.25E-2</v>
      </c>
      <c r="M4" s="302">
        <f t="shared" ref="M4:M23" si="0">L4*0.5</f>
        <v>3.125E-2</v>
      </c>
      <c r="N4" s="302">
        <f t="shared" ref="N4:N23" si="1">L4*0.125</f>
        <v>7.8125E-3</v>
      </c>
      <c r="O4" s="148">
        <v>0</v>
      </c>
      <c r="P4" s="148">
        <f t="shared" ref="P4:P23" si="2">L4*0.236</f>
        <v>1.4749999999999999E-2</v>
      </c>
      <c r="Q4" s="148">
        <f t="shared" ref="Q4:Q23" si="3">L4*0.363</f>
        <v>2.2687499999999999E-2</v>
      </c>
      <c r="R4" s="148">
        <f t="shared" ref="R4:R23" si="4">L4*0.165</f>
        <v>1.03125E-2</v>
      </c>
      <c r="S4" s="148">
        <f t="shared" ref="S4:S23" si="5">L4*0.167</f>
        <v>1.0437500000000001E-2</v>
      </c>
      <c r="T4" s="148">
        <f t="shared" ref="T4:T23" si="6">L4*1</f>
        <v>6.25E-2</v>
      </c>
      <c r="U4" s="148">
        <f t="shared" ref="U4:U23" si="7">L4*0.881</f>
        <v>5.50625E-2</v>
      </c>
      <c r="V4" s="148">
        <f t="shared" ref="V4:V23" si="8">L4*0.455</f>
        <v>2.8437500000000001E-2</v>
      </c>
      <c r="W4" s="148">
        <f t="shared" ref="W4:W23" si="9">L4*0.406</f>
        <v>2.5375000000000002E-2</v>
      </c>
      <c r="X4" s="148">
        <f t="shared" ref="X4:X23" si="10">L4*0.25</f>
        <v>1.5625E-2</v>
      </c>
      <c r="Y4" s="353">
        <f>U4</f>
        <v>5.50625E-2</v>
      </c>
      <c r="Z4" s="353">
        <f>U4</f>
        <v>5.50625E-2</v>
      </c>
      <c r="AA4" s="353">
        <f t="shared" ref="AA4:AA23" si="11">MAX(Z4,Y4)</f>
        <v>5.50625E-2</v>
      </c>
      <c r="AD4" t="s">
        <v>673</v>
      </c>
      <c r="AE4" s="575" t="s">
        <v>724</v>
      </c>
      <c r="AG4" t="s">
        <v>673</v>
      </c>
      <c r="AH4" s="575" t="str">
        <f>AE4</f>
        <v>B. Pinczehelyi</v>
      </c>
    </row>
    <row r="5" spans="1:34" x14ac:dyDescent="0.25">
      <c r="A5" s="260" t="str">
        <f>PLANTILLA!A17</f>
        <v>#5</v>
      </c>
      <c r="B5" s="156" t="str">
        <f>PLANTILLA!D17</f>
        <v>L. Bauman</v>
      </c>
      <c r="C5" s="260">
        <f>PLANTILLA!E17</f>
        <v>35</v>
      </c>
      <c r="D5" s="260">
        <f ca="1">PLANTILLA!F17</f>
        <v>39</v>
      </c>
      <c r="E5" s="152">
        <f>PLANTILLA!X17</f>
        <v>0</v>
      </c>
      <c r="F5" s="152">
        <f>PLANTILLA!Y17</f>
        <v>5.95</v>
      </c>
      <c r="G5" s="152">
        <f>PLANTILLA!Z17</f>
        <v>14.1</v>
      </c>
      <c r="H5" s="152">
        <f>PLANTILLA!AA17</f>
        <v>2.95</v>
      </c>
      <c r="I5" s="152">
        <f>PLANTILLA!AB17</f>
        <v>8.9499999999999993</v>
      </c>
      <c r="J5" s="152">
        <f>PLANTILLA!AC17</f>
        <v>5.95</v>
      </c>
      <c r="K5" s="152">
        <f>PLANTILLA!AD17</f>
        <v>17</v>
      </c>
      <c r="L5" s="557">
        <f>1/21</f>
        <v>4.7619047619047616E-2</v>
      </c>
      <c r="M5" s="302">
        <f t="shared" si="0"/>
        <v>2.3809523809523808E-2</v>
      </c>
      <c r="N5" s="302">
        <f t="shared" si="1"/>
        <v>5.9523809523809521E-3</v>
      </c>
      <c r="O5" s="148">
        <v>0</v>
      </c>
      <c r="P5" s="148">
        <f t="shared" si="2"/>
        <v>1.1238095238095236E-2</v>
      </c>
      <c r="Q5" s="148">
        <f t="shared" si="3"/>
        <v>1.7285714285714283E-2</v>
      </c>
      <c r="R5" s="148">
        <f t="shared" si="4"/>
        <v>7.8571428571428577E-3</v>
      </c>
      <c r="S5" s="148">
        <f t="shared" si="5"/>
        <v>7.9523809523809521E-3</v>
      </c>
      <c r="T5" s="148">
        <f t="shared" si="6"/>
        <v>4.7619047619047616E-2</v>
      </c>
      <c r="U5" s="148">
        <f t="shared" si="7"/>
        <v>4.1952380952380949E-2</v>
      </c>
      <c r="V5" s="148">
        <f t="shared" si="8"/>
        <v>2.1666666666666667E-2</v>
      </c>
      <c r="W5" s="148">
        <f t="shared" si="9"/>
        <v>1.9333333333333334E-2</v>
      </c>
      <c r="X5" s="148">
        <f t="shared" si="10"/>
        <v>1.1904761904761904E-2</v>
      </c>
      <c r="Y5" s="353">
        <f>T5</f>
        <v>4.7619047619047616E-2</v>
      </c>
      <c r="Z5" s="353">
        <f>W5</f>
        <v>1.9333333333333334E-2</v>
      </c>
      <c r="AA5" s="353">
        <f t="shared" si="11"/>
        <v>4.7619047619047616E-2</v>
      </c>
      <c r="AD5" t="s">
        <v>674</v>
      </c>
      <c r="AE5" t="s">
        <v>247</v>
      </c>
      <c r="AG5" t="s">
        <v>685</v>
      </c>
      <c r="AH5" t="s">
        <v>248</v>
      </c>
    </row>
    <row r="6" spans="1:34" x14ac:dyDescent="0.25">
      <c r="A6" s="260" t="str">
        <f>PLANTILLA!A20</f>
        <v>#9</v>
      </c>
      <c r="B6" s="156" t="str">
        <f>PLANTILLA!D20</f>
        <v>J. Limon</v>
      </c>
      <c r="C6" s="260">
        <f>PLANTILLA!E20</f>
        <v>34</v>
      </c>
      <c r="D6" s="260">
        <f ca="1">PLANTILLA!F20</f>
        <v>76</v>
      </c>
      <c r="E6" s="152">
        <f>PLANTILLA!X20</f>
        <v>0</v>
      </c>
      <c r="F6" s="152">
        <f>PLANTILLA!Y20</f>
        <v>6.8376190476190493</v>
      </c>
      <c r="G6" s="152">
        <f>PLANTILLA!Z20</f>
        <v>8.9499999999999993</v>
      </c>
      <c r="H6" s="152">
        <f>PLANTILLA!AA20</f>
        <v>8.7399999999999967</v>
      </c>
      <c r="I6" s="152">
        <f>PLANTILLA!AB20</f>
        <v>9.9499999999999993</v>
      </c>
      <c r="J6" s="152">
        <f>PLANTILLA!AC20</f>
        <v>7.95</v>
      </c>
      <c r="K6" s="152">
        <f>PLANTILLA!AD20</f>
        <v>18.999999999999993</v>
      </c>
      <c r="L6" s="302">
        <f>1/9</f>
        <v>0.1111111111111111</v>
      </c>
      <c r="M6" s="302">
        <f t="shared" si="0"/>
        <v>5.5555555555555552E-2</v>
      </c>
      <c r="N6" s="302">
        <f t="shared" si="1"/>
        <v>1.3888888888888888E-2</v>
      </c>
      <c r="O6" s="148">
        <v>0</v>
      </c>
      <c r="P6" s="148">
        <f t="shared" si="2"/>
        <v>2.622222222222222E-2</v>
      </c>
      <c r="Q6" s="148">
        <f t="shared" si="3"/>
        <v>4.0333333333333332E-2</v>
      </c>
      <c r="R6" s="148">
        <f t="shared" si="4"/>
        <v>1.8333333333333333E-2</v>
      </c>
      <c r="S6" s="148">
        <f t="shared" si="5"/>
        <v>1.8555555555555554E-2</v>
      </c>
      <c r="T6" s="148">
        <f t="shared" si="6"/>
        <v>0.1111111111111111</v>
      </c>
      <c r="U6" s="148">
        <f t="shared" si="7"/>
        <v>9.7888888888888886E-2</v>
      </c>
      <c r="V6" s="148">
        <f t="shared" si="8"/>
        <v>5.0555555555555555E-2</v>
      </c>
      <c r="W6" s="148">
        <f t="shared" si="9"/>
        <v>4.5111111111111109E-2</v>
      </c>
      <c r="X6" s="148">
        <f t="shared" si="10"/>
        <v>2.7777777777777776E-2</v>
      </c>
      <c r="Y6" s="353">
        <f>W6</f>
        <v>4.5111111111111109E-2</v>
      </c>
      <c r="Z6" s="353"/>
      <c r="AA6" s="353">
        <f t="shared" si="11"/>
        <v>4.5111111111111109E-2</v>
      </c>
      <c r="AD6" t="s">
        <v>673</v>
      </c>
      <c r="AE6" t="s">
        <v>244</v>
      </c>
      <c r="AG6" t="s">
        <v>684</v>
      </c>
      <c r="AH6" t="s">
        <v>244</v>
      </c>
    </row>
    <row r="7" spans="1:34" x14ac:dyDescent="0.25">
      <c r="A7" s="260" t="str">
        <f>PLANTILLA!A19</f>
        <v>#19</v>
      </c>
      <c r="B7" s="156" t="str">
        <f>PLANTILLA!D19</f>
        <v>G. Kerschl</v>
      </c>
      <c r="C7" s="260">
        <f>PLANTILLA!E19</f>
        <v>33</v>
      </c>
      <c r="D7" s="260">
        <f ca="1">PLANTILLA!F19</f>
        <v>66</v>
      </c>
      <c r="E7" s="152">
        <f>PLANTILLA!X19</f>
        <v>0</v>
      </c>
      <c r="F7" s="152">
        <f>PLANTILLA!Y19</f>
        <v>3</v>
      </c>
      <c r="G7" s="152">
        <f>PLANTILLA!Z19</f>
        <v>15.07</v>
      </c>
      <c r="H7" s="152">
        <f>PLANTILLA!AA19</f>
        <v>12.12</v>
      </c>
      <c r="I7" s="152">
        <f>PLANTILLA!AB19</f>
        <v>12.95</v>
      </c>
      <c r="J7" s="152">
        <f>PLANTILLA!AC19</f>
        <v>7.95</v>
      </c>
      <c r="K7" s="152">
        <f>PLANTILLA!AD19</f>
        <v>7</v>
      </c>
      <c r="L7">
        <f>1/20</f>
        <v>0.05</v>
      </c>
      <c r="M7" s="302">
        <f t="shared" si="0"/>
        <v>2.5000000000000001E-2</v>
      </c>
      <c r="N7" s="302">
        <f t="shared" si="1"/>
        <v>6.2500000000000003E-3</v>
      </c>
      <c r="O7" s="148">
        <v>0</v>
      </c>
      <c r="P7" s="148">
        <f t="shared" si="2"/>
        <v>1.18E-2</v>
      </c>
      <c r="Q7" s="148">
        <f t="shared" si="3"/>
        <v>1.8149999999999999E-2</v>
      </c>
      <c r="R7" s="148">
        <f t="shared" si="4"/>
        <v>8.2500000000000004E-3</v>
      </c>
      <c r="S7" s="148">
        <f t="shared" si="5"/>
        <v>8.3500000000000015E-3</v>
      </c>
      <c r="T7" s="148">
        <f t="shared" si="6"/>
        <v>0.05</v>
      </c>
      <c r="U7" s="148">
        <f t="shared" si="7"/>
        <v>4.4050000000000006E-2</v>
      </c>
      <c r="V7" s="148">
        <f t="shared" si="8"/>
        <v>2.2750000000000003E-2</v>
      </c>
      <c r="W7" s="148">
        <f t="shared" si="9"/>
        <v>2.0300000000000002E-2</v>
      </c>
      <c r="X7" s="148">
        <f t="shared" si="10"/>
        <v>1.2500000000000001E-2</v>
      </c>
      <c r="Y7" s="353">
        <f>U7</f>
        <v>4.4050000000000006E-2</v>
      </c>
      <c r="Z7" s="353">
        <f>U7</f>
        <v>4.4050000000000006E-2</v>
      </c>
      <c r="AA7" s="353">
        <f t="shared" si="11"/>
        <v>4.4050000000000006E-2</v>
      </c>
      <c r="AD7" t="s">
        <v>427</v>
      </c>
      <c r="AE7" t="s">
        <v>503</v>
      </c>
      <c r="AG7" t="s">
        <v>685</v>
      </c>
      <c r="AH7" t="s">
        <v>250</v>
      </c>
    </row>
    <row r="8" spans="1:34" x14ac:dyDescent="0.25">
      <c r="A8" s="260" t="str">
        <f>PLANTILLA!A12</f>
        <v>#11</v>
      </c>
      <c r="B8" s="156" t="str">
        <f>PLANTILLA!D12</f>
        <v>K. Helms</v>
      </c>
      <c r="C8" s="260">
        <f>PLANTILLA!E12</f>
        <v>35</v>
      </c>
      <c r="D8" s="260">
        <f ca="1">PLANTILLA!F12</f>
        <v>24</v>
      </c>
      <c r="E8" s="152">
        <f>PLANTILLA!X12</f>
        <v>0</v>
      </c>
      <c r="F8" s="152">
        <f>PLANTILLA!Y12</f>
        <v>7.2503030303030309</v>
      </c>
      <c r="G8" s="152">
        <f>PLANTILLA!Z12</f>
        <v>10.600000000000005</v>
      </c>
      <c r="H8" s="152">
        <f>PLANTILLA!AA12</f>
        <v>13.471666666666668</v>
      </c>
      <c r="I8" s="152">
        <f>PLANTILLA!AB12</f>
        <v>9.9499999999999993</v>
      </c>
      <c r="J8" s="152">
        <f>PLANTILLA!AC12</f>
        <v>3.95</v>
      </c>
      <c r="K8" s="152">
        <f>PLANTILLA!AD12</f>
        <v>18</v>
      </c>
      <c r="L8" s="557">
        <f>1/12</f>
        <v>8.3333333333333329E-2</v>
      </c>
      <c r="M8" s="302">
        <f t="shared" si="0"/>
        <v>4.1666666666666664E-2</v>
      </c>
      <c r="N8" s="302">
        <f t="shared" si="1"/>
        <v>1.0416666666666666E-2</v>
      </c>
      <c r="O8" s="148">
        <v>0</v>
      </c>
      <c r="P8" s="148">
        <f t="shared" si="2"/>
        <v>1.9666666666666666E-2</v>
      </c>
      <c r="Q8" s="148">
        <f t="shared" si="3"/>
        <v>3.0249999999999999E-2</v>
      </c>
      <c r="R8" s="148">
        <f t="shared" si="4"/>
        <v>1.375E-2</v>
      </c>
      <c r="S8" s="148">
        <f t="shared" si="5"/>
        <v>1.3916666666666667E-2</v>
      </c>
      <c r="T8" s="148">
        <f t="shared" si="6"/>
        <v>8.3333333333333329E-2</v>
      </c>
      <c r="U8" s="148">
        <f t="shared" si="7"/>
        <v>7.3416666666666658E-2</v>
      </c>
      <c r="V8" s="148">
        <f t="shared" si="8"/>
        <v>3.7916666666666668E-2</v>
      </c>
      <c r="W8" s="148">
        <f t="shared" si="9"/>
        <v>3.3833333333333333E-2</v>
      </c>
      <c r="X8" s="148">
        <f t="shared" si="10"/>
        <v>2.0833333333333332E-2</v>
      </c>
      <c r="Y8" s="353">
        <f>V8</f>
        <v>3.7916666666666668E-2</v>
      </c>
      <c r="Z8" s="353">
        <f>V8</f>
        <v>3.7916666666666668E-2</v>
      </c>
      <c r="AA8" s="353">
        <f t="shared" si="11"/>
        <v>3.7916666666666668E-2</v>
      </c>
      <c r="AD8" t="s">
        <v>675</v>
      </c>
      <c r="AE8" t="s">
        <v>349</v>
      </c>
      <c r="AG8" t="s">
        <v>673</v>
      </c>
      <c r="AH8" t="s">
        <v>686</v>
      </c>
    </row>
    <row r="9" spans="1:34" x14ac:dyDescent="0.25">
      <c r="A9" s="260" t="str">
        <f>PLANTILLA!A15</f>
        <v>#4</v>
      </c>
      <c r="B9" s="156" t="str">
        <f>PLANTILLA!D15</f>
        <v>C. Rojas</v>
      </c>
      <c r="C9" s="260">
        <f>PLANTILLA!E15</f>
        <v>36</v>
      </c>
      <c r="D9" s="260">
        <f ca="1">PLANTILLA!F15</f>
        <v>70</v>
      </c>
      <c r="E9" s="152">
        <f>PLANTILLA!X15</f>
        <v>0</v>
      </c>
      <c r="F9" s="152">
        <f>PLANTILLA!Y15</f>
        <v>7.95</v>
      </c>
      <c r="G9" s="152">
        <f>PLANTILLA!Z15</f>
        <v>13.95</v>
      </c>
      <c r="H9" s="152">
        <f>PLANTILLA!AA15</f>
        <v>8.9499999999999993</v>
      </c>
      <c r="I9" s="152">
        <f>PLANTILLA!AB15</f>
        <v>9.9499999999999993</v>
      </c>
      <c r="J9" s="152">
        <f>PLANTILLA!AC15</f>
        <v>1.95</v>
      </c>
      <c r="K9" s="152">
        <f>PLANTILLA!AD15</f>
        <v>17.144444444444439</v>
      </c>
      <c r="L9" s="557">
        <f>1/26</f>
        <v>3.8461538461538464E-2</v>
      </c>
      <c r="M9" s="302">
        <f t="shared" si="0"/>
        <v>1.9230769230769232E-2</v>
      </c>
      <c r="N9" s="302">
        <f t="shared" si="1"/>
        <v>4.807692307692308E-3</v>
      </c>
      <c r="O9" s="148">
        <v>0</v>
      </c>
      <c r="P9" s="148">
        <f t="shared" si="2"/>
        <v>9.0769230769230762E-3</v>
      </c>
      <c r="Q9" s="148">
        <f t="shared" si="3"/>
        <v>1.3961538461538463E-2</v>
      </c>
      <c r="R9" s="148">
        <f t="shared" si="4"/>
        <v>6.3461538461538469E-3</v>
      </c>
      <c r="S9" s="148">
        <f t="shared" si="5"/>
        <v>6.4230769230769237E-3</v>
      </c>
      <c r="T9" s="148">
        <f t="shared" si="6"/>
        <v>3.8461538461538464E-2</v>
      </c>
      <c r="U9" s="148">
        <f t="shared" si="7"/>
        <v>3.3884615384615388E-2</v>
      </c>
      <c r="V9" s="148">
        <f t="shared" si="8"/>
        <v>1.7500000000000002E-2</v>
      </c>
      <c r="W9" s="148">
        <f t="shared" si="9"/>
        <v>1.5615384615384618E-2</v>
      </c>
      <c r="X9" s="148">
        <f t="shared" si="10"/>
        <v>9.6153846153846159E-3</v>
      </c>
      <c r="Y9" s="353">
        <f>U9</f>
        <v>3.3884615384615388E-2</v>
      </c>
      <c r="Z9" s="353">
        <f>U9</f>
        <v>3.3884615384615388E-2</v>
      </c>
      <c r="AA9" s="353">
        <f t="shared" si="11"/>
        <v>3.3884615384615388E-2</v>
      </c>
      <c r="AD9" t="s">
        <v>427</v>
      </c>
      <c r="AE9" t="s">
        <v>252</v>
      </c>
      <c r="AG9" t="s">
        <v>427</v>
      </c>
      <c r="AH9" t="s">
        <v>252</v>
      </c>
    </row>
    <row r="10" spans="1:34" x14ac:dyDescent="0.25">
      <c r="A10" s="260" t="str">
        <f>PLANTILLA!A13</f>
        <v>#10</v>
      </c>
      <c r="B10" s="610" t="str">
        <f>PLANTILLA!D13</f>
        <v>S. Zobbe</v>
      </c>
      <c r="C10" s="260">
        <f>PLANTILLA!E13</f>
        <v>32</v>
      </c>
      <c r="D10" s="260">
        <f ca="1">PLANTILLA!F13</f>
        <v>39</v>
      </c>
      <c r="E10" s="152">
        <f>PLANTILLA!X13</f>
        <v>0</v>
      </c>
      <c r="F10" s="152">
        <f>PLANTILLA!Y13</f>
        <v>8.3599999999999977</v>
      </c>
      <c r="G10" s="152">
        <f>PLANTILLA!Z13</f>
        <v>12.253412698412699</v>
      </c>
      <c r="H10" s="152">
        <f>PLANTILLA!AA13</f>
        <v>12.95</v>
      </c>
      <c r="I10" s="152">
        <f>PLANTILLA!AB13</f>
        <v>10.24</v>
      </c>
      <c r="J10" s="152">
        <f>PLANTILLA!AC13</f>
        <v>6.95</v>
      </c>
      <c r="K10" s="152">
        <f>PLANTILLA!AD13</f>
        <v>16</v>
      </c>
      <c r="L10" s="557">
        <f>1/14</f>
        <v>7.1428571428571425E-2</v>
      </c>
      <c r="M10" s="302">
        <f t="shared" si="0"/>
        <v>3.5714285714285712E-2</v>
      </c>
      <c r="N10" s="302">
        <f t="shared" si="1"/>
        <v>8.9285714285714281E-3</v>
      </c>
      <c r="O10" s="148">
        <v>0</v>
      </c>
      <c r="P10" s="148">
        <f t="shared" si="2"/>
        <v>1.6857142857142855E-2</v>
      </c>
      <c r="Q10" s="148">
        <f t="shared" si="3"/>
        <v>2.5928571428571426E-2</v>
      </c>
      <c r="R10" s="148">
        <f t="shared" si="4"/>
        <v>1.1785714285714285E-2</v>
      </c>
      <c r="S10" s="148">
        <f t="shared" si="5"/>
        <v>1.1928571428571429E-2</v>
      </c>
      <c r="T10" s="148">
        <f t="shared" si="6"/>
        <v>7.1428571428571425E-2</v>
      </c>
      <c r="U10" s="148">
        <f t="shared" si="7"/>
        <v>6.2928571428571431E-2</v>
      </c>
      <c r="V10" s="148">
        <f t="shared" si="8"/>
        <v>3.2500000000000001E-2</v>
      </c>
      <c r="W10" s="148">
        <f t="shared" si="9"/>
        <v>2.9000000000000001E-2</v>
      </c>
      <c r="X10" s="148">
        <f t="shared" si="10"/>
        <v>1.7857142857142856E-2</v>
      </c>
      <c r="Y10" s="353">
        <f>V10</f>
        <v>3.2500000000000001E-2</v>
      </c>
      <c r="Z10" s="353">
        <f>V10</f>
        <v>3.2500000000000001E-2</v>
      </c>
      <c r="AA10" s="353">
        <f t="shared" si="11"/>
        <v>3.2500000000000001E-2</v>
      </c>
      <c r="AD10" t="s">
        <v>676</v>
      </c>
      <c r="AE10" t="s">
        <v>686</v>
      </c>
      <c r="AG10" t="s">
        <v>427</v>
      </c>
      <c r="AH10" t="s">
        <v>503</v>
      </c>
    </row>
    <row r="11" spans="1:34" x14ac:dyDescent="0.25">
      <c r="A11" s="260" t="str">
        <f>PLANTILLA!A11</f>
        <v>#7</v>
      </c>
      <c r="B11" s="610" t="str">
        <f>PLANTILLA!D11</f>
        <v>E. Romweber</v>
      </c>
      <c r="C11" s="260">
        <f>PLANTILLA!E11</f>
        <v>35</v>
      </c>
      <c r="D11" s="260">
        <f ca="1">PLANTILLA!F11</f>
        <v>77</v>
      </c>
      <c r="E11" s="152">
        <f>PLANTILLA!X11</f>
        <v>0</v>
      </c>
      <c r="F11" s="152">
        <f>PLANTILLA!Y11</f>
        <v>11.95</v>
      </c>
      <c r="G11" s="152">
        <f>PLANTILLA!Z11</f>
        <v>12.614111111111114</v>
      </c>
      <c r="H11" s="152">
        <f>PLANTILLA!AA11</f>
        <v>12.95</v>
      </c>
      <c r="I11" s="152">
        <f>PLANTILLA!AB11</f>
        <v>10.95</v>
      </c>
      <c r="J11" s="152">
        <f>PLANTILLA!AC11</f>
        <v>5.95</v>
      </c>
      <c r="K11" s="152">
        <f>PLANTILLA!AD11</f>
        <v>17.529999999999998</v>
      </c>
      <c r="L11" s="557">
        <f>1/16</f>
        <v>6.25E-2</v>
      </c>
      <c r="M11" s="302">
        <f t="shared" si="0"/>
        <v>3.125E-2</v>
      </c>
      <c r="N11" s="302">
        <f t="shared" si="1"/>
        <v>7.8125E-3</v>
      </c>
      <c r="O11" s="148">
        <v>0</v>
      </c>
      <c r="P11" s="148">
        <f t="shared" si="2"/>
        <v>1.4749999999999999E-2</v>
      </c>
      <c r="Q11" s="148">
        <f t="shared" si="3"/>
        <v>2.2687499999999999E-2</v>
      </c>
      <c r="R11" s="148">
        <f t="shared" si="4"/>
        <v>1.03125E-2</v>
      </c>
      <c r="S11" s="148">
        <f t="shared" si="5"/>
        <v>1.0437500000000001E-2</v>
      </c>
      <c r="T11" s="148">
        <f t="shared" si="6"/>
        <v>6.25E-2</v>
      </c>
      <c r="U11" s="148">
        <f t="shared" si="7"/>
        <v>5.50625E-2</v>
      </c>
      <c r="V11" s="148">
        <f t="shared" si="8"/>
        <v>2.8437500000000001E-2</v>
      </c>
      <c r="W11" s="148">
        <f t="shared" si="9"/>
        <v>2.5375000000000002E-2</v>
      </c>
      <c r="X11" s="148">
        <f t="shared" si="10"/>
        <v>1.5625E-2</v>
      </c>
      <c r="Y11" s="353">
        <f>V11</f>
        <v>2.8437500000000001E-2</v>
      </c>
      <c r="Z11" s="353">
        <f>V11</f>
        <v>2.8437500000000001E-2</v>
      </c>
      <c r="AA11" s="353">
        <f t="shared" si="11"/>
        <v>2.8437500000000001E-2</v>
      </c>
      <c r="AD11" t="s">
        <v>676</v>
      </c>
      <c r="AE11" t="s">
        <v>258</v>
      </c>
      <c r="AG11" t="s">
        <v>676</v>
      </c>
      <c r="AH11" t="s">
        <v>258</v>
      </c>
    </row>
    <row r="12" spans="1:34" x14ac:dyDescent="0.25">
      <c r="A12" s="260" t="e">
        <f>PLANTILLA!#REF!</f>
        <v>#REF!</v>
      </c>
      <c r="B12" s="200" t="e">
        <f>PLANTILLA!#REF!</f>
        <v>#REF!</v>
      </c>
      <c r="C12" s="260" t="e">
        <f>PLANTILLA!#REF!</f>
        <v>#REF!</v>
      </c>
      <c r="D12" s="260" t="e">
        <f>PLANTILLA!#REF!</f>
        <v>#REF!</v>
      </c>
      <c r="E12" s="152" t="e">
        <f>PLANTILLA!#REF!</f>
        <v>#REF!</v>
      </c>
      <c r="F12" s="152" t="e">
        <f>PLANTILLA!#REF!</f>
        <v>#REF!</v>
      </c>
      <c r="G12" s="152" t="e">
        <f>PLANTILLA!#REF!</f>
        <v>#REF!</v>
      </c>
      <c r="H12" s="152" t="e">
        <f>PLANTILLA!#REF!</f>
        <v>#REF!</v>
      </c>
      <c r="I12" s="152" t="e">
        <f>PLANTILLA!#REF!</f>
        <v>#REF!</v>
      </c>
      <c r="J12" s="152" t="e">
        <f>PLANTILLA!#REF!</f>
        <v>#REF!</v>
      </c>
      <c r="K12" s="152" t="e">
        <f>PLANTILLA!#REF!</f>
        <v>#REF!</v>
      </c>
      <c r="L12" s="557">
        <f>1/7</f>
        <v>0.14285714285714285</v>
      </c>
      <c r="M12" s="302">
        <f t="shared" si="0"/>
        <v>7.1428571428571425E-2</v>
      </c>
      <c r="N12" s="302">
        <f t="shared" si="1"/>
        <v>1.7857142857142856E-2</v>
      </c>
      <c r="O12" s="148">
        <v>0</v>
      </c>
      <c r="P12" s="148">
        <f t="shared" si="2"/>
        <v>3.3714285714285711E-2</v>
      </c>
      <c r="Q12" s="148">
        <f t="shared" si="3"/>
        <v>5.1857142857142852E-2</v>
      </c>
      <c r="R12" s="148">
        <f t="shared" si="4"/>
        <v>2.357142857142857E-2</v>
      </c>
      <c r="S12" s="148">
        <f t="shared" si="5"/>
        <v>2.3857142857142858E-2</v>
      </c>
      <c r="T12" s="148">
        <f t="shared" si="6"/>
        <v>0.14285714285714285</v>
      </c>
      <c r="U12" s="148">
        <f t="shared" si="7"/>
        <v>0.12585714285714286</v>
      </c>
      <c r="V12" s="148">
        <f t="shared" si="8"/>
        <v>6.5000000000000002E-2</v>
      </c>
      <c r="W12" s="148">
        <f t="shared" si="9"/>
        <v>5.8000000000000003E-2</v>
      </c>
      <c r="X12" s="148">
        <f t="shared" si="10"/>
        <v>3.5714285714285712E-2</v>
      </c>
      <c r="Y12" s="353"/>
      <c r="Z12" s="353">
        <f>R12</f>
        <v>2.357142857142857E-2</v>
      </c>
      <c r="AA12" s="353">
        <f t="shared" si="11"/>
        <v>2.357142857142857E-2</v>
      </c>
      <c r="AD12" t="s">
        <v>66</v>
      </c>
      <c r="AE12" t="s">
        <v>253</v>
      </c>
      <c r="AG12" t="s">
        <v>676</v>
      </c>
      <c r="AH12" t="s">
        <v>431</v>
      </c>
    </row>
    <row r="13" spans="1:34" x14ac:dyDescent="0.25">
      <c r="A13" s="260" t="str">
        <f>PLANTILLA!A9</f>
        <v>#3</v>
      </c>
      <c r="B13" s="200" t="str">
        <f>PLANTILLA!D9</f>
        <v>B. Bartolache</v>
      </c>
      <c r="C13" s="260">
        <f>PLANTILLA!E9</f>
        <v>35</v>
      </c>
      <c r="D13" s="260">
        <f ca="1">PLANTILLA!F9</f>
        <v>100</v>
      </c>
      <c r="E13" s="152">
        <f>PLANTILLA!X9</f>
        <v>0</v>
      </c>
      <c r="F13" s="152">
        <f>PLANTILLA!Y9</f>
        <v>11.95</v>
      </c>
      <c r="G13" s="152">
        <f>PLANTILLA!Z9</f>
        <v>5.95</v>
      </c>
      <c r="H13" s="152">
        <f>PLANTILLA!AA9</f>
        <v>6.95</v>
      </c>
      <c r="I13" s="152">
        <f>PLANTILLA!AB9</f>
        <v>7.95</v>
      </c>
      <c r="J13" s="152">
        <f>PLANTILLA!AC9</f>
        <v>2.95</v>
      </c>
      <c r="K13" s="152">
        <f>PLANTILLA!AD9</f>
        <v>16</v>
      </c>
      <c r="L13" s="557">
        <f>1/8</f>
        <v>0.125</v>
      </c>
      <c r="M13" s="302">
        <f t="shared" si="0"/>
        <v>6.25E-2</v>
      </c>
      <c r="N13" s="302">
        <f t="shared" si="1"/>
        <v>1.5625E-2</v>
      </c>
      <c r="O13" s="148">
        <v>0</v>
      </c>
      <c r="P13" s="148">
        <f t="shared" si="2"/>
        <v>2.9499999999999998E-2</v>
      </c>
      <c r="Q13" s="148">
        <f t="shared" si="3"/>
        <v>4.5374999999999999E-2</v>
      </c>
      <c r="R13" s="148">
        <f t="shared" si="4"/>
        <v>2.0625000000000001E-2</v>
      </c>
      <c r="S13" s="148">
        <f t="shared" si="5"/>
        <v>2.0875000000000001E-2</v>
      </c>
      <c r="T13" s="148">
        <f t="shared" si="6"/>
        <v>0.125</v>
      </c>
      <c r="U13" s="148">
        <f t="shared" si="7"/>
        <v>0.110125</v>
      </c>
      <c r="V13" s="148">
        <f t="shared" si="8"/>
        <v>5.6875000000000002E-2</v>
      </c>
      <c r="W13" s="148">
        <f t="shared" si="9"/>
        <v>5.0750000000000003E-2</v>
      </c>
      <c r="X13" s="148">
        <f t="shared" si="10"/>
        <v>3.125E-2</v>
      </c>
      <c r="Y13" s="353"/>
      <c r="Z13" s="353">
        <f>S13</f>
        <v>2.0875000000000001E-2</v>
      </c>
      <c r="AA13" s="353">
        <f t="shared" si="11"/>
        <v>2.0875000000000001E-2</v>
      </c>
      <c r="AD13" t="s">
        <v>66</v>
      </c>
      <c r="AE13" t="s">
        <v>431</v>
      </c>
      <c r="AG13" t="s">
        <v>66</v>
      </c>
      <c r="AH13" t="s">
        <v>253</v>
      </c>
    </row>
    <row r="14" spans="1:34" x14ac:dyDescent="0.25">
      <c r="A14" s="260" t="str">
        <f>PLANTILLA!A8</f>
        <v>#2</v>
      </c>
      <c r="B14" s="610" t="str">
        <f>PLANTILLA!D8</f>
        <v>E. Toney</v>
      </c>
      <c r="C14" s="260">
        <f>PLANTILLA!E8</f>
        <v>36</v>
      </c>
      <c r="D14" s="260">
        <f ca="1">PLANTILLA!F8</f>
        <v>3</v>
      </c>
      <c r="E14" s="152">
        <f>PLANTILLA!X8</f>
        <v>0</v>
      </c>
      <c r="F14" s="152">
        <f>PLANTILLA!Y8</f>
        <v>11.95</v>
      </c>
      <c r="G14" s="152">
        <f>PLANTILLA!Z8</f>
        <v>12.95</v>
      </c>
      <c r="H14" s="152">
        <f>PLANTILLA!AA8</f>
        <v>8.9499999999999993</v>
      </c>
      <c r="I14" s="152">
        <f>PLANTILLA!AB8</f>
        <v>8.9499999999999993</v>
      </c>
      <c r="J14" s="152">
        <f>PLANTILLA!AC8</f>
        <v>1.95</v>
      </c>
      <c r="K14" s="152">
        <f>PLANTILLA!AD8</f>
        <v>17.177777777777774</v>
      </c>
      <c r="L14" s="557">
        <f>1/19</f>
        <v>5.2631578947368418E-2</v>
      </c>
      <c r="M14" s="302">
        <f t="shared" si="0"/>
        <v>2.6315789473684209E-2</v>
      </c>
      <c r="N14" s="302">
        <f t="shared" si="1"/>
        <v>6.5789473684210523E-3</v>
      </c>
      <c r="O14" s="148">
        <v>0</v>
      </c>
      <c r="P14" s="148">
        <f t="shared" si="2"/>
        <v>1.2421052631578946E-2</v>
      </c>
      <c r="Q14" s="148">
        <f t="shared" si="3"/>
        <v>1.9105263157894736E-2</v>
      </c>
      <c r="R14" s="148">
        <f t="shared" si="4"/>
        <v>8.6842105263157891E-3</v>
      </c>
      <c r="S14" s="148">
        <f t="shared" si="5"/>
        <v>8.7894736842105258E-3</v>
      </c>
      <c r="T14" s="148">
        <f t="shared" si="6"/>
        <v>5.2631578947368418E-2</v>
      </c>
      <c r="U14" s="148">
        <f t="shared" si="7"/>
        <v>4.636842105263158E-2</v>
      </c>
      <c r="V14" s="148">
        <f t="shared" si="8"/>
        <v>2.394736842105263E-2</v>
      </c>
      <c r="W14" s="148">
        <f t="shared" si="9"/>
        <v>2.1368421052631578E-2</v>
      </c>
      <c r="X14" s="148">
        <f t="shared" si="10"/>
        <v>1.3157894736842105E-2</v>
      </c>
      <c r="Y14" s="353">
        <f>P14</f>
        <v>1.2421052631578946E-2</v>
      </c>
      <c r="Z14" s="353">
        <f>Q14</f>
        <v>1.9105263157894736E-2</v>
      </c>
      <c r="AA14" s="353">
        <f t="shared" si="11"/>
        <v>1.9105263157894736E-2</v>
      </c>
    </row>
    <row r="15" spans="1:34" x14ac:dyDescent="0.25">
      <c r="A15" s="260" t="str">
        <f>PLANTILLA!A21</f>
        <v>#18</v>
      </c>
      <c r="B15" s="610" t="str">
        <f>PLANTILLA!D21</f>
        <v>L. Calosso</v>
      </c>
      <c r="C15" s="260">
        <f>PLANTILLA!E21</f>
        <v>35</v>
      </c>
      <c r="D15" s="260">
        <f ca="1">PLANTILLA!F21</f>
        <v>33</v>
      </c>
      <c r="E15" s="152">
        <f>PLANTILLA!X21</f>
        <v>0</v>
      </c>
      <c r="F15" s="152">
        <f>PLANTILLA!Y21</f>
        <v>2.95</v>
      </c>
      <c r="G15" s="152">
        <f>PLANTILLA!Z21</f>
        <v>13.95</v>
      </c>
      <c r="H15" s="152">
        <f>PLANTILLA!AA21</f>
        <v>2.95</v>
      </c>
      <c r="I15" s="152">
        <f>PLANTILLA!AB21</f>
        <v>14.95</v>
      </c>
      <c r="J15" s="152">
        <f>PLANTILLA!AC21</f>
        <v>8.9499999999999993</v>
      </c>
      <c r="K15" s="152">
        <f>PLANTILLA!AD21</f>
        <v>11.25</v>
      </c>
      <c r="L15" s="557">
        <f>1/23</f>
        <v>4.3478260869565216E-2</v>
      </c>
      <c r="M15" s="302">
        <f t="shared" si="0"/>
        <v>2.1739130434782608E-2</v>
      </c>
      <c r="N15" s="302">
        <f t="shared" si="1"/>
        <v>5.434782608695652E-3</v>
      </c>
      <c r="O15" s="148">
        <v>0</v>
      </c>
      <c r="P15" s="148">
        <f t="shared" si="2"/>
        <v>1.0260869565217391E-2</v>
      </c>
      <c r="Q15" s="148">
        <f t="shared" si="3"/>
        <v>1.5782608695652171E-2</v>
      </c>
      <c r="R15" s="148">
        <f t="shared" si="4"/>
        <v>7.1739130434782614E-3</v>
      </c>
      <c r="S15" s="148">
        <f t="shared" si="5"/>
        <v>7.2608695652173916E-3</v>
      </c>
      <c r="T15" s="148">
        <f t="shared" si="6"/>
        <v>4.3478260869565216E-2</v>
      </c>
      <c r="U15" s="148">
        <f t="shared" si="7"/>
        <v>3.8304347826086958E-2</v>
      </c>
      <c r="V15" s="148">
        <f t="shared" si="8"/>
        <v>1.9782608695652175E-2</v>
      </c>
      <c r="W15" s="148">
        <f t="shared" si="9"/>
        <v>1.7652173913043478E-2</v>
      </c>
      <c r="X15" s="148">
        <f t="shared" si="10"/>
        <v>1.0869565217391304E-2</v>
      </c>
      <c r="Y15" s="353">
        <f>W15</f>
        <v>1.7652173913043478E-2</v>
      </c>
      <c r="Z15" s="353">
        <f>W15</f>
        <v>1.7652173913043478E-2</v>
      </c>
      <c r="AA15" s="353">
        <f t="shared" si="11"/>
        <v>1.7652173913043478E-2</v>
      </c>
    </row>
    <row r="16" spans="1:34" x14ac:dyDescent="0.25">
      <c r="A16" s="260" t="str">
        <f>PLANTILLA!A16</f>
        <v>#12</v>
      </c>
      <c r="B16" s="200" t="str">
        <f>PLANTILLA!D16</f>
        <v>E. Gross</v>
      </c>
      <c r="C16" s="260">
        <f>PLANTILLA!E16</f>
        <v>35</v>
      </c>
      <c r="D16" s="260">
        <f ca="1">PLANTILLA!F16</f>
        <v>64</v>
      </c>
      <c r="E16" s="152">
        <f>PLANTILLA!X16</f>
        <v>0</v>
      </c>
      <c r="F16" s="152">
        <f>PLANTILLA!Y16</f>
        <v>10.549999999999995</v>
      </c>
      <c r="G16" s="152">
        <f>PLANTILLA!Z16</f>
        <v>12.95</v>
      </c>
      <c r="H16" s="152">
        <f>PLANTILLA!AA16</f>
        <v>4.95</v>
      </c>
      <c r="I16" s="152">
        <f>PLANTILLA!AB16</f>
        <v>8.9499999999999993</v>
      </c>
      <c r="J16" s="152">
        <f>PLANTILLA!AC16</f>
        <v>0.95</v>
      </c>
      <c r="K16" s="152">
        <f>PLANTILLA!AD16</f>
        <v>17.3</v>
      </c>
      <c r="L16" s="557">
        <f>1/14</f>
        <v>7.1428571428571425E-2</v>
      </c>
      <c r="M16" s="302">
        <f t="shared" si="0"/>
        <v>3.5714285714285712E-2</v>
      </c>
      <c r="N16" s="302">
        <f t="shared" si="1"/>
        <v>8.9285714285714281E-3</v>
      </c>
      <c r="O16" s="148">
        <v>0</v>
      </c>
      <c r="P16" s="148">
        <f t="shared" si="2"/>
        <v>1.6857142857142855E-2</v>
      </c>
      <c r="Q16" s="148">
        <f t="shared" si="3"/>
        <v>2.5928571428571426E-2</v>
      </c>
      <c r="R16" s="148">
        <f t="shared" si="4"/>
        <v>1.1785714285714285E-2</v>
      </c>
      <c r="S16" s="148">
        <f t="shared" si="5"/>
        <v>1.1928571428571429E-2</v>
      </c>
      <c r="T16" s="148">
        <f t="shared" si="6"/>
        <v>7.1428571428571425E-2</v>
      </c>
      <c r="U16" s="148">
        <f t="shared" si="7"/>
        <v>6.2928571428571431E-2</v>
      </c>
      <c r="V16" s="148">
        <f t="shared" si="8"/>
        <v>3.2500000000000001E-2</v>
      </c>
      <c r="W16" s="148">
        <f t="shared" si="9"/>
        <v>2.9000000000000001E-2</v>
      </c>
      <c r="X16" s="148">
        <f t="shared" si="10"/>
        <v>1.7857142857142856E-2</v>
      </c>
      <c r="Y16" s="353">
        <f>P16</f>
        <v>1.6857142857142855E-2</v>
      </c>
      <c r="Z16" s="353">
        <f>P16</f>
        <v>1.6857142857142855E-2</v>
      </c>
      <c r="AA16" s="353">
        <f t="shared" si="11"/>
        <v>1.6857142857142855E-2</v>
      </c>
    </row>
    <row r="17" spans="1:27" x14ac:dyDescent="0.25">
      <c r="A17" s="260" t="str">
        <f>PLANTILLA!A7</f>
        <v>#17</v>
      </c>
      <c r="B17" s="200" t="str">
        <f>PLANTILLA!D7</f>
        <v>B. Pinczehelyi</v>
      </c>
      <c r="C17" s="260">
        <f>PLANTILLA!E7</f>
        <v>35</v>
      </c>
      <c r="D17" s="260">
        <f>PLANTILLA!F7</f>
        <v>0</v>
      </c>
      <c r="E17" s="152">
        <f>PLANTILLA!X7</f>
        <v>0</v>
      </c>
      <c r="F17" s="152">
        <f>PLANTILLA!Y7</f>
        <v>14.300000000000004</v>
      </c>
      <c r="G17" s="152">
        <f>PLANTILLA!Z7</f>
        <v>9.3793333333333351</v>
      </c>
      <c r="H17" s="152">
        <f>PLANTILLA!AA7</f>
        <v>13.95</v>
      </c>
      <c r="I17" s="152">
        <f>PLANTILLA!AB7</f>
        <v>8.9499999999999993</v>
      </c>
      <c r="J17" s="152">
        <f>PLANTILLA!AC7</f>
        <v>0</v>
      </c>
      <c r="K17" s="152">
        <f>PLANTILLA!AD7</f>
        <v>11.25</v>
      </c>
      <c r="L17" s="557">
        <f>1/11</f>
        <v>9.0909090909090912E-2</v>
      </c>
      <c r="M17" s="302">
        <f t="shared" si="0"/>
        <v>4.5454545454545456E-2</v>
      </c>
      <c r="N17" s="302">
        <f t="shared" si="1"/>
        <v>1.1363636363636364E-2</v>
      </c>
      <c r="O17" s="148">
        <v>0</v>
      </c>
      <c r="P17" s="148">
        <f t="shared" si="2"/>
        <v>2.1454545454545455E-2</v>
      </c>
      <c r="Q17" s="148">
        <f t="shared" si="3"/>
        <v>3.3000000000000002E-2</v>
      </c>
      <c r="R17" s="148">
        <f t="shared" si="4"/>
        <v>1.5000000000000001E-2</v>
      </c>
      <c r="S17" s="148">
        <f t="shared" si="5"/>
        <v>1.5181818181818183E-2</v>
      </c>
      <c r="T17" s="148">
        <f t="shared" si="6"/>
        <v>9.0909090909090912E-2</v>
      </c>
      <c r="U17" s="148">
        <f t="shared" si="7"/>
        <v>8.0090909090909088E-2</v>
      </c>
      <c r="V17" s="148">
        <f t="shared" si="8"/>
        <v>4.1363636363636366E-2</v>
      </c>
      <c r="W17" s="148">
        <f t="shared" si="9"/>
        <v>3.6909090909090912E-2</v>
      </c>
      <c r="X17" s="148">
        <f t="shared" si="10"/>
        <v>2.2727272727272728E-2</v>
      </c>
      <c r="Y17" s="353">
        <f>S17</f>
        <v>1.5181818181818183E-2</v>
      </c>
      <c r="Z17" s="353">
        <f>S17</f>
        <v>1.5181818181818183E-2</v>
      </c>
      <c r="AA17" s="353">
        <f t="shared" si="11"/>
        <v>1.5181818181818183E-2</v>
      </c>
    </row>
    <row r="18" spans="1:27" x14ac:dyDescent="0.25">
      <c r="A18" s="260" t="str">
        <f>PLANTILLA!A30</f>
        <v>#15</v>
      </c>
      <c r="B18" s="260" t="str">
        <f>PLANTILLA!D30</f>
        <v>P .Trivadi</v>
      </c>
      <c r="C18" s="260">
        <f>PLANTILLA!E30</f>
        <v>31</v>
      </c>
      <c r="D18" s="260">
        <f ca="1">PLANTILLA!F30</f>
        <v>107</v>
      </c>
      <c r="E18" s="152">
        <f>PLANTILLA!X30</f>
        <v>0</v>
      </c>
      <c r="F18" s="152">
        <f>PLANTILLA!Y30</f>
        <v>4.0199999999999996</v>
      </c>
      <c r="G18" s="152">
        <f>PLANTILLA!Z30</f>
        <v>5.95</v>
      </c>
      <c r="H18" s="152">
        <f>PLANTILLA!AA30</f>
        <v>5.5099999999999989</v>
      </c>
      <c r="I18" s="152">
        <f>PLANTILLA!AB30</f>
        <v>10.95</v>
      </c>
      <c r="J18" s="152">
        <f>PLANTILLA!AC30</f>
        <v>7.95</v>
      </c>
      <c r="K18" s="152">
        <f>PLANTILLA!AD30</f>
        <v>14</v>
      </c>
      <c r="L18" s="557">
        <f>1/6</f>
        <v>0.16666666666666666</v>
      </c>
      <c r="M18" s="302">
        <f t="shared" si="0"/>
        <v>8.3333333333333329E-2</v>
      </c>
      <c r="N18" s="302">
        <f t="shared" si="1"/>
        <v>2.0833333333333332E-2</v>
      </c>
      <c r="O18" s="148">
        <v>0</v>
      </c>
      <c r="P18" s="148">
        <f t="shared" si="2"/>
        <v>3.9333333333333331E-2</v>
      </c>
      <c r="Q18" s="148">
        <f t="shared" si="3"/>
        <v>6.0499999999999998E-2</v>
      </c>
      <c r="R18" s="148">
        <f t="shared" si="4"/>
        <v>2.75E-2</v>
      </c>
      <c r="S18" s="148">
        <f t="shared" si="5"/>
        <v>2.7833333333333335E-2</v>
      </c>
      <c r="T18" s="148">
        <f t="shared" si="6"/>
        <v>0.16666666666666666</v>
      </c>
      <c r="U18" s="148">
        <f t="shared" si="7"/>
        <v>0.14683333333333332</v>
      </c>
      <c r="V18" s="148">
        <f t="shared" si="8"/>
        <v>7.5833333333333336E-2</v>
      </c>
      <c r="W18" s="148">
        <f t="shared" si="9"/>
        <v>6.7666666666666667E-2</v>
      </c>
      <c r="X18" s="148">
        <f t="shared" si="10"/>
        <v>4.1666666666666664E-2</v>
      </c>
      <c r="Y18" s="353">
        <v>0</v>
      </c>
      <c r="Z18" s="353">
        <v>0</v>
      </c>
      <c r="AA18" s="353">
        <f t="shared" si="11"/>
        <v>0</v>
      </c>
    </row>
    <row r="19" spans="1:27" x14ac:dyDescent="0.25">
      <c r="A19" s="260" t="str">
        <f>PLANTILLA!A5</f>
        <v>#1</v>
      </c>
      <c r="B19" s="260" t="str">
        <f>PLANTILLA!D5</f>
        <v>D. Gehmacher</v>
      </c>
      <c r="C19" s="260">
        <f>PLANTILLA!E5</f>
        <v>34</v>
      </c>
      <c r="D19" s="260">
        <f ca="1">PLANTILLA!F5</f>
        <v>104</v>
      </c>
      <c r="E19" s="152">
        <f>PLANTILLA!X5</f>
        <v>16.666666666666668</v>
      </c>
      <c r="F19" s="152">
        <f>PLANTILLA!Y5</f>
        <v>11.95</v>
      </c>
      <c r="G19" s="152">
        <f>PLANTILLA!Z5</f>
        <v>2.0699999999999985</v>
      </c>
      <c r="H19" s="152">
        <f>PLANTILLA!AA5</f>
        <v>2.149999999999999</v>
      </c>
      <c r="I19" s="152">
        <f>PLANTILLA!AB5</f>
        <v>0.95</v>
      </c>
      <c r="J19" s="152">
        <f>PLANTILLA!AC5</f>
        <v>0</v>
      </c>
      <c r="K19" s="152">
        <f>PLANTILLA!AD5</f>
        <v>18.2</v>
      </c>
      <c r="L19" s="557">
        <v>0</v>
      </c>
      <c r="M19" s="302">
        <f t="shared" si="0"/>
        <v>0</v>
      </c>
      <c r="N19" s="302">
        <f t="shared" si="1"/>
        <v>0</v>
      </c>
      <c r="O19" s="148">
        <v>0</v>
      </c>
      <c r="P19" s="148">
        <f t="shared" si="2"/>
        <v>0</v>
      </c>
      <c r="Q19" s="148">
        <f t="shared" si="3"/>
        <v>0</v>
      </c>
      <c r="R19" s="148">
        <f t="shared" si="4"/>
        <v>0</v>
      </c>
      <c r="S19" s="148">
        <f t="shared" si="5"/>
        <v>0</v>
      </c>
      <c r="T19" s="148">
        <f t="shared" si="6"/>
        <v>0</v>
      </c>
      <c r="U19" s="148">
        <f t="shared" si="7"/>
        <v>0</v>
      </c>
      <c r="V19" s="148">
        <f t="shared" si="8"/>
        <v>0</v>
      </c>
      <c r="W19" s="148">
        <f t="shared" si="9"/>
        <v>0</v>
      </c>
      <c r="X19" s="148">
        <f t="shared" si="10"/>
        <v>0</v>
      </c>
      <c r="Y19" s="353">
        <f>O19</f>
        <v>0</v>
      </c>
      <c r="Z19" s="353">
        <f>O19</f>
        <v>0</v>
      </c>
      <c r="AA19" s="353">
        <f t="shared" si="11"/>
        <v>0</v>
      </c>
    </row>
    <row r="20" spans="1:27" x14ac:dyDescent="0.25">
      <c r="A20" s="260" t="str">
        <f>PLANTILLA!A6</f>
        <v>#16</v>
      </c>
      <c r="B20" s="260" t="str">
        <f>PLANTILLA!D6</f>
        <v>T. Hammond</v>
      </c>
      <c r="C20" s="260">
        <f>PLANTILLA!E6</f>
        <v>39</v>
      </c>
      <c r="D20" s="260">
        <f ca="1">PLANTILLA!F6</f>
        <v>1</v>
      </c>
      <c r="E20" s="152">
        <f>PLANTILLA!X6</f>
        <v>7.95</v>
      </c>
      <c r="F20" s="152">
        <f>PLANTILLA!Y6</f>
        <v>7.95</v>
      </c>
      <c r="G20" s="152">
        <f>PLANTILLA!Z6</f>
        <v>0.95</v>
      </c>
      <c r="H20" s="152">
        <f>PLANTILLA!AA6</f>
        <v>0.95</v>
      </c>
      <c r="I20" s="152">
        <f>PLANTILLA!AB6</f>
        <v>1.95</v>
      </c>
      <c r="J20" s="152">
        <f>PLANTILLA!AC6</f>
        <v>0</v>
      </c>
      <c r="K20" s="152">
        <f>PLANTILLA!AD6</f>
        <v>14.95</v>
      </c>
      <c r="L20" s="557"/>
      <c r="M20" s="302">
        <f t="shared" si="0"/>
        <v>0</v>
      </c>
      <c r="N20" s="302">
        <f t="shared" si="1"/>
        <v>0</v>
      </c>
      <c r="O20" s="148">
        <v>0</v>
      </c>
      <c r="P20" s="148">
        <f t="shared" si="2"/>
        <v>0</v>
      </c>
      <c r="Q20" s="148">
        <f t="shared" si="3"/>
        <v>0</v>
      </c>
      <c r="R20" s="148">
        <f t="shared" si="4"/>
        <v>0</v>
      </c>
      <c r="S20" s="148">
        <f t="shared" si="5"/>
        <v>0</v>
      </c>
      <c r="T20" s="148">
        <f t="shared" si="6"/>
        <v>0</v>
      </c>
      <c r="U20" s="148">
        <f t="shared" si="7"/>
        <v>0</v>
      </c>
      <c r="V20" s="148">
        <f t="shared" si="8"/>
        <v>0</v>
      </c>
      <c r="W20" s="148">
        <f t="shared" si="9"/>
        <v>0</v>
      </c>
      <c r="X20" s="148">
        <f t="shared" si="10"/>
        <v>0</v>
      </c>
      <c r="Y20" s="353"/>
      <c r="Z20" s="353"/>
      <c r="AA20" s="353">
        <f t="shared" si="11"/>
        <v>0</v>
      </c>
    </row>
    <row r="21" spans="1:27" x14ac:dyDescent="0.25">
      <c r="A21" s="260" t="str">
        <f>PLANTILLA!A10</f>
        <v>#13</v>
      </c>
      <c r="B21" s="260" t="str">
        <f>PLANTILLA!D10</f>
        <v>F. Lasprilla</v>
      </c>
      <c r="C21" s="260">
        <f>PLANTILLA!E10</f>
        <v>32</v>
      </c>
      <c r="D21" s="260">
        <f ca="1">PLANTILLA!F10</f>
        <v>11</v>
      </c>
      <c r="E21" s="152">
        <f>PLANTILLA!X10</f>
        <v>0</v>
      </c>
      <c r="F21" s="152">
        <f>PLANTILLA!Y10</f>
        <v>9.6046666666666667</v>
      </c>
      <c r="G21" s="152">
        <f>PLANTILLA!Z10</f>
        <v>7.7607222222222223</v>
      </c>
      <c r="H21" s="152">
        <f>PLANTILLA!AA10</f>
        <v>6.1599999999999984</v>
      </c>
      <c r="I21" s="152">
        <f>PLANTILLA!AB10</f>
        <v>8.8633333333333315</v>
      </c>
      <c r="J21" s="152">
        <f>PLANTILLA!AC10</f>
        <v>2.95</v>
      </c>
      <c r="K21" s="152">
        <f>PLANTILLA!AD10</f>
        <v>13.33611111111111</v>
      </c>
      <c r="L21" s="557"/>
      <c r="M21" s="302">
        <f t="shared" si="0"/>
        <v>0</v>
      </c>
      <c r="N21" s="302">
        <f t="shared" si="1"/>
        <v>0</v>
      </c>
      <c r="O21" s="148">
        <v>0</v>
      </c>
      <c r="P21" s="148">
        <f t="shared" si="2"/>
        <v>0</v>
      </c>
      <c r="Q21" s="148">
        <f t="shared" si="3"/>
        <v>0</v>
      </c>
      <c r="R21" s="148">
        <f t="shared" si="4"/>
        <v>0</v>
      </c>
      <c r="S21" s="148">
        <f t="shared" si="5"/>
        <v>0</v>
      </c>
      <c r="T21" s="148">
        <f t="shared" si="6"/>
        <v>0</v>
      </c>
      <c r="U21" s="148">
        <f t="shared" si="7"/>
        <v>0</v>
      </c>
      <c r="V21" s="148">
        <f t="shared" si="8"/>
        <v>0</v>
      </c>
      <c r="W21" s="148">
        <f t="shared" si="9"/>
        <v>0</v>
      </c>
      <c r="X21" s="148">
        <f t="shared" si="10"/>
        <v>0</v>
      </c>
      <c r="Y21" s="353"/>
      <c r="Z21" s="353"/>
      <c r="AA21" s="353">
        <f t="shared" si="11"/>
        <v>0</v>
      </c>
    </row>
    <row r="22" spans="1:27" x14ac:dyDescent="0.25">
      <c r="A22" s="260" t="str">
        <f>PLANTILLA!A18</f>
        <v>#14</v>
      </c>
      <c r="B22" s="260" t="str">
        <f>PLANTILLA!D18</f>
        <v>W. Gelifini</v>
      </c>
      <c r="C22" s="260">
        <f>PLANTILLA!E18</f>
        <v>33</v>
      </c>
      <c r="D22" s="260">
        <f ca="1">PLANTILLA!F18</f>
        <v>101</v>
      </c>
      <c r="E22" s="152">
        <f>PLANTILLA!X18</f>
        <v>0</v>
      </c>
      <c r="F22" s="152">
        <f>PLANTILLA!Y18</f>
        <v>5.6515555555555519</v>
      </c>
      <c r="G22" s="152">
        <f>PLANTILLA!Z18</f>
        <v>9.9499999999999993</v>
      </c>
      <c r="H22" s="152">
        <f>PLANTILLA!AA18</f>
        <v>6.95</v>
      </c>
      <c r="I22" s="152">
        <f>PLANTILLA!AB18</f>
        <v>9.2666666666666639</v>
      </c>
      <c r="J22" s="152">
        <f>PLANTILLA!AC18</f>
        <v>2.95</v>
      </c>
      <c r="K22" s="152">
        <f>PLANTILLA!AD18</f>
        <v>12.847222222222223</v>
      </c>
      <c r="L22" s="557"/>
      <c r="M22" s="302">
        <f t="shared" si="0"/>
        <v>0</v>
      </c>
      <c r="N22" s="302">
        <f t="shared" si="1"/>
        <v>0</v>
      </c>
      <c r="O22" s="148">
        <v>0</v>
      </c>
      <c r="P22" s="148">
        <f t="shared" si="2"/>
        <v>0</v>
      </c>
      <c r="Q22" s="148">
        <f t="shared" si="3"/>
        <v>0</v>
      </c>
      <c r="R22" s="148">
        <f t="shared" si="4"/>
        <v>0</v>
      </c>
      <c r="S22" s="148">
        <f t="shared" si="5"/>
        <v>0</v>
      </c>
      <c r="T22" s="148">
        <f t="shared" si="6"/>
        <v>0</v>
      </c>
      <c r="U22" s="148">
        <f t="shared" si="7"/>
        <v>0</v>
      </c>
      <c r="V22" s="148">
        <f t="shared" si="8"/>
        <v>0</v>
      </c>
      <c r="W22" s="148">
        <f t="shared" si="9"/>
        <v>0</v>
      </c>
      <c r="X22" s="148">
        <f t="shared" si="10"/>
        <v>0</v>
      </c>
      <c r="Y22" s="353"/>
      <c r="Z22" s="353"/>
      <c r="AA22" s="353">
        <f t="shared" si="11"/>
        <v>0</v>
      </c>
    </row>
    <row r="23" spans="1:27" x14ac:dyDescent="0.25">
      <c r="A23" s="260" t="e">
        <f>PLANTILLA!#REF!</f>
        <v>#REF!</v>
      </c>
      <c r="B23" s="260" t="e">
        <f>PLANTILLA!#REF!</f>
        <v>#REF!</v>
      </c>
      <c r="C23" s="260" t="e">
        <f>PLANTILLA!#REF!</f>
        <v>#REF!</v>
      </c>
      <c r="D23" s="260"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c r="M23" s="302">
        <f t="shared" si="0"/>
        <v>0</v>
      </c>
      <c r="N23" s="302">
        <f t="shared" si="1"/>
        <v>0</v>
      </c>
      <c r="O23" s="148">
        <v>0</v>
      </c>
      <c r="P23" s="148">
        <f t="shared" si="2"/>
        <v>0</v>
      </c>
      <c r="Q23" s="148">
        <f t="shared" si="3"/>
        <v>0</v>
      </c>
      <c r="R23" s="148">
        <f t="shared" si="4"/>
        <v>0</v>
      </c>
      <c r="S23" s="148">
        <f t="shared" si="5"/>
        <v>0</v>
      </c>
      <c r="T23" s="148">
        <f t="shared" si="6"/>
        <v>0</v>
      </c>
      <c r="U23" s="148">
        <f t="shared" si="7"/>
        <v>0</v>
      </c>
      <c r="V23" s="148">
        <f t="shared" si="8"/>
        <v>0</v>
      </c>
      <c r="W23" s="148">
        <f t="shared" si="9"/>
        <v>0</v>
      </c>
      <c r="X23" s="148">
        <f t="shared" si="10"/>
        <v>0</v>
      </c>
      <c r="Y23" s="353"/>
      <c r="Z23" s="353"/>
      <c r="AA23" s="353">
        <f t="shared" si="11"/>
        <v>0</v>
      </c>
    </row>
    <row r="26" spans="1:27" x14ac:dyDescent="0.25">
      <c r="B26" s="263"/>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559" bestFit="1" customWidth="1"/>
    <col min="13" max="13" width="6.5703125" style="559" customWidth="1"/>
    <col min="14" max="14" width="8.28515625" style="559" bestFit="1" customWidth="1"/>
    <col min="15" max="15" width="4.5703125" style="559"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704</v>
      </c>
      <c r="AD1" t="s">
        <v>705</v>
      </c>
      <c r="AG1" t="s">
        <v>706</v>
      </c>
    </row>
    <row r="2" spans="1:34" x14ac:dyDescent="0.25">
      <c r="B2" s="263">
        <v>42585</v>
      </c>
      <c r="Y2" s="561">
        <f>SUM(Y4:Y22)</f>
        <v>0.24062111707736711</v>
      </c>
      <c r="Z2" s="561">
        <f>SUM(Z4:Z22)</f>
        <v>0.19504062465312466</v>
      </c>
      <c r="AA2" s="561"/>
      <c r="AD2" s="435" t="s">
        <v>251</v>
      </c>
      <c r="AE2" s="435" t="s">
        <v>174</v>
      </c>
      <c r="AG2" s="435" t="s">
        <v>251</v>
      </c>
      <c r="AH2" s="435" t="s">
        <v>174</v>
      </c>
    </row>
    <row r="3" spans="1:34" x14ac:dyDescent="0.25">
      <c r="A3" s="271" t="s">
        <v>736</v>
      </c>
      <c r="B3" s="271" t="str">
        <f>PLANTILLA!D4</f>
        <v>Jugador</v>
      </c>
      <c r="C3" s="271" t="str">
        <f>PLANTILLA!E4</f>
        <v>Anys</v>
      </c>
      <c r="D3" s="271" t="str">
        <f>PLANTILLA!F4</f>
        <v>Dias</v>
      </c>
      <c r="E3" s="271" t="str">
        <f>PLANTILLA!X4</f>
        <v>Po</v>
      </c>
      <c r="F3" s="271" t="str">
        <f>PLANTILLA!Y4</f>
        <v>De</v>
      </c>
      <c r="G3" s="271" t="str">
        <f>PLANTILLA!Z4</f>
        <v>Cr</v>
      </c>
      <c r="H3" s="271" t="str">
        <f>PLANTILLA!AA4</f>
        <v>Ex</v>
      </c>
      <c r="I3" s="271" t="str">
        <f>PLANTILLA!AB4</f>
        <v>Ps</v>
      </c>
      <c r="J3" s="271" t="str">
        <f>PLANTILLA!AC4</f>
        <v>An</v>
      </c>
      <c r="K3" s="271" t="str">
        <f>PLANTILLA!AD4</f>
        <v>PA</v>
      </c>
      <c r="L3" s="554">
        <v>1</v>
      </c>
      <c r="M3" s="554">
        <v>0.5</v>
      </c>
      <c r="N3" s="271" t="s">
        <v>709</v>
      </c>
      <c r="O3" s="556" t="s">
        <v>1</v>
      </c>
      <c r="P3" s="556" t="s">
        <v>674</v>
      </c>
      <c r="Q3" s="555" t="s">
        <v>702</v>
      </c>
      <c r="R3" s="555" t="s">
        <v>708</v>
      </c>
      <c r="S3" s="555" t="s">
        <v>703</v>
      </c>
      <c r="T3" s="555" t="s">
        <v>675</v>
      </c>
      <c r="U3" s="555" t="s">
        <v>427</v>
      </c>
      <c r="V3" s="555" t="s">
        <v>707</v>
      </c>
      <c r="W3" s="556" t="s">
        <v>489</v>
      </c>
      <c r="X3" s="556" t="s">
        <v>66</v>
      </c>
      <c r="Y3" s="558" t="s">
        <v>705</v>
      </c>
      <c r="Z3" s="558" t="s">
        <v>706</v>
      </c>
      <c r="AA3" s="558" t="s">
        <v>711</v>
      </c>
      <c r="AD3" t="s">
        <v>1</v>
      </c>
      <c r="AE3" t="s">
        <v>653</v>
      </c>
      <c r="AG3" t="s">
        <v>1</v>
      </c>
      <c r="AH3" t="s">
        <v>653</v>
      </c>
    </row>
    <row r="4" spans="1:34" x14ac:dyDescent="0.25">
      <c r="A4" s="260" t="str">
        <f>PLANTILLA!A20</f>
        <v>#9</v>
      </c>
      <c r="B4" s="609" t="str">
        <f>PLANTILLA!D20</f>
        <v>J. Limon</v>
      </c>
      <c r="C4" s="260">
        <f>PLANTILLA!E20</f>
        <v>34</v>
      </c>
      <c r="D4" s="260">
        <f ca="1">PLANTILLA!F20</f>
        <v>76</v>
      </c>
      <c r="E4" s="152">
        <f>PLANTILLA!X20</f>
        <v>0</v>
      </c>
      <c r="F4" s="152">
        <f>PLANTILLA!Y20</f>
        <v>6.8376190476190493</v>
      </c>
      <c r="G4" s="152">
        <f>PLANTILLA!Z20</f>
        <v>8.9499999999999993</v>
      </c>
      <c r="H4" s="152">
        <f>PLANTILLA!AA20</f>
        <v>8.7399999999999967</v>
      </c>
      <c r="I4" s="152">
        <f>PLANTILLA!AB20</f>
        <v>9.9499999999999993</v>
      </c>
      <c r="J4" s="152">
        <f>PLANTILLA!AC20</f>
        <v>7.95</v>
      </c>
      <c r="K4" s="152">
        <f>PLANTILLA!AD20</f>
        <v>18.999999999999993</v>
      </c>
      <c r="L4" s="302">
        <f>1/8</f>
        <v>0.125</v>
      </c>
      <c r="M4" s="302"/>
      <c r="N4" s="302">
        <f t="shared" ref="N4:N23" si="0">L4/6</f>
        <v>2.0833333333333332E-2</v>
      </c>
      <c r="O4" s="152">
        <v>0</v>
      </c>
      <c r="P4" s="148">
        <v>0</v>
      </c>
      <c r="Q4" s="148">
        <v>0</v>
      </c>
      <c r="R4" s="148">
        <v>0</v>
      </c>
      <c r="S4" s="148">
        <v>0</v>
      </c>
      <c r="T4" s="148">
        <f t="shared" ref="T4:T23" si="1">L4*(0.19*0.341+0.25*0.253+0.25*0.127)/(0.19+0.25)</f>
        <v>4.5394886363636359E-2</v>
      </c>
      <c r="U4" s="148">
        <f t="shared" ref="U4:U23" si="2">L4*(0.19*0.241+0.25*0.315)/(0.19+0.25)</f>
        <v>3.5380681818181818E-2</v>
      </c>
      <c r="V4" s="148">
        <f t="shared" ref="V4:V23" si="3">L4*(0.19*0.121+0.25*0.244)/(0.19+0.25)</f>
        <v>2.3860795454545454E-2</v>
      </c>
      <c r="W4" s="148">
        <f t="shared" ref="W4:W15" si="4">L4*(0.19*0.543+0.25*0.25)/(0.19+0.25)</f>
        <v>4.7065340909090911E-2</v>
      </c>
      <c r="X4" s="148">
        <f t="shared" ref="X4:X23" si="5">L4*(0.19*0.369+0.25*0.142)/(0.19+0.25)</f>
        <v>3.0002840909090913E-2</v>
      </c>
      <c r="Y4" s="353">
        <f>W4</f>
        <v>4.7065340909090911E-2</v>
      </c>
      <c r="Z4" s="353"/>
      <c r="AA4" s="353">
        <f t="shared" ref="AA4:AA23" si="6">MAX(Z4,Y4)</f>
        <v>4.7065340909090911E-2</v>
      </c>
      <c r="AD4" t="s">
        <v>673</v>
      </c>
      <c r="AE4" s="575" t="s">
        <v>724</v>
      </c>
      <c r="AG4" t="s">
        <v>673</v>
      </c>
      <c r="AH4" s="575" t="str">
        <f>AE4</f>
        <v>B. Pinczehelyi</v>
      </c>
    </row>
    <row r="5" spans="1:34" x14ac:dyDescent="0.25">
      <c r="A5" s="260" t="str">
        <f>PLANTILLA!A17</f>
        <v>#5</v>
      </c>
      <c r="B5" s="609" t="str">
        <f>PLANTILLA!D17</f>
        <v>L. Bauman</v>
      </c>
      <c r="C5" s="260">
        <f>PLANTILLA!E17</f>
        <v>35</v>
      </c>
      <c r="D5" s="260">
        <f ca="1">PLANTILLA!F17</f>
        <v>39</v>
      </c>
      <c r="E5" s="152">
        <f>PLANTILLA!X17</f>
        <v>0</v>
      </c>
      <c r="F5" s="152">
        <f>PLANTILLA!Y17</f>
        <v>5.95</v>
      </c>
      <c r="G5" s="152">
        <f>PLANTILLA!Z17</f>
        <v>14.1</v>
      </c>
      <c r="H5" s="152">
        <f>PLANTILLA!AA17</f>
        <v>2.95</v>
      </c>
      <c r="I5" s="152">
        <f>PLANTILLA!AB17</f>
        <v>8.9499999999999993</v>
      </c>
      <c r="J5" s="152">
        <f>PLANTILLA!AC17</f>
        <v>5.95</v>
      </c>
      <c r="K5" s="152">
        <f>PLANTILLA!AD17</f>
        <v>17</v>
      </c>
      <c r="L5" s="302">
        <f>1/9</f>
        <v>0.1111111111111111</v>
      </c>
      <c r="M5" s="302"/>
      <c r="N5" s="302">
        <f t="shared" si="0"/>
        <v>1.8518518518518517E-2</v>
      </c>
      <c r="O5" s="152">
        <v>0</v>
      </c>
      <c r="P5" s="148">
        <v>0</v>
      </c>
      <c r="Q5" s="148">
        <v>0</v>
      </c>
      <c r="R5" s="148">
        <v>0</v>
      </c>
      <c r="S5" s="148">
        <v>0</v>
      </c>
      <c r="T5" s="148">
        <f t="shared" si="1"/>
        <v>4.0351010101010096E-2</v>
      </c>
      <c r="U5" s="148">
        <f t="shared" si="2"/>
        <v>3.1449494949494949E-2</v>
      </c>
      <c r="V5" s="148">
        <f t="shared" si="3"/>
        <v>2.1209595959595956E-2</v>
      </c>
      <c r="W5" s="148">
        <f t="shared" si="4"/>
        <v>4.183585858585858E-2</v>
      </c>
      <c r="X5" s="148">
        <f t="shared" si="5"/>
        <v>2.6669191919191919E-2</v>
      </c>
      <c r="Y5" s="353">
        <f>T5</f>
        <v>4.0351010101010096E-2</v>
      </c>
      <c r="Z5" s="353">
        <f>W5</f>
        <v>4.183585858585858E-2</v>
      </c>
      <c r="AA5" s="353">
        <f t="shared" si="6"/>
        <v>4.183585858585858E-2</v>
      </c>
      <c r="AD5" t="s">
        <v>674</v>
      </c>
      <c r="AE5" t="s">
        <v>247</v>
      </c>
      <c r="AG5" t="s">
        <v>685</v>
      </c>
      <c r="AH5" t="s">
        <v>248</v>
      </c>
    </row>
    <row r="6" spans="1:34" x14ac:dyDescent="0.25">
      <c r="A6" s="260" t="str">
        <f>PLANTILLA!A14</f>
        <v>#6</v>
      </c>
      <c r="B6" s="609" t="str">
        <f>PLANTILLA!D14</f>
        <v>S. Buschelman</v>
      </c>
      <c r="C6" s="260">
        <f>PLANTILLA!E14</f>
        <v>34</v>
      </c>
      <c r="D6" s="260">
        <f ca="1">PLANTILLA!F14</f>
        <v>36</v>
      </c>
      <c r="E6" s="152">
        <f>PLANTILLA!X14</f>
        <v>0</v>
      </c>
      <c r="F6" s="152">
        <f>PLANTILLA!Y14</f>
        <v>9.3036666666666648</v>
      </c>
      <c r="G6" s="152">
        <f>PLANTILLA!Z14</f>
        <v>14</v>
      </c>
      <c r="H6" s="152">
        <f>PLANTILLA!AA14</f>
        <v>12.945</v>
      </c>
      <c r="I6" s="152">
        <f>PLANTILLA!AB14</f>
        <v>9.9499999999999993</v>
      </c>
      <c r="J6" s="152">
        <f>PLANTILLA!AC14</f>
        <v>3.95</v>
      </c>
      <c r="K6" s="152">
        <f>PLANTILLA!AD14</f>
        <v>16</v>
      </c>
      <c r="L6" s="302">
        <f>1/8</f>
        <v>0.125</v>
      </c>
      <c r="M6" s="302"/>
      <c r="N6" s="302">
        <f t="shared" si="0"/>
        <v>2.0833333333333332E-2</v>
      </c>
      <c r="O6" s="152">
        <v>0</v>
      </c>
      <c r="P6" s="148">
        <v>0</v>
      </c>
      <c r="Q6" s="148">
        <v>0</v>
      </c>
      <c r="R6" s="148">
        <v>0</v>
      </c>
      <c r="S6" s="148">
        <v>0</v>
      </c>
      <c r="T6" s="148">
        <f t="shared" si="1"/>
        <v>4.5394886363636359E-2</v>
      </c>
      <c r="U6" s="148">
        <f t="shared" si="2"/>
        <v>3.5380681818181818E-2</v>
      </c>
      <c r="V6" s="148">
        <f t="shared" si="3"/>
        <v>2.3860795454545454E-2</v>
      </c>
      <c r="W6" s="148">
        <f t="shared" si="4"/>
        <v>4.7065340909090911E-2</v>
      </c>
      <c r="X6" s="148">
        <f t="shared" si="5"/>
        <v>3.0002840909090913E-2</v>
      </c>
      <c r="Y6" s="353">
        <f>U6</f>
        <v>3.5380681818181818E-2</v>
      </c>
      <c r="Z6" s="353">
        <f>U6</f>
        <v>3.5380681818181818E-2</v>
      </c>
      <c r="AA6" s="353">
        <f t="shared" si="6"/>
        <v>3.5380681818181818E-2</v>
      </c>
      <c r="AD6" t="s">
        <v>673</v>
      </c>
      <c r="AE6" t="s">
        <v>244</v>
      </c>
      <c r="AG6" t="s">
        <v>684</v>
      </c>
      <c r="AH6" t="s">
        <v>244</v>
      </c>
    </row>
    <row r="7" spans="1:34" x14ac:dyDescent="0.25">
      <c r="A7" s="260" t="str">
        <f>PLANTILLA!A19</f>
        <v>#19</v>
      </c>
      <c r="B7" s="609" t="str">
        <f>PLANTILLA!D19</f>
        <v>G. Kerschl</v>
      </c>
      <c r="C7" s="260">
        <f>PLANTILLA!E19</f>
        <v>33</v>
      </c>
      <c r="D7" s="260">
        <f ca="1">PLANTILLA!F19</f>
        <v>66</v>
      </c>
      <c r="E7" s="152">
        <f>PLANTILLA!X19</f>
        <v>0</v>
      </c>
      <c r="F7" s="152">
        <f>PLANTILLA!Y19</f>
        <v>3</v>
      </c>
      <c r="G7" s="152">
        <f>PLANTILLA!Z19</f>
        <v>15.07</v>
      </c>
      <c r="H7" s="152">
        <f>PLANTILLA!AA19</f>
        <v>12.12</v>
      </c>
      <c r="I7" s="152">
        <f>PLANTILLA!AB19</f>
        <v>12.95</v>
      </c>
      <c r="J7" s="152">
        <f>PLANTILLA!AC19</f>
        <v>7.95</v>
      </c>
      <c r="K7" s="152">
        <f>PLANTILLA!AD19</f>
        <v>7</v>
      </c>
      <c r="L7" s="302">
        <f>1/14</f>
        <v>7.1428571428571425E-2</v>
      </c>
      <c r="M7" s="302"/>
      <c r="N7" s="302">
        <f t="shared" si="0"/>
        <v>1.1904761904761904E-2</v>
      </c>
      <c r="O7" s="152">
        <v>0</v>
      </c>
      <c r="P7" s="148">
        <v>0</v>
      </c>
      <c r="Q7" s="148">
        <v>0</v>
      </c>
      <c r="R7" s="148">
        <v>0</v>
      </c>
      <c r="S7" s="148">
        <v>0</v>
      </c>
      <c r="T7" s="148">
        <f t="shared" si="1"/>
        <v>2.5939935064935062E-2</v>
      </c>
      <c r="U7" s="148">
        <f t="shared" si="2"/>
        <v>2.0217532467532464E-2</v>
      </c>
      <c r="V7" s="148">
        <f t="shared" si="3"/>
        <v>1.3634740259740258E-2</v>
      </c>
      <c r="W7" s="148">
        <f t="shared" si="4"/>
        <v>2.6894480519480523E-2</v>
      </c>
      <c r="X7" s="148">
        <f t="shared" si="5"/>
        <v>1.7144480519480521E-2</v>
      </c>
      <c r="Y7" s="353">
        <f>W7</f>
        <v>2.6894480519480523E-2</v>
      </c>
      <c r="Z7" s="353">
        <f>W7</f>
        <v>2.6894480519480523E-2</v>
      </c>
      <c r="AA7" s="353">
        <f t="shared" si="6"/>
        <v>2.6894480519480523E-2</v>
      </c>
      <c r="AD7" t="s">
        <v>427</v>
      </c>
      <c r="AE7" t="s">
        <v>503</v>
      </c>
      <c r="AG7" t="s">
        <v>685</v>
      </c>
      <c r="AH7" t="s">
        <v>250</v>
      </c>
    </row>
    <row r="8" spans="1:34" x14ac:dyDescent="0.25">
      <c r="A8" s="260" t="str">
        <f>PLANTILLA!A15</f>
        <v>#4</v>
      </c>
      <c r="B8" s="609" t="str">
        <f>PLANTILLA!D15</f>
        <v>C. Rojas</v>
      </c>
      <c r="C8" s="260">
        <f>PLANTILLA!E15</f>
        <v>36</v>
      </c>
      <c r="D8" s="260">
        <f ca="1">PLANTILLA!F15</f>
        <v>70</v>
      </c>
      <c r="E8" s="152">
        <f>PLANTILLA!X15</f>
        <v>0</v>
      </c>
      <c r="F8" s="152">
        <f>PLANTILLA!Y15</f>
        <v>7.95</v>
      </c>
      <c r="G8" s="152">
        <f>PLANTILLA!Z15</f>
        <v>13.95</v>
      </c>
      <c r="H8" s="152">
        <f>PLANTILLA!AA15</f>
        <v>8.9499999999999993</v>
      </c>
      <c r="I8" s="152">
        <f>PLANTILLA!AB15</f>
        <v>9.9499999999999993</v>
      </c>
      <c r="J8" s="152">
        <f>PLANTILLA!AC15</f>
        <v>1.95</v>
      </c>
      <c r="K8" s="152">
        <f>PLANTILLA!AD15</f>
        <v>17.144444444444439</v>
      </c>
      <c r="L8" s="302">
        <f>1/12</f>
        <v>8.3333333333333329E-2</v>
      </c>
      <c r="M8" s="302"/>
      <c r="N8" s="302">
        <f t="shared" si="0"/>
        <v>1.3888888888888888E-2</v>
      </c>
      <c r="O8" s="152">
        <v>0</v>
      </c>
      <c r="P8" s="148">
        <v>0</v>
      </c>
      <c r="Q8" s="148">
        <v>0</v>
      </c>
      <c r="R8" s="148">
        <v>0</v>
      </c>
      <c r="S8" s="148">
        <v>0</v>
      </c>
      <c r="T8" s="148">
        <f t="shared" si="1"/>
        <v>3.0263257575757572E-2</v>
      </c>
      <c r="U8" s="148">
        <f t="shared" si="2"/>
        <v>2.3587121212121212E-2</v>
      </c>
      <c r="V8" s="148">
        <f t="shared" si="3"/>
        <v>1.5907196969696967E-2</v>
      </c>
      <c r="W8" s="148">
        <f t="shared" si="4"/>
        <v>3.1376893939393941E-2</v>
      </c>
      <c r="X8" s="148">
        <f t="shared" si="5"/>
        <v>2.0001893939393941E-2</v>
      </c>
      <c r="Y8" s="353">
        <f>U8</f>
        <v>2.3587121212121212E-2</v>
      </c>
      <c r="Z8" s="353">
        <f>U8</f>
        <v>2.3587121212121212E-2</v>
      </c>
      <c r="AA8" s="353">
        <f t="shared" si="6"/>
        <v>2.3587121212121212E-2</v>
      </c>
      <c r="AD8" t="s">
        <v>675</v>
      </c>
      <c r="AE8" t="s">
        <v>349</v>
      </c>
      <c r="AG8" t="s">
        <v>673</v>
      </c>
      <c r="AH8" t="s">
        <v>686</v>
      </c>
    </row>
    <row r="9" spans="1:34" x14ac:dyDescent="0.25">
      <c r="A9" s="260" t="str">
        <f>PLANTILLA!A12</f>
        <v>#11</v>
      </c>
      <c r="B9" s="609" t="str">
        <f>PLANTILLA!D12</f>
        <v>K. Helms</v>
      </c>
      <c r="C9" s="260">
        <f>PLANTILLA!E12</f>
        <v>35</v>
      </c>
      <c r="D9" s="260">
        <f ca="1">PLANTILLA!F12</f>
        <v>24</v>
      </c>
      <c r="E9" s="152">
        <f>PLANTILLA!X12</f>
        <v>0</v>
      </c>
      <c r="F9" s="152">
        <f>PLANTILLA!Y12</f>
        <v>7.2503030303030309</v>
      </c>
      <c r="G9" s="152">
        <f>PLANTILLA!Z12</f>
        <v>10.600000000000005</v>
      </c>
      <c r="H9" s="152">
        <f>PLANTILLA!AA12</f>
        <v>13.471666666666668</v>
      </c>
      <c r="I9" s="152">
        <f>PLANTILLA!AB12</f>
        <v>9.9499999999999993</v>
      </c>
      <c r="J9" s="152">
        <f>PLANTILLA!AC12</f>
        <v>3.95</v>
      </c>
      <c r="K9" s="152">
        <f>PLANTILLA!AD12</f>
        <v>18</v>
      </c>
      <c r="L9" s="302">
        <f>1/10</f>
        <v>0.1</v>
      </c>
      <c r="M9" s="302"/>
      <c r="N9" s="302">
        <f t="shared" si="0"/>
        <v>1.6666666666666666E-2</v>
      </c>
      <c r="O9" s="152">
        <v>0</v>
      </c>
      <c r="P9" s="148">
        <v>0</v>
      </c>
      <c r="Q9" s="148">
        <v>0</v>
      </c>
      <c r="R9" s="148">
        <v>0</v>
      </c>
      <c r="S9" s="148">
        <v>0</v>
      </c>
      <c r="T9" s="148">
        <f t="shared" si="1"/>
        <v>3.6315909090909093E-2</v>
      </c>
      <c r="U9" s="148">
        <f t="shared" si="2"/>
        <v>2.8304545454545454E-2</v>
      </c>
      <c r="V9" s="148">
        <f t="shared" si="3"/>
        <v>1.9088636363636363E-2</v>
      </c>
      <c r="W9" s="148">
        <f t="shared" si="4"/>
        <v>3.7652272727272729E-2</v>
      </c>
      <c r="X9" s="148">
        <f t="shared" si="5"/>
        <v>2.400227272727273E-2</v>
      </c>
      <c r="Y9" s="353">
        <f>V9</f>
        <v>1.9088636363636363E-2</v>
      </c>
      <c r="Z9" s="353">
        <f>V9</f>
        <v>1.9088636363636363E-2</v>
      </c>
      <c r="AA9" s="353">
        <f t="shared" si="6"/>
        <v>1.9088636363636363E-2</v>
      </c>
      <c r="AD9" t="s">
        <v>427</v>
      </c>
      <c r="AE9" t="s">
        <v>252</v>
      </c>
      <c r="AG9" t="s">
        <v>427</v>
      </c>
      <c r="AH9" t="s">
        <v>252</v>
      </c>
    </row>
    <row r="10" spans="1:34" x14ac:dyDescent="0.25">
      <c r="A10" s="260" t="str">
        <f>PLANTILLA!A13</f>
        <v>#10</v>
      </c>
      <c r="B10" s="609" t="str">
        <f>PLANTILLA!D13</f>
        <v>S. Zobbe</v>
      </c>
      <c r="C10" s="260">
        <f>PLANTILLA!E13</f>
        <v>32</v>
      </c>
      <c r="D10" s="260">
        <f ca="1">PLANTILLA!F13</f>
        <v>39</v>
      </c>
      <c r="E10" s="152">
        <f>PLANTILLA!X13</f>
        <v>0</v>
      </c>
      <c r="F10" s="152">
        <f>PLANTILLA!Y13</f>
        <v>8.3599999999999977</v>
      </c>
      <c r="G10" s="152">
        <f>PLANTILLA!Z13</f>
        <v>12.253412698412699</v>
      </c>
      <c r="H10" s="152">
        <f>PLANTILLA!AA13</f>
        <v>12.95</v>
      </c>
      <c r="I10" s="152">
        <f>PLANTILLA!AB13</f>
        <v>10.24</v>
      </c>
      <c r="J10" s="152">
        <f>PLANTILLA!AC13</f>
        <v>6.95</v>
      </c>
      <c r="K10" s="152">
        <f>PLANTILLA!AD13</f>
        <v>16</v>
      </c>
      <c r="L10" s="302">
        <f>1/10</f>
        <v>0.1</v>
      </c>
      <c r="M10" s="302"/>
      <c r="N10" s="302">
        <f t="shared" si="0"/>
        <v>1.6666666666666666E-2</v>
      </c>
      <c r="O10" s="152">
        <v>0</v>
      </c>
      <c r="P10" s="148">
        <v>0</v>
      </c>
      <c r="Q10" s="148">
        <v>0</v>
      </c>
      <c r="R10" s="148">
        <v>0</v>
      </c>
      <c r="S10" s="148">
        <v>0</v>
      </c>
      <c r="T10" s="148">
        <f t="shared" si="1"/>
        <v>3.6315909090909093E-2</v>
      </c>
      <c r="U10" s="148">
        <f t="shared" si="2"/>
        <v>2.8304545454545454E-2</v>
      </c>
      <c r="V10" s="148">
        <f t="shared" si="3"/>
        <v>1.9088636363636363E-2</v>
      </c>
      <c r="W10" s="148">
        <f t="shared" si="4"/>
        <v>3.7652272727272729E-2</v>
      </c>
      <c r="X10" s="148">
        <f t="shared" si="5"/>
        <v>2.400227272727273E-2</v>
      </c>
      <c r="Y10" s="353">
        <f>V10</f>
        <v>1.9088636363636363E-2</v>
      </c>
      <c r="Z10" s="353">
        <f>V10</f>
        <v>1.9088636363636363E-2</v>
      </c>
      <c r="AA10" s="353">
        <f t="shared" si="6"/>
        <v>1.9088636363636363E-2</v>
      </c>
      <c r="AD10" t="s">
        <v>676</v>
      </c>
      <c r="AE10" t="s">
        <v>686</v>
      </c>
      <c r="AG10" t="s">
        <v>427</v>
      </c>
      <c r="AH10" t="s">
        <v>503</v>
      </c>
    </row>
    <row r="11" spans="1:34" x14ac:dyDescent="0.25">
      <c r="A11" s="260" t="str">
        <f>PLANTILLA!A11</f>
        <v>#7</v>
      </c>
      <c r="B11" s="609" t="str">
        <f>PLANTILLA!D11</f>
        <v>E. Romweber</v>
      </c>
      <c r="C11" s="260">
        <f>PLANTILLA!E11</f>
        <v>35</v>
      </c>
      <c r="D11" s="260">
        <f ca="1">PLANTILLA!F11</f>
        <v>77</v>
      </c>
      <c r="E11" s="152">
        <f>PLANTILLA!X11</f>
        <v>0</v>
      </c>
      <c r="F11" s="152">
        <f>PLANTILLA!Y11</f>
        <v>11.95</v>
      </c>
      <c r="G11" s="152">
        <f>PLANTILLA!Z11</f>
        <v>12.614111111111114</v>
      </c>
      <c r="H11" s="152">
        <f>PLANTILLA!AA11</f>
        <v>12.95</v>
      </c>
      <c r="I11" s="152">
        <f>PLANTILLA!AB11</f>
        <v>10.95</v>
      </c>
      <c r="J11" s="152">
        <f>PLANTILLA!AC11</f>
        <v>5.95</v>
      </c>
      <c r="K11" s="152">
        <f>PLANTILLA!AD11</f>
        <v>17.529999999999998</v>
      </c>
      <c r="L11" s="302">
        <f>1/13</f>
        <v>7.6923076923076927E-2</v>
      </c>
      <c r="M11" s="302"/>
      <c r="N11" s="302">
        <f t="shared" si="0"/>
        <v>1.2820512820512822E-2</v>
      </c>
      <c r="O11" s="152">
        <v>0</v>
      </c>
      <c r="P11" s="148">
        <v>0</v>
      </c>
      <c r="Q11" s="148">
        <v>0</v>
      </c>
      <c r="R11" s="148">
        <v>0</v>
      </c>
      <c r="S11" s="148">
        <v>0</v>
      </c>
      <c r="T11" s="148">
        <f t="shared" si="1"/>
        <v>2.7935314685314686E-2</v>
      </c>
      <c r="U11" s="148">
        <f t="shared" si="2"/>
        <v>2.1772727272727273E-2</v>
      </c>
      <c r="V11" s="148">
        <f t="shared" si="3"/>
        <v>1.4683566433566433E-2</v>
      </c>
      <c r="W11" s="148">
        <f t="shared" si="4"/>
        <v>2.8963286713286719E-2</v>
      </c>
      <c r="X11" s="148">
        <f t="shared" si="5"/>
        <v>1.8463286713286717E-2</v>
      </c>
      <c r="Y11" s="353">
        <f>V11</f>
        <v>1.4683566433566433E-2</v>
      </c>
      <c r="Z11" s="353">
        <f>V11</f>
        <v>1.4683566433566433E-2</v>
      </c>
      <c r="AA11" s="353">
        <f t="shared" si="6"/>
        <v>1.4683566433566433E-2</v>
      </c>
      <c r="AD11" t="s">
        <v>676</v>
      </c>
      <c r="AE11" t="s">
        <v>258</v>
      </c>
      <c r="AG11" t="s">
        <v>676</v>
      </c>
      <c r="AH11" t="s">
        <v>258</v>
      </c>
    </row>
    <row r="12" spans="1:34" x14ac:dyDescent="0.25">
      <c r="A12" s="260" t="str">
        <f>PLANTILLA!A21</f>
        <v>#18</v>
      </c>
      <c r="B12" s="609" t="str">
        <f>PLANTILLA!D21</f>
        <v>L. Calosso</v>
      </c>
      <c r="C12" s="260">
        <f>PLANTILLA!E21</f>
        <v>35</v>
      </c>
      <c r="D12" s="260">
        <f ca="1">PLANTILLA!F21</f>
        <v>33</v>
      </c>
      <c r="E12" s="152">
        <f>PLANTILLA!X21</f>
        <v>0</v>
      </c>
      <c r="F12" s="152">
        <f>PLANTILLA!Y21</f>
        <v>2.95</v>
      </c>
      <c r="G12" s="152">
        <f>PLANTILLA!Z21</f>
        <v>13.95</v>
      </c>
      <c r="H12" s="152">
        <f>PLANTILLA!AA21</f>
        <v>2.95</v>
      </c>
      <c r="I12" s="152">
        <f>PLANTILLA!AB21</f>
        <v>14.95</v>
      </c>
      <c r="J12" s="152">
        <f>PLANTILLA!AC21</f>
        <v>8.9499999999999993</v>
      </c>
      <c r="K12" s="152">
        <f>PLANTILLA!AD21</f>
        <v>11.25</v>
      </c>
      <c r="L12" s="302">
        <f>1/26</f>
        <v>3.8461538461538464E-2</v>
      </c>
      <c r="M12" s="302"/>
      <c r="N12" s="302">
        <f t="shared" si="0"/>
        <v>6.4102564102564109E-3</v>
      </c>
      <c r="O12" s="152">
        <v>0</v>
      </c>
      <c r="P12" s="148">
        <v>0</v>
      </c>
      <c r="Q12" s="148">
        <v>0</v>
      </c>
      <c r="R12" s="148">
        <v>0</v>
      </c>
      <c r="S12" s="148">
        <v>0</v>
      </c>
      <c r="T12" s="148">
        <f t="shared" si="1"/>
        <v>1.3967657342657343E-2</v>
      </c>
      <c r="U12" s="148">
        <f t="shared" si="2"/>
        <v>1.0886363636363637E-2</v>
      </c>
      <c r="V12" s="148">
        <f t="shared" si="3"/>
        <v>7.3417832167832165E-3</v>
      </c>
      <c r="W12" s="148">
        <f t="shared" si="4"/>
        <v>1.448164335664336E-2</v>
      </c>
      <c r="X12" s="148">
        <f t="shared" si="5"/>
        <v>9.2316433566433584E-3</v>
      </c>
      <c r="Y12" s="353">
        <f>W12</f>
        <v>1.448164335664336E-2</v>
      </c>
      <c r="Z12" s="353">
        <f>W12</f>
        <v>1.448164335664336E-2</v>
      </c>
      <c r="AA12" s="353">
        <f t="shared" si="6"/>
        <v>1.448164335664336E-2</v>
      </c>
      <c r="AD12" t="s">
        <v>66</v>
      </c>
      <c r="AE12" t="s">
        <v>253</v>
      </c>
      <c r="AG12" t="s">
        <v>676</v>
      </c>
      <c r="AH12" t="s">
        <v>431</v>
      </c>
    </row>
    <row r="13" spans="1:34" x14ac:dyDescent="0.25">
      <c r="A13" s="260" t="str">
        <f>PLANTILLA!A30</f>
        <v>#15</v>
      </c>
      <c r="B13" s="609" t="str">
        <f>PLANTILLA!D30</f>
        <v>P .Trivadi</v>
      </c>
      <c r="C13" s="260">
        <f>PLANTILLA!E30</f>
        <v>31</v>
      </c>
      <c r="D13" s="260">
        <f ca="1">PLANTILLA!F30</f>
        <v>107</v>
      </c>
      <c r="E13" s="152">
        <f>PLANTILLA!X30</f>
        <v>0</v>
      </c>
      <c r="F13" s="152">
        <f>PLANTILLA!Y30</f>
        <v>4.0199999999999996</v>
      </c>
      <c r="G13" s="152">
        <f>PLANTILLA!Z30</f>
        <v>5.95</v>
      </c>
      <c r="H13" s="152">
        <f>PLANTILLA!AA30</f>
        <v>5.5099999999999989</v>
      </c>
      <c r="I13" s="152">
        <f>PLANTILLA!AB30</f>
        <v>10.95</v>
      </c>
      <c r="J13" s="152">
        <f>PLANTILLA!AC30</f>
        <v>7.95</v>
      </c>
      <c r="K13" s="152">
        <f>PLANTILLA!AD30</f>
        <v>14</v>
      </c>
      <c r="L13" s="302">
        <f>1/9</f>
        <v>0.1111111111111111</v>
      </c>
      <c r="M13" s="302"/>
      <c r="N13" s="302">
        <f t="shared" si="0"/>
        <v>1.8518518518518517E-2</v>
      </c>
      <c r="O13" s="152">
        <v>0</v>
      </c>
      <c r="P13" s="148">
        <v>0</v>
      </c>
      <c r="Q13" s="148">
        <v>0</v>
      </c>
      <c r="R13" s="148">
        <v>0</v>
      </c>
      <c r="S13" s="148">
        <v>0</v>
      </c>
      <c r="T13" s="148">
        <f t="shared" si="1"/>
        <v>4.0351010101010096E-2</v>
      </c>
      <c r="U13" s="148">
        <f t="shared" si="2"/>
        <v>3.1449494949494949E-2</v>
      </c>
      <c r="V13" s="148">
        <f t="shared" si="3"/>
        <v>2.1209595959595956E-2</v>
      </c>
      <c r="W13" s="148">
        <f t="shared" si="4"/>
        <v>4.183585858585858E-2</v>
      </c>
      <c r="X13" s="148">
        <f t="shared" si="5"/>
        <v>2.6669191919191919E-2</v>
      </c>
      <c r="Y13" s="353">
        <v>0</v>
      </c>
      <c r="Z13" s="353">
        <v>0</v>
      </c>
      <c r="AA13" s="353">
        <f t="shared" si="6"/>
        <v>0</v>
      </c>
      <c r="AD13" t="s">
        <v>66</v>
      </c>
      <c r="AE13" t="s">
        <v>431</v>
      </c>
      <c r="AG13" t="s">
        <v>66</v>
      </c>
      <c r="AH13" t="s">
        <v>253</v>
      </c>
    </row>
    <row r="14" spans="1:34" x14ac:dyDescent="0.25">
      <c r="A14" s="260" t="str">
        <f>PLANTILLA!A5</f>
        <v>#1</v>
      </c>
      <c r="B14" s="260" t="str">
        <f>PLANTILLA!D5</f>
        <v>D. Gehmacher</v>
      </c>
      <c r="C14" s="260">
        <f>PLANTILLA!E5</f>
        <v>34</v>
      </c>
      <c r="D14" s="260">
        <f ca="1">PLANTILLA!F5</f>
        <v>104</v>
      </c>
      <c r="E14" s="152">
        <f>PLANTILLA!X5</f>
        <v>16.666666666666668</v>
      </c>
      <c r="F14" s="152">
        <f>PLANTILLA!Y5</f>
        <v>11.95</v>
      </c>
      <c r="G14" s="152">
        <f>PLANTILLA!Z5</f>
        <v>2.0699999999999985</v>
      </c>
      <c r="H14" s="152">
        <f>PLANTILLA!AA5</f>
        <v>2.149999999999999</v>
      </c>
      <c r="I14" s="152">
        <f>PLANTILLA!AB5</f>
        <v>0.95</v>
      </c>
      <c r="J14" s="152">
        <f>PLANTILLA!AC5</f>
        <v>0</v>
      </c>
      <c r="K14" s="152">
        <f>PLANTILLA!AD5</f>
        <v>18.2</v>
      </c>
      <c r="L14" s="302">
        <v>0</v>
      </c>
      <c r="M14" s="302"/>
      <c r="N14" s="302">
        <f t="shared" si="0"/>
        <v>0</v>
      </c>
      <c r="O14" s="152">
        <v>0</v>
      </c>
      <c r="P14" s="148">
        <v>0</v>
      </c>
      <c r="Q14" s="148">
        <v>0</v>
      </c>
      <c r="R14" s="148">
        <v>0</v>
      </c>
      <c r="S14" s="148">
        <v>0</v>
      </c>
      <c r="T14" s="148">
        <f t="shared" si="1"/>
        <v>0</v>
      </c>
      <c r="U14" s="148">
        <f t="shared" si="2"/>
        <v>0</v>
      </c>
      <c r="V14" s="148">
        <f t="shared" si="3"/>
        <v>0</v>
      </c>
      <c r="W14" s="148">
        <f t="shared" si="4"/>
        <v>0</v>
      </c>
      <c r="X14" s="148">
        <f t="shared" si="5"/>
        <v>0</v>
      </c>
      <c r="Y14" s="353">
        <f>L14</f>
        <v>0</v>
      </c>
      <c r="Z14" s="353">
        <f>L14</f>
        <v>0</v>
      </c>
      <c r="AA14" s="353">
        <f t="shared" si="6"/>
        <v>0</v>
      </c>
    </row>
    <row r="15" spans="1:34" x14ac:dyDescent="0.25">
      <c r="A15" s="260" t="str">
        <f>PLANTILLA!A7</f>
        <v>#17</v>
      </c>
      <c r="B15" s="609" t="str">
        <f>PLANTILLA!D7</f>
        <v>B. Pinczehelyi</v>
      </c>
      <c r="C15" s="260">
        <f>PLANTILLA!E7</f>
        <v>35</v>
      </c>
      <c r="D15" s="260">
        <f>PLANTILLA!F7</f>
        <v>0</v>
      </c>
      <c r="E15" s="152">
        <f>PLANTILLA!X7</f>
        <v>0</v>
      </c>
      <c r="F15" s="152">
        <f>PLANTILLA!Y7</f>
        <v>14.300000000000004</v>
      </c>
      <c r="G15" s="152">
        <f>PLANTILLA!Z7</f>
        <v>9.3793333333333351</v>
      </c>
      <c r="H15" s="152">
        <f>PLANTILLA!AA7</f>
        <v>13.95</v>
      </c>
      <c r="I15" s="152">
        <f>PLANTILLA!AB7</f>
        <v>8.9499999999999993</v>
      </c>
      <c r="J15" s="152">
        <f>PLANTILLA!AC7</f>
        <v>0</v>
      </c>
      <c r="K15" s="152">
        <f>PLANTILLA!AD7</f>
        <v>11.25</v>
      </c>
      <c r="L15" s="302">
        <f>1/10</f>
        <v>0.1</v>
      </c>
      <c r="M15" s="302"/>
      <c r="N15" s="302">
        <f t="shared" si="0"/>
        <v>1.6666666666666666E-2</v>
      </c>
      <c r="O15" s="152">
        <v>0</v>
      </c>
      <c r="P15" s="148">
        <v>0</v>
      </c>
      <c r="Q15" s="148">
        <v>0</v>
      </c>
      <c r="R15" s="148">
        <v>0</v>
      </c>
      <c r="S15" s="148">
        <v>0</v>
      </c>
      <c r="T15" s="148">
        <f t="shared" si="1"/>
        <v>3.6315909090909093E-2</v>
      </c>
      <c r="U15" s="148">
        <f t="shared" si="2"/>
        <v>2.8304545454545454E-2</v>
      </c>
      <c r="V15" s="148">
        <f t="shared" si="3"/>
        <v>1.9088636363636363E-2</v>
      </c>
      <c r="W15" s="148">
        <f t="shared" si="4"/>
        <v>3.7652272727272729E-2</v>
      </c>
      <c r="X15" s="148">
        <f t="shared" si="5"/>
        <v>2.400227272727273E-2</v>
      </c>
      <c r="Y15" s="353">
        <v>0</v>
      </c>
      <c r="Z15" s="353">
        <v>0</v>
      </c>
      <c r="AA15" s="353">
        <f t="shared" si="6"/>
        <v>0</v>
      </c>
    </row>
    <row r="16" spans="1:34" x14ac:dyDescent="0.25">
      <c r="A16" s="260" t="e">
        <f>PLANTILLA!#REF!</f>
        <v>#REF!</v>
      </c>
      <c r="B16" s="609" t="e">
        <f>PLANTILLA!#REF!</f>
        <v>#REF!</v>
      </c>
      <c r="C16" s="260" t="e">
        <f>PLANTILLA!#REF!</f>
        <v>#REF!</v>
      </c>
      <c r="D16" s="260" t="e">
        <f>PLANTILLA!#REF!</f>
        <v>#REF!</v>
      </c>
      <c r="E16" s="152" t="e">
        <f>PLANTILLA!#REF!</f>
        <v>#REF!</v>
      </c>
      <c r="F16" s="152" t="e">
        <f>PLANTILLA!#REF!</f>
        <v>#REF!</v>
      </c>
      <c r="G16" s="152" t="e">
        <f>PLANTILLA!#REF!</f>
        <v>#REF!</v>
      </c>
      <c r="H16" s="152" t="e">
        <f>PLANTILLA!#REF!</f>
        <v>#REF!</v>
      </c>
      <c r="I16" s="152" t="e">
        <f>PLANTILLA!#REF!</f>
        <v>#REF!</v>
      </c>
      <c r="J16" s="152" t="e">
        <f>PLANTILLA!#REF!</f>
        <v>#REF!</v>
      </c>
      <c r="K16" s="152" t="e">
        <f>PLANTILLA!#REF!</f>
        <v>#REF!</v>
      </c>
      <c r="L16" s="302">
        <f>1/8</f>
        <v>0.125</v>
      </c>
      <c r="M16" s="302"/>
      <c r="N16" s="302">
        <f t="shared" si="0"/>
        <v>2.0833333333333332E-2</v>
      </c>
      <c r="O16" s="152">
        <v>0</v>
      </c>
      <c r="P16" s="148">
        <v>0</v>
      </c>
      <c r="Q16" s="148">
        <v>0</v>
      </c>
      <c r="R16" s="148">
        <v>0</v>
      </c>
      <c r="S16" s="148">
        <v>0</v>
      </c>
      <c r="T16" s="148">
        <f t="shared" si="1"/>
        <v>4.5394886363636359E-2</v>
      </c>
      <c r="U16" s="148">
        <f t="shared" si="2"/>
        <v>3.5380681818181818E-2</v>
      </c>
      <c r="V16" s="148">
        <f t="shared" si="3"/>
        <v>2.3860795454545454E-2</v>
      </c>
      <c r="W16" s="148">
        <f>L16*(0.19*0.543+0.25*0.324)/(0.19+0.25)</f>
        <v>5.232102272727273E-2</v>
      </c>
      <c r="X16" s="148">
        <f t="shared" si="5"/>
        <v>3.0002840909090913E-2</v>
      </c>
      <c r="Y16" s="353">
        <v>0</v>
      </c>
      <c r="Z16" s="353">
        <v>0</v>
      </c>
      <c r="AA16" s="353">
        <f t="shared" si="6"/>
        <v>0</v>
      </c>
    </row>
    <row r="17" spans="1:27" x14ac:dyDescent="0.25">
      <c r="A17" s="260" t="str">
        <f>PLANTILLA!A8</f>
        <v>#2</v>
      </c>
      <c r="B17" s="609" t="str">
        <f>PLANTILLA!D8</f>
        <v>E. Toney</v>
      </c>
      <c r="C17" s="260">
        <f>PLANTILLA!E8</f>
        <v>36</v>
      </c>
      <c r="D17" s="260">
        <f ca="1">PLANTILLA!F8</f>
        <v>3</v>
      </c>
      <c r="E17" s="152">
        <f>PLANTILLA!X8</f>
        <v>0</v>
      </c>
      <c r="F17" s="152">
        <f>PLANTILLA!Y8</f>
        <v>11.95</v>
      </c>
      <c r="G17" s="152">
        <f>PLANTILLA!Z8</f>
        <v>12.95</v>
      </c>
      <c r="H17" s="152">
        <f>PLANTILLA!AA8</f>
        <v>8.9499999999999993</v>
      </c>
      <c r="I17" s="152">
        <f>PLANTILLA!AB8</f>
        <v>8.9499999999999993</v>
      </c>
      <c r="J17" s="152">
        <f>PLANTILLA!AC8</f>
        <v>1.95</v>
      </c>
      <c r="K17" s="152">
        <f>PLANTILLA!AD8</f>
        <v>17.177777777777774</v>
      </c>
      <c r="L17" s="302">
        <f>1/11</f>
        <v>9.0909090909090912E-2</v>
      </c>
      <c r="M17" s="302"/>
      <c r="N17" s="302">
        <f t="shared" si="0"/>
        <v>1.5151515151515152E-2</v>
      </c>
      <c r="O17" s="152">
        <v>0</v>
      </c>
      <c r="P17" s="148">
        <v>0</v>
      </c>
      <c r="Q17" s="148">
        <v>0</v>
      </c>
      <c r="R17" s="148">
        <v>0</v>
      </c>
      <c r="S17" s="148">
        <v>0</v>
      </c>
      <c r="T17" s="148">
        <f t="shared" si="1"/>
        <v>3.3014462809917357E-2</v>
      </c>
      <c r="U17" s="148">
        <f t="shared" si="2"/>
        <v>2.5731404958677685E-2</v>
      </c>
      <c r="V17" s="148">
        <f t="shared" si="3"/>
        <v>1.7353305785123965E-2</v>
      </c>
      <c r="W17" s="148">
        <f>L17*(0.19*0.543+0.25*0.324)/(0.19+0.25)</f>
        <v>3.8051652892561988E-2</v>
      </c>
      <c r="X17" s="148">
        <f t="shared" si="5"/>
        <v>2.1820247933884301E-2</v>
      </c>
      <c r="Y17" s="353">
        <f>S17</f>
        <v>0</v>
      </c>
      <c r="Z17" s="353">
        <f>S17</f>
        <v>0</v>
      </c>
      <c r="AA17" s="353">
        <f t="shared" si="6"/>
        <v>0</v>
      </c>
    </row>
    <row r="18" spans="1:27" x14ac:dyDescent="0.25">
      <c r="A18" s="260" t="str">
        <f>PLANTILLA!A16</f>
        <v>#12</v>
      </c>
      <c r="B18" s="609" t="str">
        <f>PLANTILLA!D16</f>
        <v>E. Gross</v>
      </c>
      <c r="C18" s="260">
        <f>PLANTILLA!E16</f>
        <v>35</v>
      </c>
      <c r="D18" s="260">
        <f ca="1">PLANTILLA!F16</f>
        <v>64</v>
      </c>
      <c r="E18" s="152">
        <f>PLANTILLA!X16</f>
        <v>0</v>
      </c>
      <c r="F18" s="152">
        <f>PLANTILLA!Y16</f>
        <v>10.549999999999995</v>
      </c>
      <c r="G18" s="152">
        <f>PLANTILLA!Z16</f>
        <v>12.95</v>
      </c>
      <c r="H18" s="152">
        <f>PLANTILLA!AA16</f>
        <v>4.95</v>
      </c>
      <c r="I18" s="152">
        <f>PLANTILLA!AB16</f>
        <v>8.9499999999999993</v>
      </c>
      <c r="J18" s="152">
        <f>PLANTILLA!AC16</f>
        <v>0.95</v>
      </c>
      <c r="K18" s="152">
        <f>PLANTILLA!AD16</f>
        <v>17.3</v>
      </c>
      <c r="L18" s="302">
        <f>1/10</f>
        <v>0.1</v>
      </c>
      <c r="M18" s="302"/>
      <c r="N18" s="302">
        <f t="shared" si="0"/>
        <v>1.6666666666666666E-2</v>
      </c>
      <c r="O18" s="152">
        <v>0</v>
      </c>
      <c r="P18" s="148">
        <v>0</v>
      </c>
      <c r="Q18" s="148">
        <v>0</v>
      </c>
      <c r="R18" s="148">
        <v>0</v>
      </c>
      <c r="S18" s="148">
        <v>0</v>
      </c>
      <c r="T18" s="148">
        <f t="shared" si="1"/>
        <v>3.6315909090909093E-2</v>
      </c>
      <c r="U18" s="148">
        <f t="shared" si="2"/>
        <v>2.8304545454545454E-2</v>
      </c>
      <c r="V18" s="148">
        <f t="shared" si="3"/>
        <v>1.9088636363636363E-2</v>
      </c>
      <c r="W18" s="148">
        <f>L18*(0.19*0.543+0.25*0.25)/(0.19+0.25)</f>
        <v>3.7652272727272729E-2</v>
      </c>
      <c r="X18" s="148">
        <f t="shared" si="5"/>
        <v>2.400227272727273E-2</v>
      </c>
      <c r="Y18" s="353">
        <v>0</v>
      </c>
      <c r="Z18" s="353">
        <v>0</v>
      </c>
      <c r="AA18" s="353">
        <f t="shared" si="6"/>
        <v>0</v>
      </c>
    </row>
    <row r="19" spans="1:27" x14ac:dyDescent="0.25">
      <c r="A19" s="260" t="str">
        <f>PLANTILLA!A9</f>
        <v>#3</v>
      </c>
      <c r="B19" s="609" t="str">
        <f>PLANTILLA!D9</f>
        <v>B. Bartolache</v>
      </c>
      <c r="C19" s="260">
        <f>PLANTILLA!E9</f>
        <v>35</v>
      </c>
      <c r="D19" s="260">
        <f ca="1">PLANTILLA!F9</f>
        <v>100</v>
      </c>
      <c r="E19" s="152">
        <f>PLANTILLA!X9</f>
        <v>0</v>
      </c>
      <c r="F19" s="152">
        <f>PLANTILLA!Y9</f>
        <v>11.95</v>
      </c>
      <c r="G19" s="152">
        <f>PLANTILLA!Z9</f>
        <v>5.95</v>
      </c>
      <c r="H19" s="152">
        <f>PLANTILLA!AA9</f>
        <v>6.95</v>
      </c>
      <c r="I19" s="152">
        <f>PLANTILLA!AB9</f>
        <v>7.95</v>
      </c>
      <c r="J19" s="152">
        <f>PLANTILLA!AC9</f>
        <v>2.95</v>
      </c>
      <c r="K19" s="152">
        <f>PLANTILLA!AD9</f>
        <v>16</v>
      </c>
      <c r="L19" s="302">
        <f>1/10</f>
        <v>0.1</v>
      </c>
      <c r="M19" s="302"/>
      <c r="N19" s="302">
        <f t="shared" si="0"/>
        <v>1.6666666666666666E-2</v>
      </c>
      <c r="O19" s="152">
        <v>0</v>
      </c>
      <c r="P19" s="148">
        <v>0</v>
      </c>
      <c r="Q19" s="148">
        <v>0</v>
      </c>
      <c r="R19" s="148">
        <v>0</v>
      </c>
      <c r="S19" s="148">
        <v>0</v>
      </c>
      <c r="T19" s="148">
        <f t="shared" si="1"/>
        <v>3.6315909090909093E-2</v>
      </c>
      <c r="U19" s="148">
        <f t="shared" si="2"/>
        <v>2.8304545454545454E-2</v>
      </c>
      <c r="V19" s="148">
        <f t="shared" si="3"/>
        <v>1.9088636363636363E-2</v>
      </c>
      <c r="W19" s="148">
        <f>L19*(0.19*0.543+0.25*0.324)/(0.19+0.25)</f>
        <v>4.1856818181818183E-2</v>
      </c>
      <c r="X19" s="148">
        <f t="shared" si="5"/>
        <v>2.400227272727273E-2</v>
      </c>
      <c r="Y19" s="353">
        <v>0</v>
      </c>
      <c r="Z19" s="353">
        <f>S19</f>
        <v>0</v>
      </c>
      <c r="AA19" s="353">
        <f t="shared" si="6"/>
        <v>0</v>
      </c>
    </row>
    <row r="20" spans="1:27" x14ac:dyDescent="0.25">
      <c r="A20" s="260" t="str">
        <f>PLANTILLA!A6</f>
        <v>#16</v>
      </c>
      <c r="B20" s="260" t="str">
        <f>PLANTILLA!D6</f>
        <v>T. Hammond</v>
      </c>
      <c r="C20" s="260">
        <f>PLANTILLA!E6</f>
        <v>39</v>
      </c>
      <c r="D20" s="260">
        <f ca="1">PLANTILLA!F6</f>
        <v>1</v>
      </c>
      <c r="E20" s="152">
        <f>PLANTILLA!X6</f>
        <v>7.95</v>
      </c>
      <c r="F20" s="152">
        <f>PLANTILLA!Y6</f>
        <v>7.95</v>
      </c>
      <c r="G20" s="152">
        <f>PLANTILLA!Z6</f>
        <v>0.95</v>
      </c>
      <c r="H20" s="152">
        <f>PLANTILLA!AA6</f>
        <v>0.95</v>
      </c>
      <c r="I20" s="152">
        <f>PLANTILLA!AB6</f>
        <v>1.95</v>
      </c>
      <c r="J20" s="152">
        <f>PLANTILLA!AC6</f>
        <v>0</v>
      </c>
      <c r="K20" s="152">
        <f>PLANTILLA!AD6</f>
        <v>14.95</v>
      </c>
      <c r="L20" s="302"/>
      <c r="M20" s="302"/>
      <c r="N20" s="302">
        <f t="shared" si="0"/>
        <v>0</v>
      </c>
      <c r="O20" s="152">
        <v>0</v>
      </c>
      <c r="P20" s="148">
        <v>0</v>
      </c>
      <c r="Q20" s="148">
        <v>0</v>
      </c>
      <c r="R20" s="148">
        <v>0</v>
      </c>
      <c r="S20" s="148">
        <v>0</v>
      </c>
      <c r="T20" s="148">
        <f t="shared" si="1"/>
        <v>0</v>
      </c>
      <c r="U20" s="148">
        <f t="shared" si="2"/>
        <v>0</v>
      </c>
      <c r="V20" s="148">
        <f t="shared" si="3"/>
        <v>0</v>
      </c>
      <c r="W20" s="148">
        <f>L20*(0.19*0.543+0.25*0.25)/(0.19+0.25)</f>
        <v>0</v>
      </c>
      <c r="X20" s="148">
        <f t="shared" si="5"/>
        <v>0</v>
      </c>
      <c r="Y20" s="353"/>
      <c r="Z20" s="353"/>
      <c r="AA20" s="353">
        <f t="shared" si="6"/>
        <v>0</v>
      </c>
    </row>
    <row r="21" spans="1:27" x14ac:dyDescent="0.25">
      <c r="A21" s="260" t="str">
        <f>PLANTILLA!A10</f>
        <v>#13</v>
      </c>
      <c r="B21" s="260" t="str">
        <f>PLANTILLA!D10</f>
        <v>F. Lasprilla</v>
      </c>
      <c r="C21" s="260">
        <f>PLANTILLA!E10</f>
        <v>32</v>
      </c>
      <c r="D21" s="260">
        <f ca="1">PLANTILLA!F10</f>
        <v>11</v>
      </c>
      <c r="E21" s="152">
        <f>PLANTILLA!X10</f>
        <v>0</v>
      </c>
      <c r="F21" s="152">
        <f>PLANTILLA!Y10</f>
        <v>9.6046666666666667</v>
      </c>
      <c r="G21" s="152">
        <f>PLANTILLA!Z10</f>
        <v>7.7607222222222223</v>
      </c>
      <c r="H21" s="152">
        <f>PLANTILLA!AA10</f>
        <v>6.1599999999999984</v>
      </c>
      <c r="I21" s="152">
        <f>PLANTILLA!AB10</f>
        <v>8.8633333333333315</v>
      </c>
      <c r="J21" s="152">
        <f>PLANTILLA!AC10</f>
        <v>2.95</v>
      </c>
      <c r="K21" s="152">
        <f>PLANTILLA!AD10</f>
        <v>13.33611111111111</v>
      </c>
      <c r="L21" s="302"/>
      <c r="M21" s="302"/>
      <c r="N21" s="302">
        <f t="shared" si="0"/>
        <v>0</v>
      </c>
      <c r="O21" s="152">
        <v>0</v>
      </c>
      <c r="P21" s="148">
        <v>0</v>
      </c>
      <c r="Q21" s="148">
        <v>0</v>
      </c>
      <c r="R21" s="148">
        <v>0</v>
      </c>
      <c r="S21" s="148">
        <v>0</v>
      </c>
      <c r="T21" s="148">
        <f t="shared" si="1"/>
        <v>0</v>
      </c>
      <c r="U21" s="148">
        <f t="shared" si="2"/>
        <v>0</v>
      </c>
      <c r="V21" s="148">
        <f t="shared" si="3"/>
        <v>0</v>
      </c>
      <c r="W21" s="148">
        <f>L21*(0.19*0.543+0.25*0.25)/(0.19+0.25)</f>
        <v>0</v>
      </c>
      <c r="X21" s="148">
        <f t="shared" si="5"/>
        <v>0</v>
      </c>
      <c r="Y21" s="353"/>
      <c r="Z21" s="353"/>
      <c r="AA21" s="353">
        <f t="shared" si="6"/>
        <v>0</v>
      </c>
    </row>
    <row r="22" spans="1:27" x14ac:dyDescent="0.25">
      <c r="A22" s="260" t="str">
        <f>PLANTILLA!A18</f>
        <v>#14</v>
      </c>
      <c r="B22" s="260" t="str">
        <f>PLANTILLA!D18</f>
        <v>W. Gelifini</v>
      </c>
      <c r="C22" s="260">
        <f>PLANTILLA!E18</f>
        <v>33</v>
      </c>
      <c r="D22" s="260">
        <f ca="1">PLANTILLA!F18</f>
        <v>101</v>
      </c>
      <c r="E22" s="152">
        <f>PLANTILLA!X18</f>
        <v>0</v>
      </c>
      <c r="F22" s="152">
        <f>PLANTILLA!Y18</f>
        <v>5.6515555555555519</v>
      </c>
      <c r="G22" s="152">
        <f>PLANTILLA!Z18</f>
        <v>9.9499999999999993</v>
      </c>
      <c r="H22" s="152">
        <f>PLANTILLA!AA18</f>
        <v>6.95</v>
      </c>
      <c r="I22" s="152">
        <f>PLANTILLA!AB18</f>
        <v>9.2666666666666639</v>
      </c>
      <c r="J22" s="152">
        <f>PLANTILLA!AC18</f>
        <v>2.95</v>
      </c>
      <c r="K22" s="152">
        <f>PLANTILLA!AD18</f>
        <v>12.847222222222223</v>
      </c>
      <c r="L22" s="302"/>
      <c r="M22" s="302"/>
      <c r="N22" s="302">
        <f t="shared" si="0"/>
        <v>0</v>
      </c>
      <c r="O22" s="152">
        <v>0</v>
      </c>
      <c r="P22" s="148">
        <v>0</v>
      </c>
      <c r="Q22" s="148">
        <v>0</v>
      </c>
      <c r="R22" s="148">
        <v>0</v>
      </c>
      <c r="S22" s="148">
        <v>0</v>
      </c>
      <c r="T22" s="148">
        <f t="shared" si="1"/>
        <v>0</v>
      </c>
      <c r="U22" s="148">
        <f t="shared" si="2"/>
        <v>0</v>
      </c>
      <c r="V22" s="148">
        <f t="shared" si="3"/>
        <v>0</v>
      </c>
      <c r="W22" s="148">
        <f>L22*(0.19*0.543+0.25*0.25)/(0.19+0.25)</f>
        <v>0</v>
      </c>
      <c r="X22" s="148">
        <f t="shared" si="5"/>
        <v>0</v>
      </c>
      <c r="Y22" s="353"/>
      <c r="Z22" s="353"/>
      <c r="AA22" s="353">
        <f t="shared" si="6"/>
        <v>0</v>
      </c>
    </row>
    <row r="23" spans="1:27" x14ac:dyDescent="0.25">
      <c r="A23" s="260" t="e">
        <f>PLANTILLA!#REF!</f>
        <v>#REF!</v>
      </c>
      <c r="B23" s="260" t="e">
        <f>PLANTILLA!#REF!</f>
        <v>#REF!</v>
      </c>
      <c r="C23" s="260" t="e">
        <f>PLANTILLA!#REF!</f>
        <v>#REF!</v>
      </c>
      <c r="D23" s="260"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302"/>
      <c r="M23" s="302"/>
      <c r="N23" s="302">
        <f t="shared" si="0"/>
        <v>0</v>
      </c>
      <c r="O23" s="152">
        <v>0</v>
      </c>
      <c r="P23" s="148">
        <v>0</v>
      </c>
      <c r="Q23" s="148">
        <v>0</v>
      </c>
      <c r="R23" s="148">
        <v>0</v>
      </c>
      <c r="S23" s="148">
        <v>0</v>
      </c>
      <c r="T23" s="148">
        <f t="shared" si="1"/>
        <v>0</v>
      </c>
      <c r="U23" s="148">
        <f t="shared" si="2"/>
        <v>0</v>
      </c>
      <c r="V23" s="148">
        <f t="shared" si="3"/>
        <v>0</v>
      </c>
      <c r="W23" s="148">
        <f>L23*(0.19*0.543+0.25*0.25)/(0.19+0.25)</f>
        <v>0</v>
      </c>
      <c r="X23" s="148">
        <f t="shared" si="5"/>
        <v>0</v>
      </c>
      <c r="Y23" s="353"/>
      <c r="Z23" s="353"/>
      <c r="AA23" s="353">
        <f t="shared" si="6"/>
        <v>0</v>
      </c>
    </row>
    <row r="26" spans="1:27" x14ac:dyDescent="0.25">
      <c r="B26" s="263"/>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559" bestFit="1" customWidth="1"/>
    <col min="13" max="13" width="6.5703125" style="559" customWidth="1"/>
    <col min="14" max="14" width="8.28515625" style="559" bestFit="1" customWidth="1"/>
    <col min="15" max="15" width="4.5703125" style="559"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704</v>
      </c>
      <c r="AD1" t="s">
        <v>705</v>
      </c>
      <c r="AG1" t="s">
        <v>706</v>
      </c>
    </row>
    <row r="2" spans="1:34" x14ac:dyDescent="0.25">
      <c r="B2" s="263">
        <v>43060</v>
      </c>
      <c r="Y2" s="561">
        <f>SUM(Y4:Y22)</f>
        <v>0.35961805555555554</v>
      </c>
      <c r="Z2" s="561">
        <f>SUM(Z4:Z22)</f>
        <v>0.49770896464646464</v>
      </c>
      <c r="AA2" s="561"/>
      <c r="AD2" s="435" t="s">
        <v>251</v>
      </c>
      <c r="AE2" s="435" t="s">
        <v>174</v>
      </c>
      <c r="AG2" s="435" t="s">
        <v>251</v>
      </c>
      <c r="AH2" s="435" t="s">
        <v>174</v>
      </c>
    </row>
    <row r="3" spans="1:34" x14ac:dyDescent="0.25">
      <c r="A3" s="271" t="s">
        <v>736</v>
      </c>
      <c r="B3" s="271" t="str">
        <f>PLANTILLA!D4</f>
        <v>Jugador</v>
      </c>
      <c r="C3" s="271" t="str">
        <f>PLANTILLA!E4</f>
        <v>Anys</v>
      </c>
      <c r="D3" s="271" t="str">
        <f>PLANTILLA!F4</f>
        <v>Dias</v>
      </c>
      <c r="E3" s="271" t="str">
        <f>PLANTILLA!X4</f>
        <v>Po</v>
      </c>
      <c r="F3" s="271" t="str">
        <f>PLANTILLA!Y4</f>
        <v>De</v>
      </c>
      <c r="G3" s="271" t="str">
        <f>PLANTILLA!Z4</f>
        <v>Cr</v>
      </c>
      <c r="H3" s="271" t="str">
        <f>PLANTILLA!AA4</f>
        <v>Ex</v>
      </c>
      <c r="I3" s="271" t="str">
        <f>PLANTILLA!AB4</f>
        <v>Ps</v>
      </c>
      <c r="J3" s="271" t="str">
        <f>PLANTILLA!AC4</f>
        <v>An</v>
      </c>
      <c r="K3" s="271" t="str">
        <f>PLANTILLA!AD4</f>
        <v>PA</v>
      </c>
      <c r="L3" s="554">
        <v>1</v>
      </c>
      <c r="M3" s="554">
        <v>0.5</v>
      </c>
      <c r="N3" s="271" t="s">
        <v>709</v>
      </c>
      <c r="O3" s="556" t="s">
        <v>1</v>
      </c>
      <c r="P3" s="556" t="s">
        <v>674</v>
      </c>
      <c r="Q3" s="555" t="s">
        <v>702</v>
      </c>
      <c r="R3" s="555" t="s">
        <v>708</v>
      </c>
      <c r="S3" s="555" t="s">
        <v>703</v>
      </c>
      <c r="T3" s="555" t="s">
        <v>675</v>
      </c>
      <c r="U3" s="555" t="s">
        <v>427</v>
      </c>
      <c r="V3" s="555" t="s">
        <v>707</v>
      </c>
      <c r="W3" s="556" t="s">
        <v>489</v>
      </c>
      <c r="X3" s="556" t="s">
        <v>66</v>
      </c>
      <c r="Y3" s="558" t="s">
        <v>705</v>
      </c>
      <c r="Z3" s="558" t="s">
        <v>706</v>
      </c>
      <c r="AA3" s="558" t="s">
        <v>711</v>
      </c>
      <c r="AD3" t="s">
        <v>1</v>
      </c>
      <c r="AE3" t="s">
        <v>653</v>
      </c>
      <c r="AG3" t="s">
        <v>1</v>
      </c>
      <c r="AH3" t="s">
        <v>653</v>
      </c>
    </row>
    <row r="4" spans="1:34" x14ac:dyDescent="0.25">
      <c r="A4" s="260" t="e">
        <f>PLANTILLA!#REF!</f>
        <v>#REF!</v>
      </c>
      <c r="B4" s="609" t="e">
        <f>PLANTILLA!#REF!</f>
        <v>#REF!</v>
      </c>
      <c r="C4" s="260" t="e">
        <f>PLANTILLA!#REF!</f>
        <v>#REF!</v>
      </c>
      <c r="D4" s="260" t="e">
        <f>PLANTILLA!#REF!</f>
        <v>#REF!</v>
      </c>
      <c r="E4" s="152" t="e">
        <f>PLANTILLA!#REF!</f>
        <v>#REF!</v>
      </c>
      <c r="F4" s="152" t="e">
        <f>PLANTILLA!#REF!</f>
        <v>#REF!</v>
      </c>
      <c r="G4" s="152" t="e">
        <f>PLANTILLA!#REF!</f>
        <v>#REF!</v>
      </c>
      <c r="H4" s="152" t="e">
        <f>PLANTILLA!#REF!</f>
        <v>#REF!</v>
      </c>
      <c r="I4" s="152" t="e">
        <f>PLANTILLA!#REF!</f>
        <v>#REF!</v>
      </c>
      <c r="J4" s="152" t="e">
        <f>PLANTILLA!#REF!</f>
        <v>#REF!</v>
      </c>
      <c r="K4" s="152" t="e">
        <f>PLANTILLA!#REF!</f>
        <v>#REF!</v>
      </c>
      <c r="L4" s="302">
        <f>1/4</f>
        <v>0.25</v>
      </c>
      <c r="M4" s="302">
        <f t="shared" ref="M4:M23" si="0">L4/2</f>
        <v>0.125</v>
      </c>
      <c r="N4" s="302">
        <f t="shared" ref="N4:N23" si="1">L4/8</f>
        <v>3.125E-2</v>
      </c>
      <c r="O4" s="152">
        <v>0</v>
      </c>
      <c r="P4" s="148">
        <v>0</v>
      </c>
      <c r="Q4" s="148">
        <v>0</v>
      </c>
      <c r="R4" s="148">
        <f t="shared" ref="R4:R23" si="2">L4*0.286</f>
        <v>7.1499999999999994E-2</v>
      </c>
      <c r="S4" s="148">
        <f t="shared" ref="S4:S23" si="3">L4*(0.588*0.25+0.19*0)/(0.25+0.19)</f>
        <v>8.3522727272727262E-2</v>
      </c>
      <c r="T4" s="148">
        <v>0</v>
      </c>
      <c r="U4" s="148">
        <f t="shared" ref="U4:U23" si="4">L4*(0.574*0.25+0.19*0)/(0.25+0.19)</f>
        <v>8.1534090909090903E-2</v>
      </c>
      <c r="V4" s="148">
        <f t="shared" ref="V4:V23" si="5">L4*(0.864*0.25+0.19*0)/(0.25+0.19)</f>
        <v>0.12272727272727273</v>
      </c>
      <c r="W4" s="148">
        <f t="shared" ref="W4:W23" si="6">L4*(0.144*0.25+0.19*0)/(0.25+0.19)</f>
        <v>2.0454545454545454E-2</v>
      </c>
      <c r="X4" s="148">
        <f t="shared" ref="X4:X23" si="7">L4*(0.221*0.25+0.19*0)/(0.25+0.19)</f>
        <v>3.1392045454545457E-2</v>
      </c>
      <c r="Y4" s="353"/>
      <c r="Z4" s="353">
        <f>R4</f>
        <v>7.1499999999999994E-2</v>
      </c>
      <c r="AA4" s="353">
        <f t="shared" ref="AA4:AA23" si="8">MAX(Z4,Y4)</f>
        <v>7.1499999999999994E-2</v>
      </c>
      <c r="AD4" t="s">
        <v>673</v>
      </c>
      <c r="AE4" s="575" t="s">
        <v>724</v>
      </c>
      <c r="AG4" t="s">
        <v>673</v>
      </c>
      <c r="AH4" s="575" t="str">
        <f>AE4</f>
        <v>B. Pinczehelyi</v>
      </c>
    </row>
    <row r="5" spans="1:34" x14ac:dyDescent="0.25">
      <c r="A5" s="260" t="str">
        <f>PLANTILLA!A9</f>
        <v>#3</v>
      </c>
      <c r="B5" s="609" t="str">
        <f>PLANTILLA!D9</f>
        <v>B. Bartolache</v>
      </c>
      <c r="C5" s="260">
        <f>PLANTILLA!E9</f>
        <v>35</v>
      </c>
      <c r="D5" s="260">
        <f ca="1">PLANTILLA!F9</f>
        <v>100</v>
      </c>
      <c r="E5" s="152">
        <f>PLANTILLA!X9</f>
        <v>0</v>
      </c>
      <c r="F5" s="152">
        <f>PLANTILLA!Y9</f>
        <v>11.95</v>
      </c>
      <c r="G5" s="152">
        <f>PLANTILLA!Z9</f>
        <v>5.95</v>
      </c>
      <c r="H5" s="152">
        <f>PLANTILLA!AA9</f>
        <v>6.95</v>
      </c>
      <c r="I5" s="152">
        <f>PLANTILLA!AB9</f>
        <v>7.95</v>
      </c>
      <c r="J5" s="152">
        <f>PLANTILLA!AC9</f>
        <v>2.95</v>
      </c>
      <c r="K5" s="152">
        <f>PLANTILLA!AD9</f>
        <v>16</v>
      </c>
      <c r="L5" s="302">
        <f>1/6</f>
        <v>0.16666666666666666</v>
      </c>
      <c r="M5" s="302">
        <f t="shared" si="0"/>
        <v>8.3333333333333329E-2</v>
      </c>
      <c r="N5" s="302">
        <f t="shared" si="1"/>
        <v>2.0833333333333332E-2</v>
      </c>
      <c r="O5" s="152">
        <v>0</v>
      </c>
      <c r="P5" s="148">
        <v>0</v>
      </c>
      <c r="Q5" s="148">
        <v>0</v>
      </c>
      <c r="R5" s="148">
        <f t="shared" si="2"/>
        <v>4.7666666666666663E-2</v>
      </c>
      <c r="S5" s="148">
        <f t="shared" si="3"/>
        <v>5.5681818181818173E-2</v>
      </c>
      <c r="T5" s="148">
        <v>0</v>
      </c>
      <c r="U5" s="148">
        <f t="shared" si="4"/>
        <v>5.4356060606060595E-2</v>
      </c>
      <c r="V5" s="148">
        <f t="shared" si="5"/>
        <v>8.1818181818181818E-2</v>
      </c>
      <c r="W5" s="148">
        <f t="shared" si="6"/>
        <v>1.3636363636363634E-2</v>
      </c>
      <c r="X5" s="148">
        <f t="shared" si="7"/>
        <v>2.0928030303030299E-2</v>
      </c>
      <c r="Y5" s="353"/>
      <c r="Z5" s="353">
        <f>S5</f>
        <v>5.5681818181818173E-2</v>
      </c>
      <c r="AA5" s="353">
        <f t="shared" si="8"/>
        <v>5.5681818181818173E-2</v>
      </c>
      <c r="AD5" t="s">
        <v>674</v>
      </c>
      <c r="AE5" t="s">
        <v>247</v>
      </c>
      <c r="AG5" t="s">
        <v>685</v>
      </c>
      <c r="AH5" t="s">
        <v>248</v>
      </c>
    </row>
    <row r="6" spans="1:34" x14ac:dyDescent="0.25">
      <c r="A6" s="260" t="str">
        <f>PLANTILLA!A13</f>
        <v>#10</v>
      </c>
      <c r="B6" s="609" t="str">
        <f>PLANTILLA!D13</f>
        <v>S. Zobbe</v>
      </c>
      <c r="C6" s="260">
        <f>PLANTILLA!E13</f>
        <v>32</v>
      </c>
      <c r="D6" s="260">
        <f ca="1">PLANTILLA!F13</f>
        <v>39</v>
      </c>
      <c r="E6" s="152">
        <f>PLANTILLA!X13</f>
        <v>0</v>
      </c>
      <c r="F6" s="152">
        <f>PLANTILLA!Y13</f>
        <v>8.3599999999999977</v>
      </c>
      <c r="G6" s="152">
        <f>PLANTILLA!Z13</f>
        <v>12.253412698412699</v>
      </c>
      <c r="H6" s="152">
        <f>PLANTILLA!AA13</f>
        <v>12.95</v>
      </c>
      <c r="I6" s="152">
        <f>PLANTILLA!AB13</f>
        <v>10.24</v>
      </c>
      <c r="J6" s="152">
        <f>PLANTILLA!AC13</f>
        <v>6.95</v>
      </c>
      <c r="K6" s="152">
        <f>PLANTILLA!AD13</f>
        <v>16</v>
      </c>
      <c r="L6" s="302">
        <f>1/9</f>
        <v>0.1111111111111111</v>
      </c>
      <c r="M6" s="302">
        <f t="shared" si="0"/>
        <v>5.5555555555555552E-2</v>
      </c>
      <c r="N6" s="302">
        <f t="shared" si="1"/>
        <v>1.3888888888888888E-2</v>
      </c>
      <c r="O6" s="152">
        <v>0</v>
      </c>
      <c r="P6" s="148">
        <v>0</v>
      </c>
      <c r="Q6" s="148">
        <v>0</v>
      </c>
      <c r="R6" s="148">
        <f t="shared" si="2"/>
        <v>3.1777777777777773E-2</v>
      </c>
      <c r="S6" s="148">
        <f t="shared" si="3"/>
        <v>3.7121212121212117E-2</v>
      </c>
      <c r="T6" s="148">
        <v>0</v>
      </c>
      <c r="U6" s="148">
        <f t="shared" si="4"/>
        <v>3.6237373737373728E-2</v>
      </c>
      <c r="V6" s="148">
        <f t="shared" si="5"/>
        <v>5.4545454545454536E-2</v>
      </c>
      <c r="W6" s="148">
        <f t="shared" si="6"/>
        <v>9.0909090909090887E-3</v>
      </c>
      <c r="X6" s="148">
        <f t="shared" si="7"/>
        <v>1.39520202020202E-2</v>
      </c>
      <c r="Y6" s="353">
        <f>V6</f>
        <v>5.4545454545454536E-2</v>
      </c>
      <c r="Z6" s="353">
        <f>V6</f>
        <v>5.4545454545454536E-2</v>
      </c>
      <c r="AA6" s="353">
        <f t="shared" si="8"/>
        <v>5.4545454545454536E-2</v>
      </c>
      <c r="AD6" t="s">
        <v>673</v>
      </c>
      <c r="AE6" t="s">
        <v>244</v>
      </c>
      <c r="AG6" t="s">
        <v>684</v>
      </c>
      <c r="AH6" t="s">
        <v>244</v>
      </c>
    </row>
    <row r="7" spans="1:34" x14ac:dyDescent="0.25">
      <c r="A7" s="260" t="str">
        <f>PLANTILLA!A8</f>
        <v>#2</v>
      </c>
      <c r="B7" s="609" t="str">
        <f>PLANTILLA!D8</f>
        <v>E. Toney</v>
      </c>
      <c r="C7" s="260">
        <f>PLANTILLA!E8</f>
        <v>36</v>
      </c>
      <c r="D7" s="260">
        <f ca="1">PLANTILLA!F8</f>
        <v>3</v>
      </c>
      <c r="E7" s="152">
        <f>PLANTILLA!X8</f>
        <v>0</v>
      </c>
      <c r="F7" s="152">
        <f>PLANTILLA!Y8</f>
        <v>11.95</v>
      </c>
      <c r="G7" s="152">
        <f>PLANTILLA!Z8</f>
        <v>12.95</v>
      </c>
      <c r="H7" s="152">
        <f>PLANTILLA!AA8</f>
        <v>8.9499999999999993</v>
      </c>
      <c r="I7" s="152">
        <f>PLANTILLA!AB8</f>
        <v>8.9499999999999993</v>
      </c>
      <c r="J7" s="152">
        <f>PLANTILLA!AC8</f>
        <v>1.95</v>
      </c>
      <c r="K7" s="152">
        <f>PLANTILLA!AD8</f>
        <v>17.177777777777774</v>
      </c>
      <c r="L7" s="302">
        <f>1/7</f>
        <v>0.14285714285714285</v>
      </c>
      <c r="M7" s="302">
        <f t="shared" si="0"/>
        <v>7.1428571428571425E-2</v>
      </c>
      <c r="N7" s="302">
        <f t="shared" si="1"/>
        <v>1.7857142857142856E-2</v>
      </c>
      <c r="O7" s="152">
        <v>0</v>
      </c>
      <c r="P7" s="148">
        <v>0</v>
      </c>
      <c r="Q7" s="148">
        <v>0</v>
      </c>
      <c r="R7" s="148">
        <f t="shared" si="2"/>
        <v>4.0857142857142849E-2</v>
      </c>
      <c r="S7" s="148">
        <f t="shared" si="3"/>
        <v>4.7727272727272722E-2</v>
      </c>
      <c r="T7" s="148">
        <v>0</v>
      </c>
      <c r="U7" s="148">
        <f t="shared" si="4"/>
        <v>4.6590909090909086E-2</v>
      </c>
      <c r="V7" s="148">
        <f t="shared" si="5"/>
        <v>7.0129870129870125E-2</v>
      </c>
      <c r="W7" s="148">
        <f t="shared" si="6"/>
        <v>1.1688311688311687E-2</v>
      </c>
      <c r="X7" s="148">
        <f t="shared" si="7"/>
        <v>1.7938311688311687E-2</v>
      </c>
      <c r="Y7" s="353">
        <f>S7</f>
        <v>4.7727272727272722E-2</v>
      </c>
      <c r="Z7" s="353">
        <f>S7</f>
        <v>4.7727272727272722E-2</v>
      </c>
      <c r="AA7" s="353">
        <f t="shared" si="8"/>
        <v>4.7727272727272722E-2</v>
      </c>
      <c r="AD7" t="s">
        <v>427</v>
      </c>
      <c r="AE7" t="s">
        <v>503</v>
      </c>
      <c r="AG7" t="s">
        <v>685</v>
      </c>
      <c r="AH7" t="s">
        <v>250</v>
      </c>
    </row>
    <row r="8" spans="1:34" x14ac:dyDescent="0.25">
      <c r="A8" s="260" t="str">
        <f>PLANTILLA!A11</f>
        <v>#7</v>
      </c>
      <c r="B8" s="610" t="str">
        <f>PLANTILLA!D11</f>
        <v>E. Romweber</v>
      </c>
      <c r="C8" s="260">
        <f>PLANTILLA!E11</f>
        <v>35</v>
      </c>
      <c r="D8" s="260">
        <f ca="1">PLANTILLA!F11</f>
        <v>77</v>
      </c>
      <c r="E8" s="152">
        <f>PLANTILLA!X11</f>
        <v>0</v>
      </c>
      <c r="F8" s="152">
        <f>PLANTILLA!Y11</f>
        <v>11.95</v>
      </c>
      <c r="G8" s="152">
        <f>PLANTILLA!Z11</f>
        <v>12.614111111111114</v>
      </c>
      <c r="H8" s="152">
        <f>PLANTILLA!AA11</f>
        <v>12.95</v>
      </c>
      <c r="I8" s="152">
        <f>PLANTILLA!AB11</f>
        <v>10.95</v>
      </c>
      <c r="J8" s="152">
        <f>PLANTILLA!AC11</f>
        <v>5.95</v>
      </c>
      <c r="K8" s="152">
        <f>PLANTILLA!AD11</f>
        <v>17.529999999999998</v>
      </c>
      <c r="L8" s="302">
        <f>1/12</f>
        <v>8.3333333333333329E-2</v>
      </c>
      <c r="M8" s="302">
        <f t="shared" si="0"/>
        <v>4.1666666666666664E-2</v>
      </c>
      <c r="N8" s="302">
        <f t="shared" si="1"/>
        <v>1.0416666666666666E-2</v>
      </c>
      <c r="O8" s="152">
        <v>0</v>
      </c>
      <c r="P8" s="148">
        <v>0</v>
      </c>
      <c r="Q8" s="148">
        <v>0</v>
      </c>
      <c r="R8" s="148">
        <f t="shared" si="2"/>
        <v>2.3833333333333331E-2</v>
      </c>
      <c r="S8" s="148">
        <f t="shared" si="3"/>
        <v>2.7840909090909086E-2</v>
      </c>
      <c r="T8" s="148">
        <v>0</v>
      </c>
      <c r="U8" s="148">
        <f t="shared" si="4"/>
        <v>2.7178030303030298E-2</v>
      </c>
      <c r="V8" s="148">
        <f t="shared" si="5"/>
        <v>4.0909090909090909E-2</v>
      </c>
      <c r="W8" s="148">
        <f t="shared" si="6"/>
        <v>6.818181818181817E-3</v>
      </c>
      <c r="X8" s="148">
        <f t="shared" si="7"/>
        <v>1.046401515151515E-2</v>
      </c>
      <c r="Y8" s="353">
        <f>V8</f>
        <v>4.0909090909090909E-2</v>
      </c>
      <c r="Z8" s="353">
        <f>V8</f>
        <v>4.0909090909090909E-2</v>
      </c>
      <c r="AA8" s="353">
        <f t="shared" si="8"/>
        <v>4.0909090909090909E-2</v>
      </c>
      <c r="AD8" t="s">
        <v>675</v>
      </c>
      <c r="AE8" t="s">
        <v>349</v>
      </c>
      <c r="AG8" t="s">
        <v>673</v>
      </c>
      <c r="AH8" t="s">
        <v>686</v>
      </c>
    </row>
    <row r="9" spans="1:34" x14ac:dyDescent="0.25">
      <c r="A9" s="260" t="str">
        <f>PLANTILLA!A12</f>
        <v>#11</v>
      </c>
      <c r="B9" s="610" t="str">
        <f>PLANTILLA!D12</f>
        <v>K. Helms</v>
      </c>
      <c r="C9" s="260">
        <f>PLANTILLA!E12</f>
        <v>35</v>
      </c>
      <c r="D9" s="260">
        <f ca="1">PLANTILLA!F12</f>
        <v>24</v>
      </c>
      <c r="E9" s="152">
        <f>PLANTILLA!X12</f>
        <v>0</v>
      </c>
      <c r="F9" s="152">
        <f>PLANTILLA!Y12</f>
        <v>7.2503030303030309</v>
      </c>
      <c r="G9" s="152">
        <f>PLANTILLA!Z12</f>
        <v>10.600000000000005</v>
      </c>
      <c r="H9" s="152">
        <f>PLANTILLA!AA12</f>
        <v>13.471666666666668</v>
      </c>
      <c r="I9" s="152">
        <f>PLANTILLA!AB12</f>
        <v>9.9499999999999993</v>
      </c>
      <c r="J9" s="152">
        <f>PLANTILLA!AC12</f>
        <v>3.95</v>
      </c>
      <c r="K9" s="152">
        <f>PLANTILLA!AD12</f>
        <v>18</v>
      </c>
      <c r="L9" s="302">
        <f>1/12</f>
        <v>8.3333333333333329E-2</v>
      </c>
      <c r="M9" s="302">
        <f t="shared" si="0"/>
        <v>4.1666666666666664E-2</v>
      </c>
      <c r="N9" s="302">
        <f t="shared" si="1"/>
        <v>1.0416666666666666E-2</v>
      </c>
      <c r="O9" s="152">
        <v>0</v>
      </c>
      <c r="P9" s="148">
        <v>0</v>
      </c>
      <c r="Q9" s="148">
        <v>0</v>
      </c>
      <c r="R9" s="148">
        <f t="shared" si="2"/>
        <v>2.3833333333333331E-2</v>
      </c>
      <c r="S9" s="148">
        <f t="shared" si="3"/>
        <v>2.7840909090909086E-2</v>
      </c>
      <c r="T9" s="148">
        <v>0</v>
      </c>
      <c r="U9" s="148">
        <f t="shared" si="4"/>
        <v>2.7178030303030298E-2</v>
      </c>
      <c r="V9" s="148">
        <f t="shared" si="5"/>
        <v>4.0909090909090909E-2</v>
      </c>
      <c r="W9" s="148">
        <f t="shared" si="6"/>
        <v>6.818181818181817E-3</v>
      </c>
      <c r="X9" s="148">
        <f t="shared" si="7"/>
        <v>1.046401515151515E-2</v>
      </c>
      <c r="Y9" s="353">
        <f>V9</f>
        <v>4.0909090909090909E-2</v>
      </c>
      <c r="Z9" s="353">
        <f>V9</f>
        <v>4.0909090909090909E-2</v>
      </c>
      <c r="AA9" s="353">
        <f t="shared" si="8"/>
        <v>4.0909090909090909E-2</v>
      </c>
      <c r="AD9" t="s">
        <v>427</v>
      </c>
      <c r="AE9" t="s">
        <v>252</v>
      </c>
      <c r="AG9" t="s">
        <v>427</v>
      </c>
      <c r="AH9" t="s">
        <v>252</v>
      </c>
    </row>
    <row r="10" spans="1:34" x14ac:dyDescent="0.25">
      <c r="A10" s="260" t="str">
        <f>PLANTILLA!A15</f>
        <v>#4</v>
      </c>
      <c r="B10" s="610" t="str">
        <f>PLANTILLA!D15</f>
        <v>C. Rojas</v>
      </c>
      <c r="C10" s="260">
        <f>PLANTILLA!E15</f>
        <v>36</v>
      </c>
      <c r="D10" s="260">
        <f ca="1">PLANTILLA!F15</f>
        <v>70</v>
      </c>
      <c r="E10" s="152">
        <f>PLANTILLA!X15</f>
        <v>0</v>
      </c>
      <c r="F10" s="152">
        <f>PLANTILLA!Y15</f>
        <v>7.95</v>
      </c>
      <c r="G10" s="152">
        <f>PLANTILLA!Z15</f>
        <v>13.95</v>
      </c>
      <c r="H10" s="152">
        <f>PLANTILLA!AA15</f>
        <v>8.9499999999999993</v>
      </c>
      <c r="I10" s="152">
        <f>PLANTILLA!AB15</f>
        <v>9.9499999999999993</v>
      </c>
      <c r="J10" s="152">
        <f>PLANTILLA!AC15</f>
        <v>1.95</v>
      </c>
      <c r="K10" s="152">
        <f>PLANTILLA!AD15</f>
        <v>17.144444444444439</v>
      </c>
      <c r="L10" s="302">
        <f>1/8</f>
        <v>0.125</v>
      </c>
      <c r="M10" s="302">
        <f t="shared" si="0"/>
        <v>6.25E-2</v>
      </c>
      <c r="N10" s="302">
        <f t="shared" si="1"/>
        <v>1.5625E-2</v>
      </c>
      <c r="O10" s="152">
        <v>0</v>
      </c>
      <c r="P10" s="148">
        <v>0</v>
      </c>
      <c r="Q10" s="148">
        <v>0</v>
      </c>
      <c r="R10" s="148">
        <f t="shared" si="2"/>
        <v>3.5749999999999997E-2</v>
      </c>
      <c r="S10" s="148">
        <f t="shared" si="3"/>
        <v>4.1761363636363631E-2</v>
      </c>
      <c r="T10" s="148">
        <v>0</v>
      </c>
      <c r="U10" s="148">
        <f t="shared" si="4"/>
        <v>4.0767045454545452E-2</v>
      </c>
      <c r="V10" s="148">
        <f t="shared" si="5"/>
        <v>6.1363636363636363E-2</v>
      </c>
      <c r="W10" s="148">
        <f t="shared" si="6"/>
        <v>1.0227272727272727E-2</v>
      </c>
      <c r="X10" s="148">
        <f t="shared" si="7"/>
        <v>1.5696022727272729E-2</v>
      </c>
      <c r="Y10" s="353">
        <f>U10</f>
        <v>4.0767045454545452E-2</v>
      </c>
      <c r="Z10" s="353">
        <f>U10</f>
        <v>4.0767045454545452E-2</v>
      </c>
      <c r="AA10" s="353">
        <f t="shared" si="8"/>
        <v>4.0767045454545452E-2</v>
      </c>
      <c r="AD10" t="s">
        <v>676</v>
      </c>
      <c r="AE10" t="s">
        <v>686</v>
      </c>
      <c r="AG10" t="s">
        <v>427</v>
      </c>
      <c r="AH10" t="s">
        <v>503</v>
      </c>
    </row>
    <row r="11" spans="1:34" x14ac:dyDescent="0.25">
      <c r="A11" s="260" t="str">
        <f>PLANTILLA!A14</f>
        <v>#6</v>
      </c>
      <c r="B11" s="610" t="str">
        <f>PLANTILLA!D14</f>
        <v>S. Buschelman</v>
      </c>
      <c r="C11" s="260">
        <f>PLANTILLA!E14</f>
        <v>34</v>
      </c>
      <c r="D11" s="260">
        <f ca="1">PLANTILLA!F14</f>
        <v>36</v>
      </c>
      <c r="E11" s="152">
        <f>PLANTILLA!X14</f>
        <v>0</v>
      </c>
      <c r="F11" s="152">
        <f>PLANTILLA!Y14</f>
        <v>9.3036666666666648</v>
      </c>
      <c r="G11" s="152">
        <f>PLANTILLA!Z14</f>
        <v>14</v>
      </c>
      <c r="H11" s="152">
        <f>PLANTILLA!AA14</f>
        <v>12.945</v>
      </c>
      <c r="I11" s="152">
        <f>PLANTILLA!AB14</f>
        <v>9.9499999999999993</v>
      </c>
      <c r="J11" s="152">
        <f>PLANTILLA!AC14</f>
        <v>3.95</v>
      </c>
      <c r="K11" s="152">
        <f>PLANTILLA!AD14</f>
        <v>16</v>
      </c>
      <c r="L11" s="302">
        <f>1/9</f>
        <v>0.1111111111111111</v>
      </c>
      <c r="M11" s="302">
        <f t="shared" si="0"/>
        <v>5.5555555555555552E-2</v>
      </c>
      <c r="N11" s="302">
        <f t="shared" si="1"/>
        <v>1.3888888888888888E-2</v>
      </c>
      <c r="O11" s="152">
        <v>0</v>
      </c>
      <c r="P11" s="148">
        <v>0</v>
      </c>
      <c r="Q11" s="148">
        <v>0</v>
      </c>
      <c r="R11" s="148">
        <f t="shared" si="2"/>
        <v>3.1777777777777773E-2</v>
      </c>
      <c r="S11" s="148">
        <f t="shared" si="3"/>
        <v>3.7121212121212117E-2</v>
      </c>
      <c r="T11" s="148">
        <v>0</v>
      </c>
      <c r="U11" s="148">
        <f t="shared" si="4"/>
        <v>3.6237373737373728E-2</v>
      </c>
      <c r="V11" s="148">
        <f t="shared" si="5"/>
        <v>5.4545454545454536E-2</v>
      </c>
      <c r="W11" s="148">
        <f t="shared" si="6"/>
        <v>9.0909090909090887E-3</v>
      </c>
      <c r="X11" s="148">
        <f t="shared" si="7"/>
        <v>1.39520202020202E-2</v>
      </c>
      <c r="Y11" s="353">
        <f>U11</f>
        <v>3.6237373737373728E-2</v>
      </c>
      <c r="Z11" s="353">
        <f>U11</f>
        <v>3.6237373737373728E-2</v>
      </c>
      <c r="AA11" s="353">
        <f t="shared" si="8"/>
        <v>3.6237373737373728E-2</v>
      </c>
      <c r="AD11" t="s">
        <v>676</v>
      </c>
      <c r="AE11" t="s">
        <v>258</v>
      </c>
      <c r="AG11" t="s">
        <v>676</v>
      </c>
      <c r="AH11" t="s">
        <v>258</v>
      </c>
    </row>
    <row r="12" spans="1:34" x14ac:dyDescent="0.25">
      <c r="A12" s="260" t="str">
        <f>PLANTILLA!A19</f>
        <v>#19</v>
      </c>
      <c r="B12" s="200" t="str">
        <f>PLANTILLA!D19</f>
        <v>G. Kerschl</v>
      </c>
      <c r="C12" s="260">
        <f>PLANTILLA!E19</f>
        <v>33</v>
      </c>
      <c r="D12" s="260">
        <f ca="1">PLANTILLA!F19</f>
        <v>66</v>
      </c>
      <c r="E12" s="152">
        <f>PLANTILLA!X19</f>
        <v>0</v>
      </c>
      <c r="F12" s="152">
        <f>PLANTILLA!Y19</f>
        <v>3</v>
      </c>
      <c r="G12" s="152">
        <f>PLANTILLA!Z19</f>
        <v>15.07</v>
      </c>
      <c r="H12" s="152">
        <f>PLANTILLA!AA19</f>
        <v>12.12</v>
      </c>
      <c r="I12" s="152">
        <f>PLANTILLA!AB19</f>
        <v>12.95</v>
      </c>
      <c r="J12" s="152">
        <f>PLANTILLA!AC19</f>
        <v>7.95</v>
      </c>
      <c r="K12" s="152">
        <f>PLANTILLA!AD19</f>
        <v>7</v>
      </c>
      <c r="L12" s="302">
        <f>1/10</f>
        <v>0.1</v>
      </c>
      <c r="M12" s="302">
        <f t="shared" si="0"/>
        <v>0.05</v>
      </c>
      <c r="N12" s="302">
        <f t="shared" si="1"/>
        <v>1.2500000000000001E-2</v>
      </c>
      <c r="O12" s="152">
        <v>0</v>
      </c>
      <c r="P12" s="148">
        <v>0</v>
      </c>
      <c r="Q12" s="148">
        <v>0</v>
      </c>
      <c r="R12" s="148">
        <f t="shared" si="2"/>
        <v>2.86E-2</v>
      </c>
      <c r="S12" s="148">
        <f t="shared" si="3"/>
        <v>3.3409090909090909E-2</v>
      </c>
      <c r="T12" s="148">
        <v>0</v>
      </c>
      <c r="U12" s="148">
        <f t="shared" si="4"/>
        <v>3.2613636363636365E-2</v>
      </c>
      <c r="V12" s="148">
        <f t="shared" si="5"/>
        <v>4.9090909090909095E-2</v>
      </c>
      <c r="W12" s="148">
        <f t="shared" si="6"/>
        <v>8.1818181818181807E-3</v>
      </c>
      <c r="X12" s="148">
        <f t="shared" si="7"/>
        <v>1.2556818181818183E-2</v>
      </c>
      <c r="Y12" s="353">
        <f>U12</f>
        <v>3.2613636363636365E-2</v>
      </c>
      <c r="Z12" s="353">
        <f>U12</f>
        <v>3.2613636363636365E-2</v>
      </c>
      <c r="AA12" s="353">
        <f t="shared" si="8"/>
        <v>3.2613636363636365E-2</v>
      </c>
      <c r="AD12" t="s">
        <v>66</v>
      </c>
      <c r="AE12" t="s">
        <v>253</v>
      </c>
      <c r="AG12" t="s">
        <v>676</v>
      </c>
      <c r="AH12" t="s">
        <v>431</v>
      </c>
    </row>
    <row r="13" spans="1:34" x14ac:dyDescent="0.25">
      <c r="A13" s="260" t="str">
        <f>PLANTILLA!A21</f>
        <v>#18</v>
      </c>
      <c r="B13" s="200" t="str">
        <f>PLANTILLA!D21</f>
        <v>L. Calosso</v>
      </c>
      <c r="C13" s="260">
        <f>PLANTILLA!E21</f>
        <v>35</v>
      </c>
      <c r="D13" s="260">
        <f ca="1">PLANTILLA!F21</f>
        <v>33</v>
      </c>
      <c r="E13" s="152">
        <f>PLANTILLA!X21</f>
        <v>0</v>
      </c>
      <c r="F13" s="152">
        <f>PLANTILLA!Y21</f>
        <v>2.95</v>
      </c>
      <c r="G13" s="152">
        <f>PLANTILLA!Z21</f>
        <v>13.95</v>
      </c>
      <c r="H13" s="152">
        <f>PLANTILLA!AA21</f>
        <v>2.95</v>
      </c>
      <c r="I13" s="152">
        <f>PLANTILLA!AB21</f>
        <v>14.95</v>
      </c>
      <c r="J13" s="152">
        <f>PLANTILLA!AC21</f>
        <v>8.9499999999999993</v>
      </c>
      <c r="K13" s="152">
        <f>PLANTILLA!AD21</f>
        <v>11.25</v>
      </c>
      <c r="L13" s="302">
        <f>1/3</f>
        <v>0.33333333333333331</v>
      </c>
      <c r="M13" s="302">
        <f t="shared" si="0"/>
        <v>0.16666666666666666</v>
      </c>
      <c r="N13" s="302">
        <f t="shared" si="1"/>
        <v>4.1666666666666664E-2</v>
      </c>
      <c r="O13" s="152">
        <v>0</v>
      </c>
      <c r="P13" s="148">
        <v>0</v>
      </c>
      <c r="Q13" s="148">
        <v>0</v>
      </c>
      <c r="R13" s="148">
        <f t="shared" si="2"/>
        <v>9.5333333333333325E-2</v>
      </c>
      <c r="S13" s="148">
        <f t="shared" si="3"/>
        <v>0.11136363636363635</v>
      </c>
      <c r="T13" s="148">
        <v>0</v>
      </c>
      <c r="U13" s="148">
        <f t="shared" si="4"/>
        <v>0.10871212121212119</v>
      </c>
      <c r="V13" s="148">
        <f t="shared" si="5"/>
        <v>0.16363636363636364</v>
      </c>
      <c r="W13" s="148">
        <f t="shared" si="6"/>
        <v>2.7272727272727268E-2</v>
      </c>
      <c r="X13" s="148">
        <f t="shared" si="7"/>
        <v>4.1856060606060598E-2</v>
      </c>
      <c r="Y13" s="353">
        <f>W13</f>
        <v>2.7272727272727268E-2</v>
      </c>
      <c r="Z13" s="353">
        <f>W13</f>
        <v>2.7272727272727268E-2</v>
      </c>
      <c r="AA13" s="353">
        <f t="shared" si="8"/>
        <v>2.7272727272727268E-2</v>
      </c>
      <c r="AD13" t="s">
        <v>66</v>
      </c>
      <c r="AE13" t="s">
        <v>431</v>
      </c>
      <c r="AG13" t="s">
        <v>66</v>
      </c>
      <c r="AH13" t="s">
        <v>253</v>
      </c>
    </row>
    <row r="14" spans="1:34" x14ac:dyDescent="0.25">
      <c r="A14" s="260" t="str">
        <f>PLANTILLA!A17</f>
        <v>#5</v>
      </c>
      <c r="B14" s="200" t="str">
        <f>PLANTILLA!D17</f>
        <v>L. Bauman</v>
      </c>
      <c r="C14" s="260">
        <f>PLANTILLA!E17</f>
        <v>35</v>
      </c>
      <c r="D14" s="260">
        <f ca="1">PLANTILLA!F17</f>
        <v>39</v>
      </c>
      <c r="E14" s="152">
        <f>PLANTILLA!X17</f>
        <v>0</v>
      </c>
      <c r="F14" s="152">
        <f>PLANTILLA!Y17</f>
        <v>5.95</v>
      </c>
      <c r="G14" s="152">
        <f>PLANTILLA!Z17</f>
        <v>14.1</v>
      </c>
      <c r="H14" s="152">
        <f>PLANTILLA!AA17</f>
        <v>2.95</v>
      </c>
      <c r="I14" s="152">
        <f>PLANTILLA!AB17</f>
        <v>8.9499999999999993</v>
      </c>
      <c r="J14" s="152">
        <f>PLANTILLA!AC17</f>
        <v>5.95</v>
      </c>
      <c r="K14" s="152">
        <f>PLANTILLA!AD17</f>
        <v>17</v>
      </c>
      <c r="L14" s="302">
        <f>1/3</f>
        <v>0.33333333333333331</v>
      </c>
      <c r="M14" s="302">
        <f t="shared" si="0"/>
        <v>0.16666666666666666</v>
      </c>
      <c r="N14" s="302">
        <f t="shared" si="1"/>
        <v>4.1666666666666664E-2</v>
      </c>
      <c r="O14" s="152">
        <v>0</v>
      </c>
      <c r="P14" s="148">
        <v>0</v>
      </c>
      <c r="Q14" s="148">
        <v>0</v>
      </c>
      <c r="R14" s="148">
        <f t="shared" si="2"/>
        <v>9.5333333333333325E-2</v>
      </c>
      <c r="S14" s="148">
        <f t="shared" si="3"/>
        <v>0.11136363636363635</v>
      </c>
      <c r="T14" s="148">
        <v>0</v>
      </c>
      <c r="U14" s="148">
        <f t="shared" si="4"/>
        <v>0.10871212121212119</v>
      </c>
      <c r="V14" s="148">
        <f t="shared" si="5"/>
        <v>0.16363636363636364</v>
      </c>
      <c r="W14" s="148">
        <f t="shared" si="6"/>
        <v>2.7272727272727268E-2</v>
      </c>
      <c r="X14" s="148">
        <f t="shared" si="7"/>
        <v>4.1856060606060598E-2</v>
      </c>
      <c r="Y14" s="353">
        <f>T14</f>
        <v>0</v>
      </c>
      <c r="Z14" s="353">
        <f>W14</f>
        <v>2.7272727272727268E-2</v>
      </c>
      <c r="AA14" s="353">
        <f t="shared" si="8"/>
        <v>2.7272727272727268E-2</v>
      </c>
    </row>
    <row r="15" spans="1:34" x14ac:dyDescent="0.25">
      <c r="A15" s="260" t="str">
        <f>PLANTILLA!A7</f>
        <v>#17</v>
      </c>
      <c r="B15" s="200" t="str">
        <f>PLANTILLA!D7</f>
        <v>B. Pinczehelyi</v>
      </c>
      <c r="C15" s="260">
        <f>PLANTILLA!E7</f>
        <v>35</v>
      </c>
      <c r="D15" s="260">
        <f>PLANTILLA!F7</f>
        <v>0</v>
      </c>
      <c r="E15" s="152">
        <f>PLANTILLA!X7</f>
        <v>0</v>
      </c>
      <c r="F15" s="152">
        <f>PLANTILLA!Y7</f>
        <v>14.300000000000004</v>
      </c>
      <c r="G15" s="152">
        <f>PLANTILLA!Z7</f>
        <v>9.3793333333333351</v>
      </c>
      <c r="H15" s="152">
        <f>PLANTILLA!AA7</f>
        <v>13.95</v>
      </c>
      <c r="I15" s="152">
        <f>PLANTILLA!AB7</f>
        <v>8.9499999999999993</v>
      </c>
      <c r="J15" s="152">
        <f>PLANTILLA!AC7</f>
        <v>0</v>
      </c>
      <c r="K15" s="152">
        <f>PLANTILLA!AD7</f>
        <v>11.25</v>
      </c>
      <c r="L15" s="302">
        <f>1/15</f>
        <v>6.6666666666666666E-2</v>
      </c>
      <c r="M15" s="302">
        <f t="shared" si="0"/>
        <v>3.3333333333333333E-2</v>
      </c>
      <c r="N15" s="302">
        <f t="shared" si="1"/>
        <v>8.3333333333333332E-3</v>
      </c>
      <c r="O15" s="152">
        <v>0</v>
      </c>
      <c r="P15" s="148">
        <v>0</v>
      </c>
      <c r="Q15" s="148">
        <v>0</v>
      </c>
      <c r="R15" s="148">
        <f t="shared" si="2"/>
        <v>1.9066666666666666E-2</v>
      </c>
      <c r="S15" s="148">
        <f t="shared" si="3"/>
        <v>2.227272727272727E-2</v>
      </c>
      <c r="T15" s="148">
        <v>0</v>
      </c>
      <c r="U15" s="148">
        <f t="shared" si="4"/>
        <v>2.174242424242424E-2</v>
      </c>
      <c r="V15" s="148">
        <f t="shared" si="5"/>
        <v>3.2727272727272723E-2</v>
      </c>
      <c r="W15" s="148">
        <f t="shared" si="6"/>
        <v>5.4545454545454541E-3</v>
      </c>
      <c r="X15" s="148">
        <f t="shared" si="7"/>
        <v>8.3712121212121213E-3</v>
      </c>
      <c r="Y15" s="353">
        <f>S15</f>
        <v>2.227272727272727E-2</v>
      </c>
      <c r="Z15" s="353">
        <f>S15</f>
        <v>2.227272727272727E-2</v>
      </c>
      <c r="AA15" s="353">
        <f t="shared" si="8"/>
        <v>2.227272727272727E-2</v>
      </c>
    </row>
    <row r="16" spans="1:34" x14ac:dyDescent="0.25">
      <c r="A16" s="260" t="str">
        <f>PLANTILLA!A20</f>
        <v>#9</v>
      </c>
      <c r="B16" s="200" t="str">
        <f>PLANTILLA!D20</f>
        <v>J. Limon</v>
      </c>
      <c r="C16" s="260">
        <f>PLANTILLA!E20</f>
        <v>34</v>
      </c>
      <c r="D16" s="260">
        <f ca="1">PLANTILLA!F20</f>
        <v>76</v>
      </c>
      <c r="E16" s="152">
        <f>PLANTILLA!X20</f>
        <v>0</v>
      </c>
      <c r="F16" s="152">
        <f>PLANTILLA!Y20</f>
        <v>6.8376190476190493</v>
      </c>
      <c r="G16" s="152">
        <f>PLANTILLA!Z20</f>
        <v>8.9499999999999993</v>
      </c>
      <c r="H16" s="152">
        <f>PLANTILLA!AA20</f>
        <v>8.7399999999999967</v>
      </c>
      <c r="I16" s="152">
        <f>PLANTILLA!AB20</f>
        <v>9.9499999999999993</v>
      </c>
      <c r="J16" s="152">
        <f>PLANTILLA!AC20</f>
        <v>7.95</v>
      </c>
      <c r="K16" s="152">
        <f>PLANTILLA!AD20</f>
        <v>18.999999999999993</v>
      </c>
      <c r="L16" s="302">
        <f>1/5</f>
        <v>0.2</v>
      </c>
      <c r="M16" s="302">
        <f t="shared" si="0"/>
        <v>0.1</v>
      </c>
      <c r="N16" s="302">
        <f t="shared" si="1"/>
        <v>2.5000000000000001E-2</v>
      </c>
      <c r="O16" s="152">
        <v>0</v>
      </c>
      <c r="P16" s="148">
        <v>0</v>
      </c>
      <c r="Q16" s="148">
        <v>0</v>
      </c>
      <c r="R16" s="148">
        <f t="shared" si="2"/>
        <v>5.7200000000000001E-2</v>
      </c>
      <c r="S16" s="148">
        <f t="shared" si="3"/>
        <v>6.6818181818181818E-2</v>
      </c>
      <c r="T16" s="148">
        <v>0</v>
      </c>
      <c r="U16" s="148">
        <f t="shared" si="4"/>
        <v>6.5227272727272731E-2</v>
      </c>
      <c r="V16" s="148">
        <f t="shared" si="5"/>
        <v>9.818181818181819E-2</v>
      </c>
      <c r="W16" s="148">
        <f t="shared" si="6"/>
        <v>1.6363636363636361E-2</v>
      </c>
      <c r="X16" s="148">
        <f t="shared" si="7"/>
        <v>2.5113636363636366E-2</v>
      </c>
      <c r="Y16" s="353">
        <f>W16</f>
        <v>1.6363636363636361E-2</v>
      </c>
      <c r="Z16" s="353"/>
      <c r="AA16" s="353">
        <f t="shared" si="8"/>
        <v>1.6363636363636361E-2</v>
      </c>
    </row>
    <row r="17" spans="1:27" x14ac:dyDescent="0.25">
      <c r="A17" s="260" t="str">
        <f>PLANTILLA!A30</f>
        <v>#15</v>
      </c>
      <c r="B17" s="200" t="str">
        <f>PLANTILLA!D30</f>
        <v>P .Trivadi</v>
      </c>
      <c r="C17" s="260">
        <f>PLANTILLA!E30</f>
        <v>31</v>
      </c>
      <c r="D17" s="260">
        <f ca="1">PLANTILLA!F30</f>
        <v>107</v>
      </c>
      <c r="E17" s="152">
        <f>PLANTILLA!X30</f>
        <v>0</v>
      </c>
      <c r="F17" s="152">
        <f>PLANTILLA!Y30</f>
        <v>4.0199999999999996</v>
      </c>
      <c r="G17" s="152">
        <f>PLANTILLA!Z30</f>
        <v>5.95</v>
      </c>
      <c r="H17" s="152">
        <f>PLANTILLA!AA30</f>
        <v>5.5099999999999989</v>
      </c>
      <c r="I17" s="152">
        <f>PLANTILLA!AB30</f>
        <v>10.95</v>
      </c>
      <c r="J17" s="152">
        <f>PLANTILLA!AC30</f>
        <v>7.95</v>
      </c>
      <c r="K17" s="152">
        <f>PLANTILLA!AD30</f>
        <v>14</v>
      </c>
      <c r="L17" s="302">
        <f>1/5</f>
        <v>0.2</v>
      </c>
      <c r="M17" s="302">
        <f t="shared" si="0"/>
        <v>0.1</v>
      </c>
      <c r="N17" s="302">
        <f t="shared" si="1"/>
        <v>2.5000000000000001E-2</v>
      </c>
      <c r="O17" s="152">
        <v>0</v>
      </c>
      <c r="P17" s="148">
        <v>0</v>
      </c>
      <c r="Q17" s="148">
        <v>0</v>
      </c>
      <c r="R17" s="148">
        <f t="shared" si="2"/>
        <v>5.7200000000000001E-2</v>
      </c>
      <c r="S17" s="148">
        <f t="shared" si="3"/>
        <v>6.6818181818181818E-2</v>
      </c>
      <c r="T17" s="148">
        <v>0</v>
      </c>
      <c r="U17" s="148">
        <f t="shared" si="4"/>
        <v>6.5227272727272731E-2</v>
      </c>
      <c r="V17" s="148">
        <f t="shared" si="5"/>
        <v>9.818181818181819E-2</v>
      </c>
      <c r="W17" s="148">
        <f t="shared" si="6"/>
        <v>1.6363636363636361E-2</v>
      </c>
      <c r="X17" s="148">
        <f t="shared" si="7"/>
        <v>2.5113636363636366E-2</v>
      </c>
      <c r="Y17" s="353">
        <v>0</v>
      </c>
      <c r="Z17" s="353">
        <v>0</v>
      </c>
      <c r="AA17" s="353">
        <f t="shared" si="8"/>
        <v>0</v>
      </c>
    </row>
    <row r="18" spans="1:27" x14ac:dyDescent="0.25">
      <c r="A18" s="260" t="str">
        <f>PLANTILLA!A5</f>
        <v>#1</v>
      </c>
      <c r="B18" s="260" t="str">
        <f>PLANTILLA!D5</f>
        <v>D. Gehmacher</v>
      </c>
      <c r="C18" s="260">
        <f>PLANTILLA!E5</f>
        <v>34</v>
      </c>
      <c r="D18" s="260">
        <f ca="1">PLANTILLA!F5</f>
        <v>104</v>
      </c>
      <c r="E18" s="152">
        <f>PLANTILLA!X5</f>
        <v>16.666666666666668</v>
      </c>
      <c r="F18" s="152">
        <f>PLANTILLA!Y5</f>
        <v>11.95</v>
      </c>
      <c r="G18" s="152">
        <f>PLANTILLA!Z5</f>
        <v>2.0699999999999985</v>
      </c>
      <c r="H18" s="152">
        <f>PLANTILLA!AA5</f>
        <v>2.149999999999999</v>
      </c>
      <c r="I18" s="152">
        <f>PLANTILLA!AB5</f>
        <v>0.95</v>
      </c>
      <c r="J18" s="152">
        <f>PLANTILLA!AC5</f>
        <v>0</v>
      </c>
      <c r="K18" s="152">
        <f>PLANTILLA!AD5</f>
        <v>18.2</v>
      </c>
      <c r="L18" s="302">
        <f>0</f>
        <v>0</v>
      </c>
      <c r="M18" s="302">
        <f t="shared" si="0"/>
        <v>0</v>
      </c>
      <c r="N18" s="302">
        <f t="shared" si="1"/>
        <v>0</v>
      </c>
      <c r="O18" s="152">
        <v>0</v>
      </c>
      <c r="P18" s="148">
        <v>0</v>
      </c>
      <c r="Q18" s="148">
        <v>0</v>
      </c>
      <c r="R18" s="148">
        <f t="shared" si="2"/>
        <v>0</v>
      </c>
      <c r="S18" s="148">
        <f t="shared" si="3"/>
        <v>0</v>
      </c>
      <c r="T18" s="148">
        <v>0</v>
      </c>
      <c r="U18" s="148">
        <f t="shared" si="4"/>
        <v>0</v>
      </c>
      <c r="V18" s="148">
        <f t="shared" si="5"/>
        <v>0</v>
      </c>
      <c r="W18" s="148">
        <f t="shared" si="6"/>
        <v>0</v>
      </c>
      <c r="X18" s="148">
        <f t="shared" si="7"/>
        <v>0</v>
      </c>
      <c r="Y18" s="353">
        <f>L18</f>
        <v>0</v>
      </c>
      <c r="Z18" s="353">
        <f>L18</f>
        <v>0</v>
      </c>
      <c r="AA18" s="353">
        <f t="shared" si="8"/>
        <v>0</v>
      </c>
    </row>
    <row r="19" spans="1:27" x14ac:dyDescent="0.25">
      <c r="A19" s="260" t="str">
        <f>PLANTILLA!A16</f>
        <v>#12</v>
      </c>
      <c r="B19" s="260" t="str">
        <f>PLANTILLA!D16</f>
        <v>E. Gross</v>
      </c>
      <c r="C19" s="260">
        <f>PLANTILLA!E16</f>
        <v>35</v>
      </c>
      <c r="D19" s="260">
        <f ca="1">PLANTILLA!F16</f>
        <v>64</v>
      </c>
      <c r="E19" s="152">
        <f>PLANTILLA!X16</f>
        <v>0</v>
      </c>
      <c r="F19" s="152">
        <f>PLANTILLA!Y16</f>
        <v>10.549999999999995</v>
      </c>
      <c r="G19" s="152">
        <f>PLANTILLA!Z16</f>
        <v>12.95</v>
      </c>
      <c r="H19" s="152">
        <f>PLANTILLA!AA16</f>
        <v>4.95</v>
      </c>
      <c r="I19" s="152">
        <f>PLANTILLA!AB16</f>
        <v>8.9499999999999993</v>
      </c>
      <c r="J19" s="152">
        <f>PLANTILLA!AC16</f>
        <v>0.95</v>
      </c>
      <c r="K19" s="152">
        <f>PLANTILLA!AD16</f>
        <v>17.3</v>
      </c>
      <c r="L19" s="302">
        <f>1/4</f>
        <v>0.25</v>
      </c>
      <c r="M19" s="302">
        <f t="shared" si="0"/>
        <v>0.125</v>
      </c>
      <c r="N19" s="302">
        <f t="shared" si="1"/>
        <v>3.125E-2</v>
      </c>
      <c r="O19" s="152">
        <v>0</v>
      </c>
      <c r="P19" s="148">
        <v>0</v>
      </c>
      <c r="Q19" s="148">
        <v>0</v>
      </c>
      <c r="R19" s="148">
        <f t="shared" si="2"/>
        <v>7.1499999999999994E-2</v>
      </c>
      <c r="S19" s="148">
        <f t="shared" si="3"/>
        <v>8.3522727272727262E-2</v>
      </c>
      <c r="T19" s="148">
        <v>0</v>
      </c>
      <c r="U19" s="148">
        <f t="shared" si="4"/>
        <v>8.1534090909090903E-2</v>
      </c>
      <c r="V19" s="148">
        <f t="shared" si="5"/>
        <v>0.12272727272727273</v>
      </c>
      <c r="W19" s="148">
        <f t="shared" si="6"/>
        <v>2.0454545454545454E-2</v>
      </c>
      <c r="X19" s="148">
        <f t="shared" si="7"/>
        <v>3.1392045454545457E-2</v>
      </c>
      <c r="Y19" s="353">
        <v>0</v>
      </c>
      <c r="Z19" s="353">
        <v>0</v>
      </c>
      <c r="AA19" s="353">
        <f t="shared" si="8"/>
        <v>0</v>
      </c>
    </row>
    <row r="20" spans="1:27" x14ac:dyDescent="0.25">
      <c r="A20" s="260" t="str">
        <f>PLANTILLA!A6</f>
        <v>#16</v>
      </c>
      <c r="B20" s="260" t="str">
        <f>PLANTILLA!D6</f>
        <v>T. Hammond</v>
      </c>
      <c r="C20" s="260">
        <f>PLANTILLA!E6</f>
        <v>39</v>
      </c>
      <c r="D20" s="260">
        <f ca="1">PLANTILLA!F6</f>
        <v>1</v>
      </c>
      <c r="E20" s="152">
        <f>PLANTILLA!X6</f>
        <v>7.95</v>
      </c>
      <c r="F20" s="152">
        <f>PLANTILLA!Y6</f>
        <v>7.95</v>
      </c>
      <c r="G20" s="152">
        <f>PLANTILLA!Z6</f>
        <v>0.95</v>
      </c>
      <c r="H20" s="152">
        <f>PLANTILLA!AA6</f>
        <v>0.95</v>
      </c>
      <c r="I20" s="152">
        <f>PLANTILLA!AB6</f>
        <v>1.95</v>
      </c>
      <c r="J20" s="152">
        <f>PLANTILLA!AC6</f>
        <v>0</v>
      </c>
      <c r="K20" s="152">
        <f>PLANTILLA!AD6</f>
        <v>14.95</v>
      </c>
      <c r="L20" s="302"/>
      <c r="M20" s="302">
        <f t="shared" si="0"/>
        <v>0</v>
      </c>
      <c r="N20" s="302">
        <f t="shared" si="1"/>
        <v>0</v>
      </c>
      <c r="O20" s="152">
        <v>0</v>
      </c>
      <c r="P20" s="148">
        <v>0</v>
      </c>
      <c r="Q20" s="148">
        <v>0</v>
      </c>
      <c r="R20" s="148">
        <f t="shared" si="2"/>
        <v>0</v>
      </c>
      <c r="S20" s="148">
        <f t="shared" si="3"/>
        <v>0</v>
      </c>
      <c r="T20" s="148">
        <v>0</v>
      </c>
      <c r="U20" s="148">
        <f t="shared" si="4"/>
        <v>0</v>
      </c>
      <c r="V20" s="148">
        <f t="shared" si="5"/>
        <v>0</v>
      </c>
      <c r="W20" s="148">
        <f t="shared" si="6"/>
        <v>0</v>
      </c>
      <c r="X20" s="148">
        <f t="shared" si="7"/>
        <v>0</v>
      </c>
      <c r="Y20" s="353"/>
      <c r="Z20" s="353"/>
      <c r="AA20" s="353">
        <f t="shared" si="8"/>
        <v>0</v>
      </c>
    </row>
    <row r="21" spans="1:27" x14ac:dyDescent="0.25">
      <c r="A21" s="260" t="str">
        <f>PLANTILLA!A10</f>
        <v>#13</v>
      </c>
      <c r="B21" s="260" t="str">
        <f>PLANTILLA!D10</f>
        <v>F. Lasprilla</v>
      </c>
      <c r="C21" s="260">
        <f>PLANTILLA!E10</f>
        <v>32</v>
      </c>
      <c r="D21" s="260">
        <f ca="1">PLANTILLA!F10</f>
        <v>11</v>
      </c>
      <c r="E21" s="152">
        <f>PLANTILLA!X10</f>
        <v>0</v>
      </c>
      <c r="F21" s="152">
        <f>PLANTILLA!Y10</f>
        <v>9.6046666666666667</v>
      </c>
      <c r="G21" s="152">
        <f>PLANTILLA!Z10</f>
        <v>7.7607222222222223</v>
      </c>
      <c r="H21" s="152">
        <f>PLANTILLA!AA10</f>
        <v>6.1599999999999984</v>
      </c>
      <c r="I21" s="152">
        <f>PLANTILLA!AB10</f>
        <v>8.8633333333333315</v>
      </c>
      <c r="J21" s="152">
        <f>PLANTILLA!AC10</f>
        <v>2.95</v>
      </c>
      <c r="K21" s="152">
        <f>PLANTILLA!AD10</f>
        <v>13.33611111111111</v>
      </c>
      <c r="L21" s="302"/>
      <c r="M21" s="302">
        <f t="shared" si="0"/>
        <v>0</v>
      </c>
      <c r="N21" s="302">
        <f t="shared" si="1"/>
        <v>0</v>
      </c>
      <c r="O21" s="152">
        <v>0</v>
      </c>
      <c r="P21" s="148">
        <v>0</v>
      </c>
      <c r="Q21" s="148">
        <v>0</v>
      </c>
      <c r="R21" s="148">
        <f t="shared" si="2"/>
        <v>0</v>
      </c>
      <c r="S21" s="148">
        <f t="shared" si="3"/>
        <v>0</v>
      </c>
      <c r="T21" s="148">
        <v>0</v>
      </c>
      <c r="U21" s="148">
        <f t="shared" si="4"/>
        <v>0</v>
      </c>
      <c r="V21" s="148">
        <f t="shared" si="5"/>
        <v>0</v>
      </c>
      <c r="W21" s="148">
        <f t="shared" si="6"/>
        <v>0</v>
      </c>
      <c r="X21" s="148">
        <f t="shared" si="7"/>
        <v>0</v>
      </c>
      <c r="Y21" s="353"/>
      <c r="Z21" s="353"/>
      <c r="AA21" s="353">
        <f t="shared" si="8"/>
        <v>0</v>
      </c>
    </row>
    <row r="22" spans="1:27" x14ac:dyDescent="0.25">
      <c r="A22" s="260" t="str">
        <f>PLANTILLA!A18</f>
        <v>#14</v>
      </c>
      <c r="B22" s="260" t="str">
        <f>PLANTILLA!D18</f>
        <v>W. Gelifini</v>
      </c>
      <c r="C22" s="260">
        <f>PLANTILLA!E18</f>
        <v>33</v>
      </c>
      <c r="D22" s="260">
        <f ca="1">PLANTILLA!F18</f>
        <v>101</v>
      </c>
      <c r="E22" s="152">
        <f>PLANTILLA!X18</f>
        <v>0</v>
      </c>
      <c r="F22" s="152">
        <f>PLANTILLA!Y18</f>
        <v>5.6515555555555519</v>
      </c>
      <c r="G22" s="152">
        <f>PLANTILLA!Z18</f>
        <v>9.9499999999999993</v>
      </c>
      <c r="H22" s="152">
        <f>PLANTILLA!AA18</f>
        <v>6.95</v>
      </c>
      <c r="I22" s="152">
        <f>PLANTILLA!AB18</f>
        <v>9.2666666666666639</v>
      </c>
      <c r="J22" s="152">
        <f>PLANTILLA!AC18</f>
        <v>2.95</v>
      </c>
      <c r="K22" s="152">
        <f>PLANTILLA!AD18</f>
        <v>12.847222222222223</v>
      </c>
      <c r="L22" s="302"/>
      <c r="M22" s="302">
        <f t="shared" si="0"/>
        <v>0</v>
      </c>
      <c r="N22" s="302">
        <f t="shared" si="1"/>
        <v>0</v>
      </c>
      <c r="O22" s="152">
        <v>0</v>
      </c>
      <c r="P22" s="148">
        <v>0</v>
      </c>
      <c r="Q22" s="148">
        <v>0</v>
      </c>
      <c r="R22" s="148">
        <f t="shared" si="2"/>
        <v>0</v>
      </c>
      <c r="S22" s="148">
        <f t="shared" si="3"/>
        <v>0</v>
      </c>
      <c r="T22" s="148">
        <v>0</v>
      </c>
      <c r="U22" s="148">
        <f t="shared" si="4"/>
        <v>0</v>
      </c>
      <c r="V22" s="148">
        <f t="shared" si="5"/>
        <v>0</v>
      </c>
      <c r="W22" s="148">
        <f t="shared" si="6"/>
        <v>0</v>
      </c>
      <c r="X22" s="148">
        <f t="shared" si="7"/>
        <v>0</v>
      </c>
      <c r="Y22" s="353"/>
      <c r="Z22" s="353"/>
      <c r="AA22" s="353">
        <f t="shared" si="8"/>
        <v>0</v>
      </c>
    </row>
    <row r="23" spans="1:27" x14ac:dyDescent="0.25">
      <c r="A23" s="260" t="e">
        <f>PLANTILLA!#REF!</f>
        <v>#REF!</v>
      </c>
      <c r="B23" s="260" t="e">
        <f>PLANTILLA!#REF!</f>
        <v>#REF!</v>
      </c>
      <c r="C23" s="260" t="e">
        <f>PLANTILLA!#REF!</f>
        <v>#REF!</v>
      </c>
      <c r="D23" s="260"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302"/>
      <c r="M23" s="302">
        <f t="shared" si="0"/>
        <v>0</v>
      </c>
      <c r="N23" s="302">
        <f t="shared" si="1"/>
        <v>0</v>
      </c>
      <c r="O23" s="152">
        <v>0</v>
      </c>
      <c r="P23" s="148">
        <v>0</v>
      </c>
      <c r="Q23" s="148">
        <v>0</v>
      </c>
      <c r="R23" s="148">
        <f t="shared" si="2"/>
        <v>0</v>
      </c>
      <c r="S23" s="148">
        <f t="shared" si="3"/>
        <v>0</v>
      </c>
      <c r="T23" s="148">
        <v>0</v>
      </c>
      <c r="U23" s="148">
        <f t="shared" si="4"/>
        <v>0</v>
      </c>
      <c r="V23" s="148">
        <f t="shared" si="5"/>
        <v>0</v>
      </c>
      <c r="W23" s="148">
        <f t="shared" si="6"/>
        <v>0</v>
      </c>
      <c r="X23" s="148">
        <f t="shared" si="7"/>
        <v>0</v>
      </c>
      <c r="Y23" s="353"/>
      <c r="Z23" s="353"/>
      <c r="AA23" s="353">
        <f t="shared" si="8"/>
        <v>0</v>
      </c>
    </row>
    <row r="25" spans="1:27" x14ac:dyDescent="0.25">
      <c r="B25" s="263"/>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249977111117893"/>
  </sheetPr>
  <dimension ref="A1:V39"/>
  <sheetViews>
    <sheetView zoomScale="90" zoomScaleNormal="90" workbookViewId="0">
      <selection activeCell="A10" sqref="A10"/>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289" bestFit="1" customWidth="1"/>
    <col min="8" max="8" width="20.5703125" bestFit="1" customWidth="1"/>
    <col min="9" max="9" width="5.7109375" bestFit="1" customWidth="1"/>
    <col min="10" max="10" width="5.5703125" bestFit="1" customWidth="1"/>
    <col min="11" max="11" width="3.28515625" bestFit="1" customWidth="1"/>
    <col min="12" max="12" width="5" bestFit="1" customWidth="1"/>
    <col min="13" max="13" width="20.42578125" bestFit="1" customWidth="1"/>
    <col min="14" max="14" width="5.42578125" bestFit="1" customWidth="1"/>
    <col min="15" max="15" width="6.28515625" customWidth="1"/>
    <col min="16" max="16" width="3.28515625" bestFit="1" customWidth="1"/>
    <col min="17" max="17" width="5.5703125" bestFit="1" customWidth="1"/>
    <col min="18" max="18" width="20.42578125" bestFit="1" customWidth="1"/>
    <col min="19" max="19" width="8.28515625" bestFit="1" customWidth="1"/>
    <col min="20" max="20" width="5.5703125" bestFit="1" customWidth="1"/>
    <col min="21" max="21" width="4.42578125" bestFit="1" customWidth="1"/>
  </cols>
  <sheetData>
    <row r="1" spans="1:22" x14ac:dyDescent="0.25">
      <c r="A1" s="294" t="s">
        <v>387</v>
      </c>
    </row>
    <row r="2" spans="1:22" ht="18.75" x14ac:dyDescent="0.3">
      <c r="A2" s="295">
        <v>43626</v>
      </c>
      <c r="F2" s="264"/>
      <c r="G2" s="655" t="s">
        <v>388</v>
      </c>
      <c r="H2" s="655"/>
      <c r="J2" s="264"/>
      <c r="K2" s="264"/>
      <c r="L2" s="655" t="s">
        <v>732</v>
      </c>
      <c r="M2" s="655"/>
      <c r="N2" s="655"/>
      <c r="O2" s="281"/>
      <c r="P2" s="281"/>
      <c r="Q2" s="655" t="s">
        <v>390</v>
      </c>
      <c r="R2" s="655"/>
      <c r="T2" s="4" t="s">
        <v>738</v>
      </c>
      <c r="U2" s="264"/>
      <c r="V2" s="264"/>
    </row>
    <row r="3" spans="1:22" x14ac:dyDescent="0.25">
      <c r="F3">
        <v>1</v>
      </c>
      <c r="G3" s="3">
        <v>98</v>
      </c>
      <c r="H3" t="s">
        <v>654</v>
      </c>
      <c r="I3" t="s">
        <v>1</v>
      </c>
      <c r="K3" s="562">
        <v>1</v>
      </c>
      <c r="L3" s="3">
        <v>385</v>
      </c>
      <c r="M3" t="s">
        <v>411</v>
      </c>
      <c r="N3" s="263" t="s">
        <v>384</v>
      </c>
      <c r="P3" s="562">
        <v>1</v>
      </c>
      <c r="Q3" s="3">
        <v>263</v>
      </c>
      <c r="R3" t="s">
        <v>391</v>
      </c>
      <c r="S3" t="s">
        <v>194</v>
      </c>
      <c r="T3" s="148">
        <f>Q3/L7</f>
        <v>0.87959866220735783</v>
      </c>
    </row>
    <row r="4" spans="1:22" s="264" customFormat="1" ht="18.75" x14ac:dyDescent="0.3">
      <c r="A4" s="264" t="s">
        <v>385</v>
      </c>
      <c r="F4">
        <v>2</v>
      </c>
      <c r="G4" s="3">
        <v>66</v>
      </c>
      <c r="H4" t="s">
        <v>192</v>
      </c>
      <c r="I4" s="263" t="s">
        <v>1</v>
      </c>
      <c r="J4"/>
      <c r="K4" s="562">
        <v>2</v>
      </c>
      <c r="L4" s="3">
        <v>375</v>
      </c>
      <c r="M4" t="s">
        <v>400</v>
      </c>
      <c r="N4" t="s">
        <v>399</v>
      </c>
      <c r="O4"/>
      <c r="P4" s="562">
        <v>2</v>
      </c>
      <c r="Q4" s="3">
        <v>124</v>
      </c>
      <c r="R4" t="s">
        <v>400</v>
      </c>
      <c r="S4" t="s">
        <v>399</v>
      </c>
      <c r="T4" s="148">
        <f>Q4/L4</f>
        <v>0.33066666666666666</v>
      </c>
      <c r="U4"/>
      <c r="V4"/>
    </row>
    <row r="5" spans="1:22" x14ac:dyDescent="0.25">
      <c r="A5" s="621" t="s">
        <v>386</v>
      </c>
      <c r="B5" s="622" t="s">
        <v>746</v>
      </c>
      <c r="C5" s="263">
        <v>43276</v>
      </c>
      <c r="D5" t="s">
        <v>747</v>
      </c>
      <c r="F5">
        <v>3</v>
      </c>
      <c r="G5" s="605">
        <v>46</v>
      </c>
      <c r="H5" s="603" t="s">
        <v>190</v>
      </c>
      <c r="I5" s="604" t="s">
        <v>1</v>
      </c>
      <c r="K5" s="572">
        <v>3</v>
      </c>
      <c r="L5" s="3">
        <v>319</v>
      </c>
      <c r="M5" t="s">
        <v>424</v>
      </c>
      <c r="N5" s="263" t="s">
        <v>64</v>
      </c>
      <c r="P5" s="562">
        <v>3</v>
      </c>
      <c r="Q5" s="3">
        <v>120</v>
      </c>
      <c r="R5" t="s">
        <v>460</v>
      </c>
      <c r="S5" t="s">
        <v>65</v>
      </c>
      <c r="T5" s="148">
        <f>Q5/L10</f>
        <v>0.43636363636363634</v>
      </c>
    </row>
    <row r="6" spans="1:22" ht="18.75" x14ac:dyDescent="0.3">
      <c r="A6" s="621" t="s">
        <v>730</v>
      </c>
      <c r="B6" s="434" t="s">
        <v>745</v>
      </c>
      <c r="C6" s="263">
        <v>43258</v>
      </c>
      <c r="D6" t="s">
        <v>748</v>
      </c>
      <c r="F6">
        <v>4</v>
      </c>
      <c r="G6" s="605">
        <v>2</v>
      </c>
      <c r="H6" s="603" t="s">
        <v>189</v>
      </c>
      <c r="I6" s="603" t="s">
        <v>1</v>
      </c>
      <c r="J6" s="264"/>
      <c r="K6" s="572">
        <v>4</v>
      </c>
      <c r="L6" s="293">
        <v>313</v>
      </c>
      <c r="M6" t="s">
        <v>393</v>
      </c>
      <c r="N6" s="263" t="s">
        <v>64</v>
      </c>
      <c r="O6" s="264"/>
      <c r="P6" s="623">
        <v>4</v>
      </c>
      <c r="Q6" s="3">
        <v>100</v>
      </c>
      <c r="R6" t="s">
        <v>393</v>
      </c>
      <c r="S6" t="s">
        <v>64</v>
      </c>
      <c r="T6" s="148">
        <f>Q6/L6</f>
        <v>0.31948881789137379</v>
      </c>
      <c r="V6" s="264"/>
    </row>
    <row r="7" spans="1:22" ht="18.75" x14ac:dyDescent="0.3">
      <c r="F7">
        <v>5</v>
      </c>
      <c r="G7" s="3">
        <v>1</v>
      </c>
      <c r="H7" t="s">
        <v>392</v>
      </c>
      <c r="I7" t="s">
        <v>2</v>
      </c>
      <c r="K7" s="572">
        <v>5</v>
      </c>
      <c r="L7" s="304">
        <v>299</v>
      </c>
      <c r="M7" t="s">
        <v>422</v>
      </c>
      <c r="N7" s="263" t="s">
        <v>194</v>
      </c>
      <c r="P7" s="623">
        <v>5</v>
      </c>
      <c r="Q7" s="289">
        <v>91</v>
      </c>
      <c r="R7" t="s">
        <v>424</v>
      </c>
      <c r="S7" s="263" t="s">
        <v>64</v>
      </c>
      <c r="T7" s="148">
        <f>Q7/L5</f>
        <v>0.28526645768025077</v>
      </c>
      <c r="U7" s="264"/>
    </row>
    <row r="8" spans="1:22" s="264" customFormat="1" ht="18.75" x14ac:dyDescent="0.3">
      <c r="A8" s="655" t="s">
        <v>731</v>
      </c>
      <c r="B8" s="655"/>
      <c r="F8">
        <v>5</v>
      </c>
      <c r="G8" s="605">
        <v>1</v>
      </c>
      <c r="H8" s="603" t="s">
        <v>402</v>
      </c>
      <c r="I8" s="603" t="s">
        <v>384</v>
      </c>
      <c r="J8"/>
      <c r="K8" s="572">
        <v>5</v>
      </c>
      <c r="L8" s="289">
        <v>292</v>
      </c>
      <c r="M8" t="s">
        <v>397</v>
      </c>
      <c r="N8" s="263" t="s">
        <v>64</v>
      </c>
      <c r="O8"/>
      <c r="P8" s="623">
        <v>6</v>
      </c>
      <c r="Q8" s="391">
        <v>90</v>
      </c>
      <c r="R8" s="221" t="s">
        <v>728</v>
      </c>
      <c r="S8" s="221" t="s">
        <v>66</v>
      </c>
      <c r="T8" s="148">
        <f>Q8/L18</f>
        <v>0.61643835616438358</v>
      </c>
      <c r="U8">
        <v>169</v>
      </c>
      <c r="V8"/>
    </row>
    <row r="9" spans="1:22" x14ac:dyDescent="0.25">
      <c r="A9" s="600" t="s">
        <v>744</v>
      </c>
      <c r="B9" t="s">
        <v>728</v>
      </c>
      <c r="C9" s="263" t="s">
        <v>66</v>
      </c>
      <c r="K9" s="572">
        <v>7</v>
      </c>
      <c r="L9" s="304">
        <v>277</v>
      </c>
      <c r="M9" t="s">
        <v>423</v>
      </c>
      <c r="N9" s="263" t="s">
        <v>65</v>
      </c>
      <c r="P9" s="623">
        <v>7</v>
      </c>
      <c r="Q9" s="293">
        <v>82</v>
      </c>
      <c r="R9" t="s">
        <v>411</v>
      </c>
      <c r="S9" s="263" t="s">
        <v>384</v>
      </c>
      <c r="T9" s="148">
        <f>Q9/L3</f>
        <v>0.21298701298701297</v>
      </c>
    </row>
    <row r="10" spans="1:22" ht="18.75" x14ac:dyDescent="0.3">
      <c r="A10" s="510" t="s">
        <v>734</v>
      </c>
      <c r="B10" t="s">
        <v>654</v>
      </c>
      <c r="C10" t="s">
        <v>1</v>
      </c>
      <c r="F10" s="264"/>
      <c r="G10" s="655" t="s">
        <v>389</v>
      </c>
      <c r="H10" s="655"/>
      <c r="J10" s="264"/>
      <c r="K10" s="572">
        <v>8</v>
      </c>
      <c r="L10" s="391">
        <v>275</v>
      </c>
      <c r="M10" t="s">
        <v>460</v>
      </c>
      <c r="N10" t="s">
        <v>65</v>
      </c>
      <c r="O10" s="264"/>
      <c r="P10" s="623">
        <v>8</v>
      </c>
      <c r="Q10" s="331">
        <v>81</v>
      </c>
      <c r="R10" t="s">
        <v>423</v>
      </c>
      <c r="S10" s="263" t="s">
        <v>65</v>
      </c>
      <c r="T10" s="148">
        <f>Q10/L9</f>
        <v>0.29241877256317689</v>
      </c>
      <c r="U10" s="264"/>
      <c r="V10" s="264"/>
    </row>
    <row r="11" spans="1:22" x14ac:dyDescent="0.25">
      <c r="A11" s="333" t="s">
        <v>734</v>
      </c>
      <c r="B11" t="s">
        <v>400</v>
      </c>
      <c r="C11" t="s">
        <v>399</v>
      </c>
      <c r="F11">
        <v>1</v>
      </c>
      <c r="G11" s="391">
        <v>213</v>
      </c>
      <c r="H11" t="s">
        <v>654</v>
      </c>
      <c r="I11" t="s">
        <v>1</v>
      </c>
      <c r="K11" s="572">
        <v>9</v>
      </c>
      <c r="L11" s="289">
        <v>268</v>
      </c>
      <c r="M11" t="s">
        <v>401</v>
      </c>
      <c r="N11" s="263" t="s">
        <v>384</v>
      </c>
      <c r="P11" s="623">
        <v>9</v>
      </c>
      <c r="Q11" s="321">
        <v>80</v>
      </c>
      <c r="R11" t="s">
        <v>412</v>
      </c>
      <c r="S11" s="263" t="s">
        <v>64</v>
      </c>
      <c r="T11" s="148">
        <f>Q11/L12</f>
        <v>0.30303030303030304</v>
      </c>
    </row>
    <row r="12" spans="1:22" s="264" customFormat="1" ht="18.75" x14ac:dyDescent="0.3">
      <c r="A12" s="333" t="s">
        <v>734</v>
      </c>
      <c r="B12" t="s">
        <v>424</v>
      </c>
      <c r="C12" s="263" t="s">
        <v>64</v>
      </c>
      <c r="F12">
        <v>2</v>
      </c>
      <c r="G12" s="605">
        <v>88</v>
      </c>
      <c r="H12" s="603" t="s">
        <v>190</v>
      </c>
      <c r="I12" s="604" t="s">
        <v>1</v>
      </c>
      <c r="J12"/>
      <c r="K12" s="572">
        <v>10</v>
      </c>
      <c r="L12" s="289">
        <v>264</v>
      </c>
      <c r="M12" t="s">
        <v>412</v>
      </c>
      <c r="N12" s="263" t="s">
        <v>64</v>
      </c>
      <c r="O12"/>
      <c r="P12" s="623">
        <v>10</v>
      </c>
      <c r="Q12" s="293">
        <v>67</v>
      </c>
      <c r="R12" t="s">
        <v>401</v>
      </c>
      <c r="S12" s="263" t="s">
        <v>384</v>
      </c>
      <c r="T12" s="148">
        <f>Q12/L11</f>
        <v>0.25</v>
      </c>
      <c r="U12"/>
      <c r="V12"/>
    </row>
    <row r="13" spans="1:22" x14ac:dyDescent="0.25">
      <c r="A13" s="617" t="s">
        <v>734</v>
      </c>
      <c r="B13" s="221" t="s">
        <v>741</v>
      </c>
      <c r="C13" s="221" t="s">
        <v>66</v>
      </c>
      <c r="F13">
        <v>3</v>
      </c>
      <c r="G13" s="289">
        <v>80</v>
      </c>
      <c r="H13" t="s">
        <v>411</v>
      </c>
      <c r="I13" s="263" t="s">
        <v>384</v>
      </c>
      <c r="K13" s="572">
        <v>11</v>
      </c>
      <c r="L13" s="391">
        <v>233</v>
      </c>
      <c r="M13" t="s">
        <v>654</v>
      </c>
      <c r="N13" t="s">
        <v>1</v>
      </c>
      <c r="P13" s="623">
        <v>11</v>
      </c>
      <c r="Q13" s="293">
        <v>60</v>
      </c>
      <c r="R13" t="s">
        <v>397</v>
      </c>
      <c r="S13" t="s">
        <v>64</v>
      </c>
      <c r="T13" s="148">
        <f>Q13/L8</f>
        <v>0.20547945205479451</v>
      </c>
    </row>
    <row r="14" spans="1:22" x14ac:dyDescent="0.25">
      <c r="A14" s="627" t="s">
        <v>734</v>
      </c>
      <c r="B14" t="s">
        <v>749</v>
      </c>
      <c r="C14" s="263" t="s">
        <v>384</v>
      </c>
      <c r="F14">
        <v>4</v>
      </c>
      <c r="G14" s="602">
        <v>21</v>
      </c>
      <c r="H14" s="603" t="s">
        <v>185</v>
      </c>
      <c r="I14" s="603" t="s">
        <v>65</v>
      </c>
      <c r="K14" s="572">
        <v>12</v>
      </c>
      <c r="L14" s="289">
        <v>202</v>
      </c>
      <c r="M14" t="s">
        <v>392</v>
      </c>
      <c r="N14" s="263" t="s">
        <v>384</v>
      </c>
      <c r="P14" s="623">
        <v>12</v>
      </c>
      <c r="Q14" s="332">
        <v>59</v>
      </c>
      <c r="R14" t="s">
        <v>462</v>
      </c>
      <c r="S14" s="263" t="s">
        <v>194</v>
      </c>
      <c r="T14" s="148">
        <f>Q14/L19</f>
        <v>0.47967479674796748</v>
      </c>
    </row>
    <row r="15" spans="1:22" x14ac:dyDescent="0.25">
      <c r="A15" s="596" t="s">
        <v>662</v>
      </c>
      <c r="B15" t="s">
        <v>725</v>
      </c>
      <c r="C15" t="s">
        <v>2</v>
      </c>
      <c r="F15">
        <v>5</v>
      </c>
      <c r="G15" s="391">
        <v>8</v>
      </c>
      <c r="H15" t="s">
        <v>393</v>
      </c>
      <c r="I15" s="263" t="s">
        <v>64</v>
      </c>
      <c r="K15" s="572">
        <v>13</v>
      </c>
      <c r="L15" s="293">
        <v>199</v>
      </c>
      <c r="M15" t="s">
        <v>192</v>
      </c>
      <c r="N15" s="263" t="s">
        <v>1</v>
      </c>
      <c r="P15" s="623">
        <v>13</v>
      </c>
      <c r="Q15" s="289">
        <v>53</v>
      </c>
      <c r="R15" t="s">
        <v>392</v>
      </c>
      <c r="S15" t="s">
        <v>2</v>
      </c>
      <c r="T15" s="148">
        <f>Q15/L14</f>
        <v>0.26237623762376239</v>
      </c>
    </row>
    <row r="16" spans="1:22" x14ac:dyDescent="0.25">
      <c r="A16" s="333" t="s">
        <v>662</v>
      </c>
      <c r="B16" t="s">
        <v>393</v>
      </c>
      <c r="C16" s="263" t="s">
        <v>64</v>
      </c>
      <c r="F16">
        <v>6</v>
      </c>
      <c r="G16" s="602">
        <v>6</v>
      </c>
      <c r="H16" s="603" t="s">
        <v>187</v>
      </c>
      <c r="I16" s="604" t="s">
        <v>64</v>
      </c>
      <c r="K16" s="572">
        <v>14</v>
      </c>
      <c r="L16" s="391">
        <v>172</v>
      </c>
      <c r="M16" t="s">
        <v>725</v>
      </c>
      <c r="N16" t="s">
        <v>2</v>
      </c>
      <c r="P16" s="623">
        <v>14</v>
      </c>
      <c r="Q16" s="536">
        <v>33</v>
      </c>
      <c r="R16" t="s">
        <v>725</v>
      </c>
      <c r="S16" t="s">
        <v>2</v>
      </c>
      <c r="T16" s="148">
        <f>Q16/L18</f>
        <v>0.22602739726027396</v>
      </c>
      <c r="U16">
        <v>79</v>
      </c>
    </row>
    <row r="17" spans="1:21" x14ac:dyDescent="0.25">
      <c r="A17" s="331" t="s">
        <v>662</v>
      </c>
      <c r="B17" t="s">
        <v>411</v>
      </c>
      <c r="C17" s="263" t="s">
        <v>384</v>
      </c>
      <c r="F17">
        <v>7</v>
      </c>
      <c r="G17" s="605">
        <v>5</v>
      </c>
      <c r="H17" s="603" t="s">
        <v>186</v>
      </c>
      <c r="I17" s="604" t="s">
        <v>64</v>
      </c>
      <c r="K17" s="572">
        <v>15</v>
      </c>
      <c r="L17" s="602">
        <v>146</v>
      </c>
      <c r="M17" s="603" t="s">
        <v>190</v>
      </c>
      <c r="N17" s="604" t="s">
        <v>1</v>
      </c>
      <c r="P17" s="623">
        <v>15</v>
      </c>
      <c r="Q17" s="391">
        <v>32</v>
      </c>
      <c r="R17" s="221" t="s">
        <v>741</v>
      </c>
      <c r="S17" s="221" t="s">
        <v>66</v>
      </c>
      <c r="T17" s="148">
        <f>Q17/L21</f>
        <v>0.33333333333333331</v>
      </c>
      <c r="U17" s="221">
        <v>89</v>
      </c>
    </row>
    <row r="18" spans="1:21" x14ac:dyDescent="0.25">
      <c r="A18" s="331" t="s">
        <v>743</v>
      </c>
      <c r="B18" t="s">
        <v>460</v>
      </c>
      <c r="C18" s="263" t="s">
        <v>65</v>
      </c>
      <c r="F18">
        <v>8</v>
      </c>
      <c r="G18" s="602">
        <v>4</v>
      </c>
      <c r="H18" s="603" t="s">
        <v>347</v>
      </c>
      <c r="I18" s="604" t="s">
        <v>194</v>
      </c>
      <c r="K18" s="572">
        <v>15</v>
      </c>
      <c r="L18" s="391">
        <v>146</v>
      </c>
      <c r="M18" t="s">
        <v>728</v>
      </c>
      <c r="N18" t="s">
        <v>66</v>
      </c>
      <c r="P18" s="623">
        <v>16</v>
      </c>
      <c r="Q18" s="289">
        <v>27</v>
      </c>
      <c r="R18" t="s">
        <v>436</v>
      </c>
      <c r="S18" t="s">
        <v>64</v>
      </c>
      <c r="T18" s="148">
        <f>Q18/L20</f>
        <v>0.24770642201834864</v>
      </c>
    </row>
    <row r="19" spans="1:21" x14ac:dyDescent="0.25">
      <c r="A19" s="333" t="s">
        <v>743</v>
      </c>
      <c r="B19" t="s">
        <v>423</v>
      </c>
      <c r="C19" s="263" t="s">
        <v>65</v>
      </c>
      <c r="F19">
        <v>9</v>
      </c>
      <c r="G19" s="547">
        <v>2</v>
      </c>
      <c r="H19" t="s">
        <v>192</v>
      </c>
      <c r="I19" s="263" t="s">
        <v>1</v>
      </c>
      <c r="K19" s="572">
        <v>17</v>
      </c>
      <c r="L19" s="391">
        <v>123</v>
      </c>
      <c r="M19" s="221" t="s">
        <v>508</v>
      </c>
      <c r="N19" s="398" t="s">
        <v>194</v>
      </c>
      <c r="P19" s="623">
        <v>17</v>
      </c>
      <c r="Q19" s="289">
        <v>23</v>
      </c>
      <c r="R19" t="s">
        <v>510</v>
      </c>
      <c r="S19" t="s">
        <v>2</v>
      </c>
      <c r="T19" s="148">
        <f>Q19/L23</f>
        <v>0.26436781609195403</v>
      </c>
    </row>
    <row r="20" spans="1:21" x14ac:dyDescent="0.25">
      <c r="A20" s="333" t="s">
        <v>687</v>
      </c>
      <c r="B20" t="s">
        <v>412</v>
      </c>
      <c r="C20" s="263" t="s">
        <v>64</v>
      </c>
      <c r="F20">
        <v>10</v>
      </c>
      <c r="G20" s="605">
        <v>1</v>
      </c>
      <c r="H20" s="603" t="s">
        <v>191</v>
      </c>
      <c r="I20" s="604" t="s">
        <v>194</v>
      </c>
      <c r="K20" s="572">
        <v>18</v>
      </c>
      <c r="L20" s="391">
        <v>109</v>
      </c>
      <c r="M20" t="s">
        <v>436</v>
      </c>
      <c r="N20" t="s">
        <v>64</v>
      </c>
      <c r="P20" s="623">
        <v>18</v>
      </c>
      <c r="Q20" s="602">
        <v>19</v>
      </c>
      <c r="R20" s="603" t="s">
        <v>191</v>
      </c>
      <c r="S20" s="604" t="s">
        <v>394</v>
      </c>
      <c r="T20" s="148"/>
    </row>
    <row r="21" spans="1:21" x14ac:dyDescent="0.25">
      <c r="A21" s="333" t="s">
        <v>687</v>
      </c>
      <c r="B21" t="s">
        <v>397</v>
      </c>
      <c r="C21" s="263" t="s">
        <v>64</v>
      </c>
      <c r="F21">
        <v>10</v>
      </c>
      <c r="G21" s="3">
        <v>1</v>
      </c>
      <c r="H21" t="s">
        <v>392</v>
      </c>
      <c r="I21" t="s">
        <v>2</v>
      </c>
      <c r="K21" s="572">
        <v>19</v>
      </c>
      <c r="L21" s="612">
        <v>96</v>
      </c>
      <c r="M21" s="221" t="s">
        <v>741</v>
      </c>
      <c r="N21" s="221" t="s">
        <v>66</v>
      </c>
      <c r="P21" s="623">
        <v>19</v>
      </c>
      <c r="Q21" s="602">
        <v>15</v>
      </c>
      <c r="R21" s="603" t="s">
        <v>186</v>
      </c>
      <c r="S21" s="604" t="s">
        <v>64</v>
      </c>
      <c r="T21" s="148"/>
    </row>
    <row r="22" spans="1:21" x14ac:dyDescent="0.25">
      <c r="A22" s="331" t="s">
        <v>687</v>
      </c>
      <c r="B22" t="s">
        <v>422</v>
      </c>
      <c r="C22" s="263" t="s">
        <v>194</v>
      </c>
      <c r="F22">
        <v>10</v>
      </c>
      <c r="G22" s="3">
        <v>1</v>
      </c>
      <c r="H22" t="s">
        <v>749</v>
      </c>
      <c r="I22" s="604" t="s">
        <v>2</v>
      </c>
      <c r="K22" s="572">
        <v>20</v>
      </c>
      <c r="L22" s="602">
        <v>89</v>
      </c>
      <c r="M22" s="603" t="s">
        <v>402</v>
      </c>
      <c r="N22" s="604" t="s">
        <v>384</v>
      </c>
      <c r="P22" s="623">
        <v>20</v>
      </c>
      <c r="Q22" s="602">
        <v>12</v>
      </c>
      <c r="R22" s="603" t="s">
        <v>454</v>
      </c>
      <c r="S22" s="604" t="s">
        <v>194</v>
      </c>
      <c r="T22" s="148"/>
    </row>
    <row r="23" spans="1:21" x14ac:dyDescent="0.25">
      <c r="A23" s="333" t="s">
        <v>584</v>
      </c>
      <c r="B23" t="s">
        <v>462</v>
      </c>
      <c r="C23" s="263" t="s">
        <v>194</v>
      </c>
      <c r="G23" s="606">
        <f>SUM(G11:G22)</f>
        <v>430</v>
      </c>
      <c r="K23" s="572">
        <v>21</v>
      </c>
      <c r="L23" s="547">
        <v>87</v>
      </c>
      <c r="M23" t="s">
        <v>510</v>
      </c>
      <c r="N23" t="s">
        <v>384</v>
      </c>
      <c r="P23" s="623">
        <v>21</v>
      </c>
      <c r="Q23" s="293">
        <v>11</v>
      </c>
      <c r="R23" t="s">
        <v>192</v>
      </c>
      <c r="S23" s="263" t="s">
        <v>1</v>
      </c>
      <c r="T23" s="148">
        <f>Q23/L15</f>
        <v>5.5276381909547742E-2</v>
      </c>
    </row>
    <row r="24" spans="1:21" x14ac:dyDescent="0.25">
      <c r="A24" s="298" t="s">
        <v>735</v>
      </c>
      <c r="B24" t="s">
        <v>401</v>
      </c>
      <c r="C24" s="263" t="s">
        <v>384</v>
      </c>
      <c r="K24" s="572">
        <v>22</v>
      </c>
      <c r="L24" s="602">
        <v>55</v>
      </c>
      <c r="M24" s="603" t="s">
        <v>191</v>
      </c>
      <c r="N24" s="604" t="s">
        <v>194</v>
      </c>
      <c r="P24" s="623">
        <v>22</v>
      </c>
      <c r="Q24" s="602">
        <v>10</v>
      </c>
      <c r="R24" s="603" t="s">
        <v>402</v>
      </c>
      <c r="S24" s="604" t="s">
        <v>384</v>
      </c>
      <c r="T24" s="148"/>
    </row>
    <row r="25" spans="1:21" x14ac:dyDescent="0.25">
      <c r="A25" s="333" t="s">
        <v>468</v>
      </c>
      <c r="B25" t="s">
        <v>192</v>
      </c>
      <c r="C25" s="263" t="s">
        <v>1</v>
      </c>
      <c r="P25" s="623">
        <v>22</v>
      </c>
      <c r="Q25" s="602">
        <v>10</v>
      </c>
      <c r="R25" s="603" t="s">
        <v>461</v>
      </c>
      <c r="S25" s="604" t="s">
        <v>194</v>
      </c>
      <c r="T25" s="445"/>
    </row>
    <row r="26" spans="1:21" x14ac:dyDescent="0.25">
      <c r="A26" s="602" t="s">
        <v>468</v>
      </c>
      <c r="B26" s="603" t="s">
        <v>190</v>
      </c>
      <c r="C26" s="604" t="s">
        <v>1</v>
      </c>
      <c r="P26" s="623">
        <v>24</v>
      </c>
      <c r="Q26" s="602">
        <v>9</v>
      </c>
      <c r="R26" s="603" t="s">
        <v>404</v>
      </c>
      <c r="S26" s="603" t="s">
        <v>194</v>
      </c>
      <c r="T26" s="148"/>
    </row>
    <row r="27" spans="1:21" x14ac:dyDescent="0.25">
      <c r="A27" s="331" t="s">
        <v>468</v>
      </c>
      <c r="B27" t="s">
        <v>436</v>
      </c>
      <c r="C27" t="s">
        <v>64</v>
      </c>
      <c r="P27" s="623">
        <v>24</v>
      </c>
      <c r="Q27" s="602">
        <v>9</v>
      </c>
      <c r="R27" s="603" t="s">
        <v>403</v>
      </c>
      <c r="S27" s="603" t="s">
        <v>194</v>
      </c>
      <c r="T27" s="148"/>
    </row>
    <row r="28" spans="1:21" x14ac:dyDescent="0.25">
      <c r="A28" s="602" t="s">
        <v>398</v>
      </c>
      <c r="B28" s="603" t="s">
        <v>347</v>
      </c>
      <c r="C28" s="604" t="s">
        <v>194</v>
      </c>
      <c r="P28" s="623">
        <v>26</v>
      </c>
      <c r="Q28" s="602">
        <v>8</v>
      </c>
      <c r="R28" s="603" t="s">
        <v>188</v>
      </c>
      <c r="S28" s="603" t="s">
        <v>384</v>
      </c>
      <c r="T28" s="148"/>
    </row>
    <row r="29" spans="1:21" x14ac:dyDescent="0.25">
      <c r="A29" s="331" t="s">
        <v>398</v>
      </c>
      <c r="B29" t="s">
        <v>392</v>
      </c>
      <c r="C29" s="263" t="s">
        <v>2</v>
      </c>
      <c r="P29" s="623">
        <v>27</v>
      </c>
      <c r="Q29" s="602">
        <v>6</v>
      </c>
      <c r="R29" s="603" t="s">
        <v>190</v>
      </c>
      <c r="S29" s="604" t="s">
        <v>1</v>
      </c>
      <c r="T29" s="148"/>
    </row>
    <row r="30" spans="1:21" x14ac:dyDescent="0.25">
      <c r="A30" s="400" t="s">
        <v>398</v>
      </c>
      <c r="B30" t="s">
        <v>510</v>
      </c>
      <c r="C30" t="s">
        <v>384</v>
      </c>
      <c r="P30" s="623">
        <v>28</v>
      </c>
      <c r="Q30" s="602">
        <v>3</v>
      </c>
      <c r="R30" s="603" t="s">
        <v>664</v>
      </c>
      <c r="S30" s="603" t="s">
        <v>66</v>
      </c>
      <c r="T30" s="148"/>
    </row>
    <row r="31" spans="1:21" x14ac:dyDescent="0.25">
      <c r="A31" s="602" t="s">
        <v>727</v>
      </c>
      <c r="B31" s="603" t="s">
        <v>664</v>
      </c>
      <c r="C31" s="603" t="s">
        <v>66</v>
      </c>
      <c r="P31" s="623">
        <v>28</v>
      </c>
      <c r="Q31" s="602">
        <v>3</v>
      </c>
      <c r="R31" s="603" t="s">
        <v>514</v>
      </c>
      <c r="S31" s="603" t="s">
        <v>64</v>
      </c>
      <c r="T31" s="148"/>
    </row>
    <row r="32" spans="1:21" x14ac:dyDescent="0.25">
      <c r="A32" s="602" t="s">
        <v>435</v>
      </c>
      <c r="B32" s="603" t="s">
        <v>461</v>
      </c>
      <c r="C32" s="604" t="s">
        <v>194</v>
      </c>
      <c r="P32" s="623">
        <v>28</v>
      </c>
      <c r="Q32" s="391">
        <v>3</v>
      </c>
      <c r="R32" t="s">
        <v>749</v>
      </c>
      <c r="S32" s="221" t="s">
        <v>384</v>
      </c>
      <c r="T32" s="148"/>
      <c r="U32" s="221">
        <v>49</v>
      </c>
    </row>
    <row r="33" spans="1:21" x14ac:dyDescent="0.25">
      <c r="A33" s="619" t="s">
        <v>435</v>
      </c>
      <c r="B33" s="620" t="s">
        <v>454</v>
      </c>
      <c r="C33" s="620" t="s">
        <v>194</v>
      </c>
      <c r="P33" s="627">
        <v>31</v>
      </c>
      <c r="Q33" s="391">
        <v>2</v>
      </c>
      <c r="R33" t="s">
        <v>654</v>
      </c>
      <c r="S33" s="221" t="s">
        <v>1</v>
      </c>
      <c r="T33" s="148">
        <f>Q33/L13</f>
        <v>8.5836909871244635E-3</v>
      </c>
      <c r="U33" s="221">
        <v>3</v>
      </c>
    </row>
    <row r="34" spans="1:21" x14ac:dyDescent="0.25">
      <c r="G34" s="627"/>
      <c r="Q34" s="607">
        <f>SUM(Q3:Q33)</f>
        <v>1505</v>
      </c>
    </row>
    <row r="35" spans="1:21" x14ac:dyDescent="0.25">
      <c r="A35" s="292"/>
      <c r="B35" s="290"/>
      <c r="C35" s="291"/>
    </row>
    <row r="36" spans="1:21" x14ac:dyDescent="0.25">
      <c r="A36" s="292"/>
      <c r="B36" s="290"/>
      <c r="C36" s="291"/>
    </row>
    <row r="37" spans="1:21" x14ac:dyDescent="0.25">
      <c r="A37" s="292"/>
      <c r="B37" s="290"/>
      <c r="C37" s="291"/>
    </row>
    <row r="38" spans="1:21" x14ac:dyDescent="0.25">
      <c r="A38" s="292"/>
      <c r="B38" s="290"/>
      <c r="C38" s="290"/>
    </row>
    <row r="39" spans="1:21" x14ac:dyDescent="0.25">
      <c r="A39" s="597"/>
    </row>
  </sheetData>
  <mergeCells count="5">
    <mergeCell ref="G10:H10"/>
    <mergeCell ref="G2:H2"/>
    <mergeCell ref="Q2:R2"/>
    <mergeCell ref="A8:B8"/>
    <mergeCell ref="L2:N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27"/>
  <sheetViews>
    <sheetView zoomScale="80" zoomScaleNormal="80" workbookViewId="0">
      <selection activeCell="T43" sqref="T43"/>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46"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67" t="s">
        <v>197</v>
      </c>
      <c r="B1" s="167"/>
      <c r="C1" s="167"/>
      <c r="D1" s="167"/>
      <c r="E1" s="167"/>
      <c r="F1" s="167"/>
      <c r="G1" s="167"/>
      <c r="H1" s="244"/>
      <c r="I1" s="167"/>
      <c r="J1" s="167"/>
      <c r="K1" s="167"/>
      <c r="L1" s="167"/>
      <c r="M1" s="167"/>
      <c r="N1" s="167"/>
      <c r="O1" s="167"/>
      <c r="P1" s="167"/>
      <c r="Q1" s="167"/>
      <c r="R1" s="167"/>
      <c r="S1" s="167"/>
      <c r="T1" s="167"/>
      <c r="U1" s="167"/>
      <c r="V1" s="167"/>
      <c r="W1" s="167"/>
      <c r="X1" s="239"/>
      <c r="Y1" s="168" t="s">
        <v>198</v>
      </c>
    </row>
    <row r="2" spans="1:45" x14ac:dyDescent="0.25">
      <c r="A2" s="220" t="s">
        <v>168</v>
      </c>
      <c r="B2" s="169">
        <v>17</v>
      </c>
      <c r="C2" s="169">
        <v>18</v>
      </c>
      <c r="D2" s="169">
        <v>19</v>
      </c>
      <c r="E2" s="169">
        <v>20</v>
      </c>
      <c r="F2" s="169">
        <v>21</v>
      </c>
      <c r="G2" s="248">
        <v>22</v>
      </c>
      <c r="H2" s="169">
        <v>23</v>
      </c>
      <c r="I2" s="169">
        <v>24</v>
      </c>
      <c r="J2" s="169">
        <v>25</v>
      </c>
      <c r="K2" s="169">
        <v>26</v>
      </c>
      <c r="L2" s="169">
        <v>27</v>
      </c>
      <c r="M2" s="249">
        <v>28</v>
      </c>
      <c r="N2" s="249">
        <v>29</v>
      </c>
      <c r="O2" s="249">
        <v>30</v>
      </c>
      <c r="P2" s="249">
        <v>31</v>
      </c>
      <c r="Q2" s="169">
        <v>32</v>
      </c>
      <c r="R2" s="169">
        <v>33</v>
      </c>
      <c r="S2" s="169">
        <v>34</v>
      </c>
      <c r="T2" s="169">
        <v>35</v>
      </c>
      <c r="U2" s="169">
        <v>36</v>
      </c>
      <c r="V2" s="169">
        <v>37</v>
      </c>
      <c r="W2" s="169">
        <v>38</v>
      </c>
      <c r="X2" s="240"/>
      <c r="Y2" s="167" t="s">
        <v>199</v>
      </c>
    </row>
    <row r="3" spans="1:45" ht="16.5" thickBot="1" x14ac:dyDescent="0.3">
      <c r="A3" s="170">
        <v>0.05</v>
      </c>
      <c r="B3" s="165">
        <v>3.2</v>
      </c>
      <c r="C3" s="165">
        <v>3.7</v>
      </c>
      <c r="D3" s="165">
        <v>4.0999999999999996</v>
      </c>
      <c r="E3" s="165">
        <v>4.4000000000000004</v>
      </c>
      <c r="F3" s="278">
        <v>4.5999999999999996</v>
      </c>
      <c r="G3" s="245">
        <v>4.7</v>
      </c>
      <c r="H3" s="278">
        <v>4.55</v>
      </c>
      <c r="I3" s="165">
        <v>4.4000000000000004</v>
      </c>
      <c r="J3" s="165">
        <v>4.25</v>
      </c>
      <c r="K3" s="165">
        <v>4.0999999999999996</v>
      </c>
      <c r="L3" s="165">
        <v>3.95</v>
      </c>
      <c r="M3" s="250">
        <v>3.8</v>
      </c>
      <c r="N3" s="250">
        <v>3.6500000000000004</v>
      </c>
      <c r="O3" s="250">
        <v>3.5</v>
      </c>
      <c r="P3" s="250">
        <v>3.3499999999999996</v>
      </c>
      <c r="Q3" s="165">
        <v>3.1500000000000004</v>
      </c>
      <c r="R3" s="165">
        <v>2.95</v>
      </c>
      <c r="S3" s="165">
        <v>2.65</v>
      </c>
      <c r="T3" s="165">
        <v>2.2999999999999998</v>
      </c>
      <c r="U3" s="165">
        <v>1.9</v>
      </c>
      <c r="V3" s="165">
        <v>1.4500000000000002</v>
      </c>
      <c r="W3" s="165">
        <v>0.95</v>
      </c>
      <c r="X3" s="241"/>
      <c r="Y3" s="167"/>
    </row>
    <row r="4" spans="1:45" ht="16.5" thickBot="1" x14ac:dyDescent="0.3">
      <c r="A4" s="170">
        <v>0.06</v>
      </c>
      <c r="B4" s="165">
        <v>3.5700000000000003</v>
      </c>
      <c r="C4" s="165">
        <v>4.07</v>
      </c>
      <c r="D4" s="165">
        <v>4.47</v>
      </c>
      <c r="E4" s="165">
        <v>4.7699999999999996</v>
      </c>
      <c r="F4" s="278">
        <v>4.97</v>
      </c>
      <c r="G4" s="245">
        <v>5.07</v>
      </c>
      <c r="H4" s="278">
        <v>4.92</v>
      </c>
      <c r="I4" s="165">
        <v>4.7699999999999996</v>
      </c>
      <c r="J4" s="165">
        <v>4.62</v>
      </c>
      <c r="K4" s="165">
        <v>4.47</v>
      </c>
      <c r="L4" s="165">
        <v>4.32</v>
      </c>
      <c r="M4" s="250">
        <v>4.17</v>
      </c>
      <c r="N4" s="250">
        <v>4.0199999999999996</v>
      </c>
      <c r="O4" s="250">
        <v>3.87</v>
      </c>
      <c r="P4" s="250">
        <v>3.7199999999999998</v>
      </c>
      <c r="Q4" s="165">
        <v>3.5199999999999996</v>
      </c>
      <c r="R4" s="165">
        <v>3.3200000000000003</v>
      </c>
      <c r="S4" s="165">
        <v>3.0199999999999996</v>
      </c>
      <c r="T4" s="165">
        <v>2.67</v>
      </c>
      <c r="U4" s="165">
        <v>2.27</v>
      </c>
      <c r="V4" s="165">
        <v>1.8199999999999998</v>
      </c>
      <c r="W4" s="165">
        <v>1.3199999999999998</v>
      </c>
      <c r="X4" s="241"/>
      <c r="Y4" s="146" t="s">
        <v>200</v>
      </c>
      <c r="Z4" s="146">
        <v>0</v>
      </c>
      <c r="AA4" s="146">
        <v>5</v>
      </c>
      <c r="AB4" s="146">
        <v>10</v>
      </c>
      <c r="AC4" s="146">
        <v>15</v>
      </c>
      <c r="AD4" s="146">
        <v>20</v>
      </c>
      <c r="AE4" s="146">
        <v>25</v>
      </c>
      <c r="AF4" s="146">
        <v>30</v>
      </c>
      <c r="AG4" s="146">
        <v>35</v>
      </c>
      <c r="AH4" s="146">
        <v>40</v>
      </c>
      <c r="AI4" s="146">
        <v>45</v>
      </c>
      <c r="AJ4" s="146">
        <v>50</v>
      </c>
      <c r="AK4" s="146">
        <v>55</v>
      </c>
      <c r="AL4" s="146">
        <v>60</v>
      </c>
      <c r="AM4" s="146">
        <v>65</v>
      </c>
      <c r="AN4" s="146">
        <v>70</v>
      </c>
      <c r="AO4" s="146">
        <v>75</v>
      </c>
      <c r="AP4" s="146">
        <v>80</v>
      </c>
      <c r="AQ4" s="146">
        <v>85</v>
      </c>
      <c r="AR4" s="146">
        <v>90</v>
      </c>
      <c r="AS4" s="146" t="s">
        <v>201</v>
      </c>
    </row>
    <row r="5" spans="1:45" ht="16.5" thickBot="1" x14ac:dyDescent="0.3">
      <c r="A5" s="170">
        <v>7.0000000000000007E-2</v>
      </c>
      <c r="B5" s="165">
        <v>3.92</v>
      </c>
      <c r="C5" s="165">
        <v>4.42</v>
      </c>
      <c r="D5" s="165">
        <v>4.82</v>
      </c>
      <c r="E5" s="165">
        <v>5.12</v>
      </c>
      <c r="F5" s="278">
        <v>5.32</v>
      </c>
      <c r="G5" s="251">
        <v>5.42</v>
      </c>
      <c r="H5" s="278">
        <v>5.27</v>
      </c>
      <c r="I5" s="165">
        <v>5.12</v>
      </c>
      <c r="J5" s="165">
        <v>4.97</v>
      </c>
      <c r="K5" s="165">
        <v>4.82</v>
      </c>
      <c r="L5" s="165">
        <v>4.67</v>
      </c>
      <c r="M5" s="250">
        <v>4.5199999999999996</v>
      </c>
      <c r="N5" s="250">
        <v>4.37</v>
      </c>
      <c r="O5" s="250">
        <v>4.22</v>
      </c>
      <c r="P5" s="250">
        <v>4.07</v>
      </c>
      <c r="Q5" s="165">
        <v>3.87</v>
      </c>
      <c r="R5" s="165">
        <v>3.67</v>
      </c>
      <c r="S5" s="165">
        <v>3.37</v>
      </c>
      <c r="T5" s="165">
        <v>3.0199999999999996</v>
      </c>
      <c r="U5" s="165">
        <v>2.62</v>
      </c>
      <c r="V5" s="165">
        <v>2.17</v>
      </c>
      <c r="W5" s="165">
        <v>1.67</v>
      </c>
      <c r="X5" s="241"/>
      <c r="Y5" s="146">
        <v>9</v>
      </c>
      <c r="Z5" s="146">
        <v>100</v>
      </c>
      <c r="AA5" s="146">
        <v>100</v>
      </c>
      <c r="AB5" s="146">
        <v>100</v>
      </c>
      <c r="AC5" s="146">
        <v>100</v>
      </c>
      <c r="AD5" s="146">
        <v>100</v>
      </c>
      <c r="AE5" s="146">
        <v>100</v>
      </c>
      <c r="AF5" s="146">
        <v>100</v>
      </c>
      <c r="AG5" s="146">
        <v>100</v>
      </c>
      <c r="AH5" s="146">
        <v>100</v>
      </c>
      <c r="AI5" s="146">
        <v>100</v>
      </c>
      <c r="AJ5" s="146">
        <v>100</v>
      </c>
      <c r="AK5" s="146">
        <v>100</v>
      </c>
      <c r="AL5" s="146">
        <v>100</v>
      </c>
      <c r="AM5" s="146">
        <v>100</v>
      </c>
      <c r="AN5" s="146">
        <v>100</v>
      </c>
      <c r="AO5" s="146">
        <v>100</v>
      </c>
      <c r="AP5" s="146">
        <v>100</v>
      </c>
      <c r="AQ5" s="146">
        <v>100</v>
      </c>
      <c r="AR5" s="146">
        <v>99</v>
      </c>
      <c r="AS5" s="146">
        <v>99.95</v>
      </c>
    </row>
    <row r="6" spans="1:45" ht="19.5" thickBot="1" x14ac:dyDescent="0.35">
      <c r="A6" s="170">
        <v>0.08</v>
      </c>
      <c r="B6" s="297">
        <v>4.24</v>
      </c>
      <c r="C6" s="297">
        <v>4.74</v>
      </c>
      <c r="D6" s="297">
        <v>5.14</v>
      </c>
      <c r="E6" s="297">
        <v>5.44</v>
      </c>
      <c r="F6" s="297">
        <v>5.64</v>
      </c>
      <c r="G6" s="245">
        <v>5.74</v>
      </c>
      <c r="H6" s="297">
        <v>5.59</v>
      </c>
      <c r="I6" s="297">
        <v>5.44</v>
      </c>
      <c r="J6" s="297">
        <v>5.29</v>
      </c>
      <c r="K6" s="297">
        <v>5.14</v>
      </c>
      <c r="L6" s="297">
        <v>4.99</v>
      </c>
      <c r="M6" s="250">
        <v>4.84</v>
      </c>
      <c r="N6" s="250">
        <v>4.6900000000000004</v>
      </c>
      <c r="O6" s="250">
        <v>4.54</v>
      </c>
      <c r="P6" s="250">
        <v>4.3899999999999997</v>
      </c>
      <c r="Q6" s="297">
        <v>4.1900000000000004</v>
      </c>
      <c r="R6" s="297">
        <v>3.99</v>
      </c>
      <c r="S6" s="297">
        <v>3.6900000000000004</v>
      </c>
      <c r="T6" s="297">
        <v>3.34</v>
      </c>
      <c r="U6" s="297">
        <v>2.94</v>
      </c>
      <c r="V6" s="297">
        <v>2.4900000000000002</v>
      </c>
      <c r="W6" s="297">
        <v>1.9900000000000002</v>
      </c>
      <c r="X6" s="242"/>
      <c r="Y6" s="146">
        <v>8.9</v>
      </c>
      <c r="Z6" s="146">
        <v>100</v>
      </c>
      <c r="AA6" s="146">
        <v>100</v>
      </c>
      <c r="AB6" s="146">
        <v>100</v>
      </c>
      <c r="AC6" s="146">
        <v>100</v>
      </c>
      <c r="AD6" s="146">
        <v>100</v>
      </c>
      <c r="AE6" s="146">
        <v>100</v>
      </c>
      <c r="AF6" s="146">
        <v>100</v>
      </c>
      <c r="AG6" s="146">
        <v>100</v>
      </c>
      <c r="AH6" s="146">
        <v>100</v>
      </c>
      <c r="AI6" s="146">
        <v>100</v>
      </c>
      <c r="AJ6" s="146">
        <v>100</v>
      </c>
      <c r="AK6" s="146">
        <v>100</v>
      </c>
      <c r="AL6" s="146">
        <v>100</v>
      </c>
      <c r="AM6" s="146">
        <v>100</v>
      </c>
      <c r="AN6" s="146">
        <v>100</v>
      </c>
      <c r="AO6" s="146">
        <v>100</v>
      </c>
      <c r="AP6" s="146">
        <v>100</v>
      </c>
      <c r="AQ6" s="146">
        <v>100</v>
      </c>
      <c r="AR6" s="146">
        <v>98</v>
      </c>
      <c r="AS6" s="146">
        <v>99.89</v>
      </c>
    </row>
    <row r="7" spans="1:45" ht="16.5" thickBot="1" x14ac:dyDescent="0.3">
      <c r="A7" s="170">
        <v>0.09</v>
      </c>
      <c r="B7" s="297">
        <v>4.53</v>
      </c>
      <c r="C7" s="297">
        <v>5.03</v>
      </c>
      <c r="D7" s="297">
        <v>5.43</v>
      </c>
      <c r="E7" s="297">
        <v>5.73</v>
      </c>
      <c r="F7" s="297">
        <v>5.93</v>
      </c>
      <c r="G7" s="251">
        <v>6.03</v>
      </c>
      <c r="H7" s="297">
        <v>5.88</v>
      </c>
      <c r="I7" s="297">
        <v>5.73</v>
      </c>
      <c r="J7" s="297">
        <v>5.58</v>
      </c>
      <c r="K7" s="297">
        <v>5.43</v>
      </c>
      <c r="L7" s="297">
        <v>5.28</v>
      </c>
      <c r="M7" s="250">
        <v>5.13</v>
      </c>
      <c r="N7" s="250">
        <v>4.9800000000000004</v>
      </c>
      <c r="O7" s="250">
        <v>4.83</v>
      </c>
      <c r="P7" s="250">
        <v>4.68</v>
      </c>
      <c r="Q7" s="297">
        <v>4.4800000000000004</v>
      </c>
      <c r="R7" s="297">
        <v>4.28</v>
      </c>
      <c r="S7" s="297">
        <v>3.9800000000000004</v>
      </c>
      <c r="T7" s="297">
        <v>3.63</v>
      </c>
      <c r="U7" s="297">
        <v>3.2300000000000004</v>
      </c>
      <c r="V7" s="297">
        <v>2.78</v>
      </c>
      <c r="W7" s="297">
        <v>2.2799999999999998</v>
      </c>
      <c r="X7" s="241"/>
      <c r="Y7" s="146">
        <v>8.8000000000000007</v>
      </c>
      <c r="Z7" s="146">
        <v>100</v>
      </c>
      <c r="AA7" s="146">
        <v>100</v>
      </c>
      <c r="AB7" s="146">
        <v>100</v>
      </c>
      <c r="AC7" s="146">
        <v>100</v>
      </c>
      <c r="AD7" s="146">
        <v>100</v>
      </c>
      <c r="AE7" s="146">
        <v>100</v>
      </c>
      <c r="AF7" s="146">
        <v>100</v>
      </c>
      <c r="AG7" s="146">
        <v>100</v>
      </c>
      <c r="AH7" s="146">
        <v>100</v>
      </c>
      <c r="AI7" s="146">
        <v>100</v>
      </c>
      <c r="AJ7" s="146">
        <v>100</v>
      </c>
      <c r="AK7" s="146">
        <v>100</v>
      </c>
      <c r="AL7" s="146">
        <v>100</v>
      </c>
      <c r="AM7" s="146">
        <v>100</v>
      </c>
      <c r="AN7" s="146">
        <v>100</v>
      </c>
      <c r="AO7" s="146">
        <v>100</v>
      </c>
      <c r="AP7" s="146">
        <v>100</v>
      </c>
      <c r="AQ7" s="146">
        <v>100</v>
      </c>
      <c r="AR7" s="146">
        <v>97</v>
      </c>
      <c r="AS7" s="146">
        <v>99.84</v>
      </c>
    </row>
    <row r="8" spans="1:45" ht="19.5" thickBot="1" x14ac:dyDescent="0.35">
      <c r="A8" s="171">
        <v>0.1</v>
      </c>
      <c r="B8" s="172">
        <v>4.8099999999999996</v>
      </c>
      <c r="C8" s="172">
        <v>5.31</v>
      </c>
      <c r="D8" s="172">
        <v>5.71</v>
      </c>
      <c r="E8" s="172">
        <v>6.01</v>
      </c>
      <c r="F8" s="172">
        <v>6.21</v>
      </c>
      <c r="G8" s="245">
        <v>6.31</v>
      </c>
      <c r="H8" s="172">
        <v>6.16</v>
      </c>
      <c r="I8" s="172">
        <v>6.01</v>
      </c>
      <c r="J8" s="172">
        <v>5.86</v>
      </c>
      <c r="K8" s="172">
        <v>5.71</v>
      </c>
      <c r="L8" s="172">
        <v>5.56</v>
      </c>
      <c r="M8" s="173">
        <v>5.41</v>
      </c>
      <c r="N8" s="173">
        <v>5.26</v>
      </c>
      <c r="O8" s="173">
        <v>5.1100000000000003</v>
      </c>
      <c r="P8" s="173">
        <v>4.96</v>
      </c>
      <c r="Q8" s="172">
        <v>4.76</v>
      </c>
      <c r="R8" s="172">
        <v>4.5599999999999996</v>
      </c>
      <c r="S8" s="172">
        <v>4.26</v>
      </c>
      <c r="T8" s="172">
        <v>3.91</v>
      </c>
      <c r="U8" s="172">
        <v>3.51</v>
      </c>
      <c r="V8" s="172">
        <v>3.0599999999999996</v>
      </c>
      <c r="W8" s="172">
        <v>2.56</v>
      </c>
      <c r="X8" s="241"/>
      <c r="Y8" s="146">
        <v>8.6999999999999993</v>
      </c>
      <c r="Z8" s="146">
        <v>100</v>
      </c>
      <c r="AA8" s="146">
        <v>100</v>
      </c>
      <c r="AB8" s="146">
        <v>100</v>
      </c>
      <c r="AC8" s="146">
        <v>100</v>
      </c>
      <c r="AD8" s="146">
        <v>100</v>
      </c>
      <c r="AE8" s="146">
        <v>100</v>
      </c>
      <c r="AF8" s="146">
        <v>100</v>
      </c>
      <c r="AG8" s="146">
        <v>100</v>
      </c>
      <c r="AH8" s="146">
        <v>100</v>
      </c>
      <c r="AI8" s="146">
        <v>100</v>
      </c>
      <c r="AJ8" s="146">
        <v>100</v>
      </c>
      <c r="AK8" s="146">
        <v>100</v>
      </c>
      <c r="AL8" s="146">
        <v>100</v>
      </c>
      <c r="AM8" s="146">
        <v>100</v>
      </c>
      <c r="AN8" s="146">
        <v>100</v>
      </c>
      <c r="AO8" s="146">
        <v>100</v>
      </c>
      <c r="AP8" s="146">
        <v>100</v>
      </c>
      <c r="AQ8" s="146">
        <v>100</v>
      </c>
      <c r="AR8" s="146">
        <v>96</v>
      </c>
      <c r="AS8" s="146">
        <v>99.79</v>
      </c>
    </row>
    <row r="9" spans="1:45" ht="16.5" thickBot="1" x14ac:dyDescent="0.3">
      <c r="A9" s="170">
        <v>0.11</v>
      </c>
      <c r="B9" s="165">
        <v>5.0599999999999996</v>
      </c>
      <c r="C9" s="165">
        <v>5.56</v>
      </c>
      <c r="D9" s="165">
        <v>5.96</v>
      </c>
      <c r="E9" s="165">
        <v>6.26</v>
      </c>
      <c r="F9" s="278">
        <v>6.46</v>
      </c>
      <c r="G9" s="251">
        <v>6.56</v>
      </c>
      <c r="H9" s="278">
        <v>6.41</v>
      </c>
      <c r="I9" s="165">
        <v>6.26</v>
      </c>
      <c r="J9" s="165">
        <v>6.11</v>
      </c>
      <c r="K9" s="165">
        <v>5.96</v>
      </c>
      <c r="L9" s="165">
        <v>5.81</v>
      </c>
      <c r="M9" s="250">
        <v>5.66</v>
      </c>
      <c r="N9" s="250">
        <v>5.51</v>
      </c>
      <c r="O9" s="250">
        <v>5.36</v>
      </c>
      <c r="P9" s="250">
        <v>5.21</v>
      </c>
      <c r="Q9" s="165">
        <v>5.01</v>
      </c>
      <c r="R9" s="165">
        <v>4.8099999999999996</v>
      </c>
      <c r="S9" s="165">
        <v>4.51</v>
      </c>
      <c r="T9" s="165">
        <v>4.16</v>
      </c>
      <c r="U9" s="165">
        <v>3.76</v>
      </c>
      <c r="V9" s="165">
        <v>3.3099999999999996</v>
      </c>
      <c r="W9" s="165">
        <v>2.81</v>
      </c>
      <c r="X9" s="241"/>
      <c r="Y9" s="146">
        <v>8.6</v>
      </c>
      <c r="Z9" s="146">
        <v>100</v>
      </c>
      <c r="AA9" s="146">
        <v>100</v>
      </c>
      <c r="AB9" s="146">
        <v>100</v>
      </c>
      <c r="AC9" s="146">
        <v>100</v>
      </c>
      <c r="AD9" s="146">
        <v>100</v>
      </c>
      <c r="AE9" s="146">
        <v>100</v>
      </c>
      <c r="AF9" s="146">
        <v>100</v>
      </c>
      <c r="AG9" s="146">
        <v>100</v>
      </c>
      <c r="AH9" s="146">
        <v>100</v>
      </c>
      <c r="AI9" s="146">
        <v>100</v>
      </c>
      <c r="AJ9" s="146">
        <v>100</v>
      </c>
      <c r="AK9" s="146">
        <v>100</v>
      </c>
      <c r="AL9" s="146">
        <v>100</v>
      </c>
      <c r="AM9" s="146">
        <v>100</v>
      </c>
      <c r="AN9" s="146">
        <v>100</v>
      </c>
      <c r="AO9" s="146">
        <v>100</v>
      </c>
      <c r="AP9" s="146">
        <v>100</v>
      </c>
      <c r="AQ9" s="146">
        <v>98</v>
      </c>
      <c r="AR9" s="146">
        <v>95</v>
      </c>
      <c r="AS9" s="146">
        <v>99.63</v>
      </c>
    </row>
    <row r="10" spans="1:45" ht="19.5" thickBot="1" x14ac:dyDescent="0.35">
      <c r="A10" s="171">
        <v>0.12</v>
      </c>
      <c r="B10" s="172">
        <v>5.3</v>
      </c>
      <c r="C10" s="172">
        <v>5.8</v>
      </c>
      <c r="D10" s="172">
        <v>6.2</v>
      </c>
      <c r="E10" s="172">
        <v>6.5</v>
      </c>
      <c r="F10" s="172">
        <v>6.7</v>
      </c>
      <c r="G10" s="245">
        <v>6.8</v>
      </c>
      <c r="H10" s="172">
        <v>6.65</v>
      </c>
      <c r="I10" s="172">
        <v>6.5</v>
      </c>
      <c r="J10" s="172">
        <v>6.35</v>
      </c>
      <c r="K10" s="172">
        <v>6.2</v>
      </c>
      <c r="L10" s="172">
        <v>6.05</v>
      </c>
      <c r="M10" s="173">
        <v>5.9</v>
      </c>
      <c r="N10" s="173">
        <v>5.75</v>
      </c>
      <c r="O10" s="173">
        <v>5.6</v>
      </c>
      <c r="P10" s="173">
        <v>5.45</v>
      </c>
      <c r="Q10" s="173">
        <v>5.25</v>
      </c>
      <c r="R10" s="173">
        <v>5.05</v>
      </c>
      <c r="S10" s="173">
        <v>4.75</v>
      </c>
      <c r="T10" s="173">
        <v>4.4000000000000004</v>
      </c>
      <c r="U10" s="173">
        <v>4</v>
      </c>
      <c r="V10" s="173">
        <v>3.55</v>
      </c>
      <c r="W10" s="173">
        <v>3.05</v>
      </c>
      <c r="X10" s="240"/>
      <c r="Y10" s="146">
        <v>8.5</v>
      </c>
      <c r="Z10" s="146">
        <v>100</v>
      </c>
      <c r="AA10" s="146">
        <v>100</v>
      </c>
      <c r="AB10" s="146">
        <v>100</v>
      </c>
      <c r="AC10" s="146">
        <v>100</v>
      </c>
      <c r="AD10" s="146">
        <v>100</v>
      </c>
      <c r="AE10" s="146">
        <v>100</v>
      </c>
      <c r="AF10" s="146">
        <v>100</v>
      </c>
      <c r="AG10" s="146">
        <v>100</v>
      </c>
      <c r="AH10" s="146">
        <v>100</v>
      </c>
      <c r="AI10" s="146">
        <v>100</v>
      </c>
      <c r="AJ10" s="146">
        <v>100</v>
      </c>
      <c r="AK10" s="146">
        <v>100</v>
      </c>
      <c r="AL10" s="146">
        <v>100</v>
      </c>
      <c r="AM10" s="146">
        <v>100</v>
      </c>
      <c r="AN10" s="146">
        <v>100</v>
      </c>
      <c r="AO10" s="146">
        <v>100</v>
      </c>
      <c r="AP10" s="146">
        <v>100</v>
      </c>
      <c r="AQ10" s="146">
        <v>98</v>
      </c>
      <c r="AR10" s="146">
        <v>94</v>
      </c>
      <c r="AS10" s="146">
        <v>99.58</v>
      </c>
    </row>
    <row r="11" spans="1:45" ht="16.5" thickBot="1" x14ac:dyDescent="0.3">
      <c r="A11" s="170">
        <v>0.13</v>
      </c>
      <c r="B11" s="165">
        <v>5.52</v>
      </c>
      <c r="C11" s="165">
        <v>6.02</v>
      </c>
      <c r="D11" s="165">
        <v>6.42</v>
      </c>
      <c r="E11" s="165">
        <v>6.72</v>
      </c>
      <c r="F11" s="278">
        <v>6.92</v>
      </c>
      <c r="G11" s="252">
        <v>7.02</v>
      </c>
      <c r="H11" s="278">
        <v>6.87</v>
      </c>
      <c r="I11" s="165">
        <v>6.72</v>
      </c>
      <c r="J11" s="165">
        <v>6.57</v>
      </c>
      <c r="K11" s="165">
        <v>6.42</v>
      </c>
      <c r="L11" s="165">
        <v>6.27</v>
      </c>
      <c r="M11" s="250">
        <v>6.12</v>
      </c>
      <c r="N11" s="250">
        <v>5.97</v>
      </c>
      <c r="O11" s="250">
        <v>5.82</v>
      </c>
      <c r="P11" s="250">
        <v>5.67</v>
      </c>
      <c r="Q11" s="165">
        <v>5.47</v>
      </c>
      <c r="R11" s="165">
        <v>5.27</v>
      </c>
      <c r="S11" s="165">
        <v>4.97</v>
      </c>
      <c r="T11" s="165">
        <v>4.62</v>
      </c>
      <c r="U11" s="165">
        <v>4.22</v>
      </c>
      <c r="V11" s="165">
        <v>3.7699999999999996</v>
      </c>
      <c r="W11" s="165">
        <v>3.2699999999999996</v>
      </c>
      <c r="X11" s="241"/>
      <c r="Y11" s="146">
        <v>8.4</v>
      </c>
      <c r="Z11" s="146">
        <v>100</v>
      </c>
      <c r="AA11" s="146">
        <v>100</v>
      </c>
      <c r="AB11" s="146">
        <v>100</v>
      </c>
      <c r="AC11" s="146">
        <v>100</v>
      </c>
      <c r="AD11" s="146">
        <v>100</v>
      </c>
      <c r="AE11" s="146">
        <v>100</v>
      </c>
      <c r="AF11" s="146">
        <v>100</v>
      </c>
      <c r="AG11" s="146">
        <v>100</v>
      </c>
      <c r="AH11" s="146">
        <v>100</v>
      </c>
      <c r="AI11" s="146">
        <v>100</v>
      </c>
      <c r="AJ11" s="146">
        <v>100</v>
      </c>
      <c r="AK11" s="146">
        <v>100</v>
      </c>
      <c r="AL11" s="146">
        <v>100</v>
      </c>
      <c r="AM11" s="146">
        <v>100</v>
      </c>
      <c r="AN11" s="146">
        <v>100</v>
      </c>
      <c r="AO11" s="146">
        <v>100</v>
      </c>
      <c r="AP11" s="146">
        <v>99</v>
      </c>
      <c r="AQ11" s="146">
        <v>96</v>
      </c>
      <c r="AR11" s="146">
        <v>93</v>
      </c>
      <c r="AS11" s="146">
        <v>99.37</v>
      </c>
    </row>
    <row r="12" spans="1:45" ht="16.5" thickBot="1" x14ac:dyDescent="0.3">
      <c r="A12" s="170">
        <v>0.14000000000000001</v>
      </c>
      <c r="B12" s="165">
        <v>5.72</v>
      </c>
      <c r="C12" s="165">
        <v>6.22</v>
      </c>
      <c r="D12" s="165">
        <v>6.62</v>
      </c>
      <c r="E12" s="165">
        <v>6.92</v>
      </c>
      <c r="F12" s="278">
        <v>7.1199999999999992</v>
      </c>
      <c r="G12" s="245">
        <v>7.2200000000000006</v>
      </c>
      <c r="H12" s="278">
        <v>7.07</v>
      </c>
      <c r="I12" s="165">
        <v>6.92</v>
      </c>
      <c r="J12" s="165">
        <v>6.77</v>
      </c>
      <c r="K12" s="165">
        <v>6.62</v>
      </c>
      <c r="L12" s="165">
        <v>6.47</v>
      </c>
      <c r="M12" s="250">
        <v>6.32</v>
      </c>
      <c r="N12" s="250">
        <v>6.17</v>
      </c>
      <c r="O12" s="250">
        <v>6.02</v>
      </c>
      <c r="P12" s="250">
        <v>5.87</v>
      </c>
      <c r="Q12" s="165">
        <v>5.67</v>
      </c>
      <c r="R12" s="165">
        <v>5.47</v>
      </c>
      <c r="S12" s="165">
        <v>5.17</v>
      </c>
      <c r="T12" s="165">
        <v>4.82</v>
      </c>
      <c r="U12" s="165">
        <v>4.42</v>
      </c>
      <c r="V12" s="165">
        <v>3.9699999999999998</v>
      </c>
      <c r="W12" s="165">
        <v>3.4699999999999998</v>
      </c>
      <c r="X12" s="241"/>
      <c r="Y12" s="146">
        <v>8.3000000000000007</v>
      </c>
      <c r="Z12" s="146">
        <v>100</v>
      </c>
      <c r="AA12" s="146">
        <v>100</v>
      </c>
      <c r="AB12" s="146">
        <v>100</v>
      </c>
      <c r="AC12" s="146">
        <v>100</v>
      </c>
      <c r="AD12" s="146">
        <v>100</v>
      </c>
      <c r="AE12" s="146">
        <v>100</v>
      </c>
      <c r="AF12" s="146">
        <v>100</v>
      </c>
      <c r="AG12" s="146">
        <v>100</v>
      </c>
      <c r="AH12" s="146">
        <v>100</v>
      </c>
      <c r="AI12" s="146">
        <v>100</v>
      </c>
      <c r="AJ12" s="146">
        <v>100</v>
      </c>
      <c r="AK12" s="146">
        <v>100</v>
      </c>
      <c r="AL12" s="146">
        <v>100</v>
      </c>
      <c r="AM12" s="146">
        <v>100</v>
      </c>
      <c r="AN12" s="146">
        <v>100</v>
      </c>
      <c r="AO12" s="146">
        <v>100</v>
      </c>
      <c r="AP12" s="146">
        <v>99</v>
      </c>
      <c r="AQ12" s="146">
        <v>95</v>
      </c>
      <c r="AR12" s="146">
        <v>92</v>
      </c>
      <c r="AS12" s="146">
        <v>99.26</v>
      </c>
    </row>
    <row r="13" spans="1:45" ht="16.5" thickBot="1" x14ac:dyDescent="0.3">
      <c r="A13" s="170">
        <v>0.15</v>
      </c>
      <c r="B13" s="165">
        <v>5.91</v>
      </c>
      <c r="C13" s="165">
        <v>6.41</v>
      </c>
      <c r="D13" s="165">
        <v>6.81</v>
      </c>
      <c r="E13" s="165">
        <v>7.1099999999999994</v>
      </c>
      <c r="F13" s="278">
        <v>7.3100000000000005</v>
      </c>
      <c r="G13" s="245">
        <v>7.41</v>
      </c>
      <c r="H13" s="278">
        <v>7.26</v>
      </c>
      <c r="I13" s="165">
        <v>7.1099999999999994</v>
      </c>
      <c r="J13" s="165">
        <v>6.96</v>
      </c>
      <c r="K13" s="165">
        <v>6.81</v>
      </c>
      <c r="L13" s="165">
        <v>6.66</v>
      </c>
      <c r="M13" s="250">
        <v>6.51</v>
      </c>
      <c r="N13" s="250">
        <v>6.36</v>
      </c>
      <c r="O13" s="250">
        <v>6.21</v>
      </c>
      <c r="P13" s="250">
        <v>6.06</v>
      </c>
      <c r="Q13" s="165">
        <v>5.86</v>
      </c>
      <c r="R13" s="165">
        <v>5.66</v>
      </c>
      <c r="S13" s="165">
        <v>5.36</v>
      </c>
      <c r="T13" s="165">
        <v>5.01</v>
      </c>
      <c r="U13" s="165">
        <v>4.6100000000000003</v>
      </c>
      <c r="V13" s="165">
        <v>4.16</v>
      </c>
      <c r="W13" s="165">
        <v>3.66</v>
      </c>
      <c r="X13" s="241"/>
      <c r="Y13" s="146">
        <v>8.1999999999999993</v>
      </c>
      <c r="Z13" s="146">
        <v>100</v>
      </c>
      <c r="AA13" s="146">
        <v>100</v>
      </c>
      <c r="AB13" s="146">
        <v>100</v>
      </c>
      <c r="AC13" s="146">
        <v>100</v>
      </c>
      <c r="AD13" s="146">
        <v>100</v>
      </c>
      <c r="AE13" s="146">
        <v>100</v>
      </c>
      <c r="AF13" s="146">
        <v>100</v>
      </c>
      <c r="AG13" s="146">
        <v>100</v>
      </c>
      <c r="AH13" s="146">
        <v>100</v>
      </c>
      <c r="AI13" s="146">
        <v>100</v>
      </c>
      <c r="AJ13" s="146">
        <v>100</v>
      </c>
      <c r="AK13" s="146">
        <v>100</v>
      </c>
      <c r="AL13" s="146">
        <v>100</v>
      </c>
      <c r="AM13" s="146">
        <v>100</v>
      </c>
      <c r="AN13" s="146">
        <v>100</v>
      </c>
      <c r="AO13" s="146">
        <v>100</v>
      </c>
      <c r="AP13" s="146">
        <v>97</v>
      </c>
      <c r="AQ13" s="146">
        <v>94</v>
      </c>
      <c r="AR13" s="146">
        <v>91</v>
      </c>
      <c r="AS13" s="146">
        <v>99.05</v>
      </c>
    </row>
    <row r="14" spans="1:45" ht="16.5" thickBot="1" x14ac:dyDescent="0.3">
      <c r="A14" s="170">
        <v>0.16</v>
      </c>
      <c r="B14" s="165">
        <v>6.09</v>
      </c>
      <c r="C14" s="165">
        <v>6.59</v>
      </c>
      <c r="D14" s="165">
        <v>6.99</v>
      </c>
      <c r="E14" s="165">
        <v>7.2899999999999991</v>
      </c>
      <c r="F14" s="278">
        <v>7.49</v>
      </c>
      <c r="G14" s="251">
        <v>7.59</v>
      </c>
      <c r="H14" s="278">
        <v>7.4399999999999995</v>
      </c>
      <c r="I14" s="165">
        <v>7.2899999999999991</v>
      </c>
      <c r="J14" s="165">
        <v>7.1400000000000006</v>
      </c>
      <c r="K14" s="165">
        <v>6.99</v>
      </c>
      <c r="L14" s="165">
        <v>6.84</v>
      </c>
      <c r="M14" s="250">
        <v>6.69</v>
      </c>
      <c r="N14" s="250">
        <v>6.54</v>
      </c>
      <c r="O14" s="250">
        <v>6.39</v>
      </c>
      <c r="P14" s="250">
        <v>6.24</v>
      </c>
      <c r="Q14" s="165">
        <v>6.04</v>
      </c>
      <c r="R14" s="165">
        <v>5.84</v>
      </c>
      <c r="S14" s="165">
        <v>5.54</v>
      </c>
      <c r="T14" s="165">
        <v>5.19</v>
      </c>
      <c r="U14" s="165">
        <v>4.79</v>
      </c>
      <c r="V14" s="165">
        <v>4.34</v>
      </c>
      <c r="W14" s="165">
        <v>3.84</v>
      </c>
      <c r="X14" s="241"/>
      <c r="Y14" s="146">
        <v>8.1</v>
      </c>
      <c r="Z14" s="146">
        <v>100</v>
      </c>
      <c r="AA14" s="146">
        <v>100</v>
      </c>
      <c r="AB14" s="146">
        <v>100</v>
      </c>
      <c r="AC14" s="146">
        <v>100</v>
      </c>
      <c r="AD14" s="146">
        <v>100</v>
      </c>
      <c r="AE14" s="146">
        <v>100</v>
      </c>
      <c r="AF14" s="146">
        <v>100</v>
      </c>
      <c r="AG14" s="146">
        <v>100</v>
      </c>
      <c r="AH14" s="146">
        <v>100</v>
      </c>
      <c r="AI14" s="146">
        <v>100</v>
      </c>
      <c r="AJ14" s="146">
        <v>100</v>
      </c>
      <c r="AK14" s="146">
        <v>100</v>
      </c>
      <c r="AL14" s="146">
        <v>100</v>
      </c>
      <c r="AM14" s="146">
        <v>100</v>
      </c>
      <c r="AN14" s="146">
        <v>100</v>
      </c>
      <c r="AO14" s="146">
        <v>100</v>
      </c>
      <c r="AP14" s="146">
        <v>97</v>
      </c>
      <c r="AQ14" s="146">
        <v>93</v>
      </c>
      <c r="AR14" s="146">
        <v>90</v>
      </c>
      <c r="AS14" s="146">
        <v>98.95</v>
      </c>
    </row>
    <row r="15" spans="1:45" ht="19.5" thickBot="1" x14ac:dyDescent="0.35">
      <c r="A15" s="171">
        <v>0.17</v>
      </c>
      <c r="B15" s="172">
        <v>6.25</v>
      </c>
      <c r="C15" s="172">
        <v>6.75</v>
      </c>
      <c r="D15" s="172">
        <v>7.15</v>
      </c>
      <c r="E15" s="172">
        <v>7.4499999999999993</v>
      </c>
      <c r="F15" s="172">
        <v>7.65</v>
      </c>
      <c r="G15" s="245">
        <v>7.75</v>
      </c>
      <c r="H15" s="172">
        <v>7.6</v>
      </c>
      <c r="I15" s="172">
        <v>7.4499999999999993</v>
      </c>
      <c r="J15" s="172">
        <v>7.3000000000000007</v>
      </c>
      <c r="K15" s="172">
        <v>7.15</v>
      </c>
      <c r="L15" s="172">
        <v>7</v>
      </c>
      <c r="M15" s="173">
        <v>6.85</v>
      </c>
      <c r="N15" s="173">
        <v>6.7</v>
      </c>
      <c r="O15" s="173">
        <v>6.55</v>
      </c>
      <c r="P15" s="173">
        <v>6.4</v>
      </c>
      <c r="Q15" s="172">
        <v>6.2</v>
      </c>
      <c r="R15" s="172">
        <v>6</v>
      </c>
      <c r="S15" s="172">
        <v>5.7</v>
      </c>
      <c r="T15" s="172">
        <v>5.35</v>
      </c>
      <c r="U15" s="172">
        <v>4.95</v>
      </c>
      <c r="V15" s="172">
        <v>4.5</v>
      </c>
      <c r="W15" s="172">
        <v>4</v>
      </c>
      <c r="X15" s="242"/>
      <c r="Y15" s="146">
        <v>8</v>
      </c>
      <c r="Z15" s="146">
        <v>100</v>
      </c>
      <c r="AA15" s="146">
        <v>100</v>
      </c>
      <c r="AB15" s="146">
        <v>100</v>
      </c>
      <c r="AC15" s="146">
        <v>100</v>
      </c>
      <c r="AD15" s="146">
        <v>100</v>
      </c>
      <c r="AE15" s="146">
        <v>100</v>
      </c>
      <c r="AF15" s="146">
        <v>100</v>
      </c>
      <c r="AG15" s="146">
        <v>100</v>
      </c>
      <c r="AH15" s="146">
        <v>100</v>
      </c>
      <c r="AI15" s="146">
        <v>99</v>
      </c>
      <c r="AJ15" s="146">
        <v>100</v>
      </c>
      <c r="AK15" s="146">
        <v>100</v>
      </c>
      <c r="AL15" s="146">
        <v>100</v>
      </c>
      <c r="AM15" s="146">
        <v>100</v>
      </c>
      <c r="AN15" s="146">
        <v>100</v>
      </c>
      <c r="AO15" s="146">
        <v>99</v>
      </c>
      <c r="AP15" s="146">
        <v>95</v>
      </c>
      <c r="AQ15" s="146">
        <v>92</v>
      </c>
      <c r="AR15" s="146">
        <v>89</v>
      </c>
      <c r="AS15" s="146">
        <v>98.63</v>
      </c>
    </row>
    <row r="16" spans="1:45" ht="16.5" thickBot="1" x14ac:dyDescent="0.3">
      <c r="A16" s="170">
        <v>0.18</v>
      </c>
      <c r="B16" s="165">
        <v>6.4</v>
      </c>
      <c r="C16" s="165">
        <v>6.9</v>
      </c>
      <c r="D16" s="165">
        <v>7.3000000000000007</v>
      </c>
      <c r="E16" s="165">
        <v>7.6</v>
      </c>
      <c r="F16" s="278">
        <v>7.8000000000000007</v>
      </c>
      <c r="G16" s="252">
        <v>7.9</v>
      </c>
      <c r="H16" s="278">
        <v>7.75</v>
      </c>
      <c r="I16" s="165">
        <v>7.6</v>
      </c>
      <c r="J16" s="165">
        <v>7.4499999999999993</v>
      </c>
      <c r="K16" s="165">
        <v>7.3000000000000007</v>
      </c>
      <c r="L16" s="165">
        <v>7.15</v>
      </c>
      <c r="M16" s="250">
        <v>7</v>
      </c>
      <c r="N16" s="250">
        <v>6.85</v>
      </c>
      <c r="O16" s="250">
        <v>6.7</v>
      </c>
      <c r="P16" s="250">
        <v>6.55</v>
      </c>
      <c r="Q16" s="165">
        <v>6.35</v>
      </c>
      <c r="R16" s="165">
        <v>6.15</v>
      </c>
      <c r="S16" s="165">
        <v>5.85</v>
      </c>
      <c r="T16" s="165">
        <v>5.5</v>
      </c>
      <c r="U16" s="165">
        <v>5.0999999999999996</v>
      </c>
      <c r="V16" s="165">
        <v>4.6500000000000004</v>
      </c>
      <c r="W16" s="165">
        <v>4.1500000000000004</v>
      </c>
      <c r="X16" s="241"/>
      <c r="Y16" s="146">
        <v>7.9</v>
      </c>
      <c r="Z16" s="146">
        <v>100</v>
      </c>
      <c r="AA16" s="146">
        <v>100</v>
      </c>
      <c r="AB16" s="146">
        <v>100</v>
      </c>
      <c r="AC16" s="146">
        <v>100</v>
      </c>
      <c r="AD16" s="146">
        <v>100</v>
      </c>
      <c r="AE16" s="146">
        <v>100</v>
      </c>
      <c r="AF16" s="146">
        <v>100</v>
      </c>
      <c r="AG16" s="146">
        <v>100</v>
      </c>
      <c r="AH16" s="146">
        <v>100</v>
      </c>
      <c r="AI16" s="146">
        <v>99</v>
      </c>
      <c r="AJ16" s="146">
        <v>100</v>
      </c>
      <c r="AK16" s="146">
        <v>100</v>
      </c>
      <c r="AL16" s="146">
        <v>100</v>
      </c>
      <c r="AM16" s="146">
        <v>100</v>
      </c>
      <c r="AN16" s="146">
        <v>100</v>
      </c>
      <c r="AO16" s="146">
        <v>98</v>
      </c>
      <c r="AP16" s="146">
        <v>95</v>
      </c>
      <c r="AQ16" s="146">
        <v>92</v>
      </c>
      <c r="AR16" s="146">
        <v>88</v>
      </c>
      <c r="AS16" s="146">
        <v>98.53</v>
      </c>
    </row>
    <row r="17" spans="1:45" ht="16.5" thickBot="1" x14ac:dyDescent="0.3">
      <c r="A17" s="170">
        <v>0.19</v>
      </c>
      <c r="B17" s="165">
        <v>6.54</v>
      </c>
      <c r="C17" s="165">
        <v>7.0399999999999991</v>
      </c>
      <c r="D17" s="165">
        <v>7.4399999999999995</v>
      </c>
      <c r="E17" s="165">
        <v>7.74</v>
      </c>
      <c r="F17" s="278">
        <v>7.9399999999999995</v>
      </c>
      <c r="G17" s="251">
        <v>8.0399999999999991</v>
      </c>
      <c r="H17" s="278">
        <v>7.8900000000000006</v>
      </c>
      <c r="I17" s="165">
        <v>7.74</v>
      </c>
      <c r="J17" s="165">
        <v>7.59</v>
      </c>
      <c r="K17" s="165">
        <v>7.4399999999999995</v>
      </c>
      <c r="L17" s="165">
        <v>7.2899999999999991</v>
      </c>
      <c r="M17" s="250">
        <v>7.1400000000000006</v>
      </c>
      <c r="N17" s="250">
        <v>6.99</v>
      </c>
      <c r="O17" s="250">
        <v>6.84</v>
      </c>
      <c r="P17" s="250">
        <v>6.69</v>
      </c>
      <c r="Q17" s="165">
        <v>6.49</v>
      </c>
      <c r="R17" s="165">
        <v>6.29</v>
      </c>
      <c r="S17" s="165">
        <v>5.99</v>
      </c>
      <c r="T17" s="165">
        <v>5.64</v>
      </c>
      <c r="U17" s="165">
        <v>5.24</v>
      </c>
      <c r="V17" s="165">
        <v>4.79</v>
      </c>
      <c r="W17" s="165">
        <v>4.29</v>
      </c>
      <c r="X17" s="241"/>
      <c r="Y17" s="146">
        <v>7.8</v>
      </c>
      <c r="Z17" s="146">
        <v>100</v>
      </c>
      <c r="AA17" s="146">
        <v>100</v>
      </c>
      <c r="AB17" s="146">
        <v>100</v>
      </c>
      <c r="AC17" s="146">
        <v>100</v>
      </c>
      <c r="AD17" s="146">
        <v>100</v>
      </c>
      <c r="AE17" s="146">
        <v>100</v>
      </c>
      <c r="AF17" s="146">
        <v>100</v>
      </c>
      <c r="AG17" s="146">
        <v>100</v>
      </c>
      <c r="AH17" s="146">
        <v>100</v>
      </c>
      <c r="AI17" s="146">
        <v>98</v>
      </c>
      <c r="AJ17" s="146">
        <v>100</v>
      </c>
      <c r="AK17" s="146">
        <v>100</v>
      </c>
      <c r="AL17" s="146">
        <v>100</v>
      </c>
      <c r="AM17" s="146">
        <v>100</v>
      </c>
      <c r="AN17" s="146">
        <v>100</v>
      </c>
      <c r="AO17" s="146">
        <v>97</v>
      </c>
      <c r="AP17" s="146">
        <v>94</v>
      </c>
      <c r="AQ17" s="146">
        <v>91</v>
      </c>
      <c r="AR17" s="146">
        <v>87</v>
      </c>
      <c r="AS17" s="146">
        <v>98.26</v>
      </c>
    </row>
    <row r="18" spans="1:45" ht="19.5" thickBot="1" x14ac:dyDescent="0.35">
      <c r="A18" s="171">
        <v>0.2</v>
      </c>
      <c r="B18" s="262">
        <v>6.67</v>
      </c>
      <c r="C18" s="262">
        <v>7.17</v>
      </c>
      <c r="D18" s="262">
        <v>7.57</v>
      </c>
      <c r="E18" s="262">
        <v>7.8699999999999992</v>
      </c>
      <c r="F18" s="262">
        <v>8.07</v>
      </c>
      <c r="G18" s="172">
        <v>8.17</v>
      </c>
      <c r="H18" s="262">
        <v>8.02</v>
      </c>
      <c r="I18" s="262">
        <v>7.8699999999999992</v>
      </c>
      <c r="J18" s="262">
        <v>7.7200000000000006</v>
      </c>
      <c r="K18" s="262">
        <v>7.57</v>
      </c>
      <c r="L18" s="262">
        <v>7.42</v>
      </c>
      <c r="M18" s="262">
        <v>7.27</v>
      </c>
      <c r="N18" s="262">
        <v>7.1199999999999992</v>
      </c>
      <c r="O18" s="262">
        <v>6.97</v>
      </c>
      <c r="P18" s="262">
        <v>6.82</v>
      </c>
      <c r="Q18" s="262">
        <v>6.62</v>
      </c>
      <c r="R18" s="262">
        <v>6.42</v>
      </c>
      <c r="S18" s="262">
        <v>6.12</v>
      </c>
      <c r="T18" s="262">
        <v>5.77</v>
      </c>
      <c r="U18" s="262">
        <v>5.37</v>
      </c>
      <c r="V18" s="262">
        <v>4.92</v>
      </c>
      <c r="W18" s="262">
        <v>4.42</v>
      </c>
      <c r="X18" s="241"/>
      <c r="Y18" s="146">
        <v>7.7</v>
      </c>
      <c r="Z18" s="146">
        <v>100</v>
      </c>
      <c r="AA18" s="146">
        <v>100</v>
      </c>
      <c r="AB18" s="146">
        <v>100</v>
      </c>
      <c r="AC18" s="146">
        <v>100</v>
      </c>
      <c r="AD18" s="146">
        <v>100</v>
      </c>
      <c r="AE18" s="146">
        <v>100</v>
      </c>
      <c r="AF18" s="146">
        <v>100</v>
      </c>
      <c r="AG18" s="146">
        <v>100</v>
      </c>
      <c r="AH18" s="146">
        <v>100</v>
      </c>
      <c r="AI18" s="146">
        <v>97</v>
      </c>
      <c r="AJ18" s="146">
        <v>100</v>
      </c>
      <c r="AK18" s="146">
        <v>100</v>
      </c>
      <c r="AL18" s="146">
        <v>100</v>
      </c>
      <c r="AM18" s="146">
        <v>100</v>
      </c>
      <c r="AN18" s="146">
        <v>99</v>
      </c>
      <c r="AO18" s="146">
        <v>96</v>
      </c>
      <c r="AP18" s="146">
        <v>93</v>
      </c>
      <c r="AQ18" s="146">
        <v>89</v>
      </c>
      <c r="AR18" s="146">
        <v>86</v>
      </c>
      <c r="AS18" s="146">
        <v>97.89</v>
      </c>
    </row>
    <row r="19" spans="1:45" ht="16.5" customHeight="1" thickBot="1" x14ac:dyDescent="0.3">
      <c r="A19" s="170">
        <v>0.21</v>
      </c>
      <c r="B19" s="165">
        <v>6.8</v>
      </c>
      <c r="C19" s="165">
        <v>7.3000000000000007</v>
      </c>
      <c r="D19" s="165">
        <v>7.6999999999999993</v>
      </c>
      <c r="E19" s="165">
        <v>8</v>
      </c>
      <c r="F19" s="278">
        <v>8.1999999999999993</v>
      </c>
      <c r="G19" s="252">
        <v>8.3000000000000007</v>
      </c>
      <c r="H19" s="278">
        <v>8.15</v>
      </c>
      <c r="I19" s="165">
        <v>8</v>
      </c>
      <c r="J19" s="165">
        <v>7.85</v>
      </c>
      <c r="K19" s="165">
        <v>7.6999999999999993</v>
      </c>
      <c r="L19" s="165">
        <v>7.5500000000000007</v>
      </c>
      <c r="M19" s="250">
        <v>7.4</v>
      </c>
      <c r="N19" s="250">
        <v>7.25</v>
      </c>
      <c r="O19" s="250">
        <v>7.1</v>
      </c>
      <c r="P19" s="250">
        <v>6.95</v>
      </c>
      <c r="Q19" s="165">
        <v>6.75</v>
      </c>
      <c r="R19" s="165">
        <v>6.55</v>
      </c>
      <c r="S19" s="165">
        <v>6.25</v>
      </c>
      <c r="T19" s="165">
        <v>5.9</v>
      </c>
      <c r="U19" s="165">
        <v>5.5</v>
      </c>
      <c r="V19" s="165">
        <v>5.05</v>
      </c>
      <c r="W19" s="165">
        <v>4.55</v>
      </c>
      <c r="X19" s="241"/>
      <c r="Y19" s="146">
        <v>7.6</v>
      </c>
      <c r="Z19" s="146">
        <v>100</v>
      </c>
      <c r="AA19" s="146">
        <v>100</v>
      </c>
      <c r="AB19" s="146">
        <v>100</v>
      </c>
      <c r="AC19" s="146">
        <v>100</v>
      </c>
      <c r="AD19" s="146">
        <v>100</v>
      </c>
      <c r="AE19" s="146">
        <v>100</v>
      </c>
      <c r="AF19" s="146">
        <v>100</v>
      </c>
      <c r="AG19" s="146">
        <v>100</v>
      </c>
      <c r="AH19" s="146">
        <v>100</v>
      </c>
      <c r="AI19" s="146">
        <v>96</v>
      </c>
      <c r="AJ19" s="146">
        <v>100</v>
      </c>
      <c r="AK19" s="146">
        <v>100</v>
      </c>
      <c r="AL19" s="146">
        <v>100</v>
      </c>
      <c r="AM19" s="146">
        <v>100</v>
      </c>
      <c r="AN19" s="146">
        <v>98</v>
      </c>
      <c r="AO19" s="146">
        <v>95</v>
      </c>
      <c r="AP19" s="146">
        <v>91</v>
      </c>
      <c r="AQ19" s="146">
        <v>88</v>
      </c>
      <c r="AR19" s="146">
        <v>85</v>
      </c>
      <c r="AS19" s="146">
        <v>97.53</v>
      </c>
    </row>
    <row r="20" spans="1:45" ht="16.5" customHeight="1" thickBot="1" x14ac:dyDescent="0.3">
      <c r="A20" s="170">
        <v>0.22</v>
      </c>
      <c r="B20" s="165">
        <v>6.91</v>
      </c>
      <c r="C20" s="165">
        <v>7.41</v>
      </c>
      <c r="D20" s="165">
        <v>7.8100000000000005</v>
      </c>
      <c r="E20" s="165">
        <v>8.11</v>
      </c>
      <c r="F20" s="278">
        <v>8.31</v>
      </c>
      <c r="G20" s="245">
        <v>8.33</v>
      </c>
      <c r="H20" s="278">
        <v>8.26</v>
      </c>
      <c r="I20" s="165">
        <v>8.11</v>
      </c>
      <c r="J20" s="165">
        <v>7.9600000000000009</v>
      </c>
      <c r="K20" s="165">
        <v>7.8100000000000005</v>
      </c>
      <c r="L20" s="165">
        <v>7.66</v>
      </c>
      <c r="M20" s="250">
        <v>7.51</v>
      </c>
      <c r="N20" s="250">
        <v>7.3599999999999994</v>
      </c>
      <c r="O20" s="250">
        <v>7.2100000000000009</v>
      </c>
      <c r="P20" s="250">
        <v>7.0600000000000005</v>
      </c>
      <c r="Q20" s="165">
        <v>6.86</v>
      </c>
      <c r="R20" s="165">
        <v>6.66</v>
      </c>
      <c r="S20" s="165">
        <v>6.36</v>
      </c>
      <c r="T20" s="165">
        <v>6.01</v>
      </c>
      <c r="U20" s="165">
        <v>5.61</v>
      </c>
      <c r="V20" s="165">
        <v>5.16</v>
      </c>
      <c r="W20" s="165">
        <v>4.66</v>
      </c>
      <c r="X20" s="241"/>
      <c r="Y20" s="146">
        <v>7.5</v>
      </c>
      <c r="Z20" s="146">
        <v>100</v>
      </c>
      <c r="AA20" s="146">
        <v>100</v>
      </c>
      <c r="AB20" s="146">
        <v>100</v>
      </c>
      <c r="AC20" s="146">
        <v>100</v>
      </c>
      <c r="AD20" s="146">
        <v>100</v>
      </c>
      <c r="AE20" s="146">
        <v>100</v>
      </c>
      <c r="AF20" s="146">
        <v>100</v>
      </c>
      <c r="AG20" s="146">
        <v>100</v>
      </c>
      <c r="AH20" s="146">
        <v>100</v>
      </c>
      <c r="AI20" s="146">
        <v>96</v>
      </c>
      <c r="AJ20" s="146">
        <v>100</v>
      </c>
      <c r="AK20" s="146">
        <v>100</v>
      </c>
      <c r="AL20" s="146">
        <v>100</v>
      </c>
      <c r="AM20" s="146">
        <v>100</v>
      </c>
      <c r="AN20" s="146">
        <v>98</v>
      </c>
      <c r="AO20" s="146">
        <v>95</v>
      </c>
      <c r="AP20" s="146">
        <v>91</v>
      </c>
      <c r="AQ20" s="146">
        <v>88</v>
      </c>
      <c r="AR20" s="146">
        <v>84</v>
      </c>
      <c r="AS20" s="146">
        <v>97.47</v>
      </c>
    </row>
    <row r="21" spans="1:45" ht="16.5" customHeight="1" thickBot="1" x14ac:dyDescent="0.3">
      <c r="A21" s="170">
        <v>0.23</v>
      </c>
      <c r="B21" s="165">
        <v>7.01</v>
      </c>
      <c r="C21" s="165">
        <v>7.51</v>
      </c>
      <c r="D21" s="165">
        <v>7.91</v>
      </c>
      <c r="E21" s="165">
        <v>8.2100000000000009</v>
      </c>
      <c r="F21" s="278">
        <v>8.33</v>
      </c>
      <c r="G21" s="245">
        <v>8.33</v>
      </c>
      <c r="H21" s="278">
        <v>8.33</v>
      </c>
      <c r="I21" s="165">
        <v>8.2100000000000009</v>
      </c>
      <c r="J21" s="165">
        <v>8.06</v>
      </c>
      <c r="K21" s="165">
        <v>7.91</v>
      </c>
      <c r="L21" s="165">
        <v>7.76</v>
      </c>
      <c r="M21" s="250">
        <v>7.6099999999999994</v>
      </c>
      <c r="N21" s="250">
        <v>7.4600000000000009</v>
      </c>
      <c r="O21" s="250">
        <v>7.3100000000000005</v>
      </c>
      <c r="P21" s="250">
        <v>7.16</v>
      </c>
      <c r="Q21" s="165">
        <v>6.96</v>
      </c>
      <c r="R21" s="165">
        <v>6.76</v>
      </c>
      <c r="S21" s="165">
        <v>6.46</v>
      </c>
      <c r="T21" s="165">
        <v>6.11</v>
      </c>
      <c r="U21" s="165">
        <v>5.71</v>
      </c>
      <c r="V21" s="165">
        <v>5.26</v>
      </c>
      <c r="W21" s="165">
        <v>4.76</v>
      </c>
      <c r="X21" s="241"/>
      <c r="Y21" s="146">
        <v>7.4</v>
      </c>
      <c r="Z21" s="146">
        <v>100</v>
      </c>
      <c r="AA21" s="146">
        <v>100</v>
      </c>
      <c r="AB21" s="146">
        <v>100</v>
      </c>
      <c r="AC21" s="146">
        <v>100</v>
      </c>
      <c r="AD21" s="146">
        <v>100</v>
      </c>
      <c r="AE21" s="146">
        <v>100</v>
      </c>
      <c r="AF21" s="146">
        <v>100</v>
      </c>
      <c r="AG21" s="146">
        <v>100</v>
      </c>
      <c r="AH21" s="146">
        <v>99</v>
      </c>
      <c r="AI21" s="146">
        <v>96</v>
      </c>
      <c r="AJ21" s="146">
        <v>100</v>
      </c>
      <c r="AK21" s="146">
        <v>100</v>
      </c>
      <c r="AL21" s="146">
        <v>100</v>
      </c>
      <c r="AM21" s="146">
        <v>100</v>
      </c>
      <c r="AN21" s="146">
        <v>97</v>
      </c>
      <c r="AO21" s="146">
        <v>94</v>
      </c>
      <c r="AP21" s="146">
        <v>90</v>
      </c>
      <c r="AQ21" s="146">
        <v>87</v>
      </c>
      <c r="AR21" s="146">
        <v>83</v>
      </c>
      <c r="AS21" s="146">
        <v>97.16</v>
      </c>
    </row>
    <row r="22" spans="1:45" ht="16.5" customHeight="1" thickBot="1" x14ac:dyDescent="0.3">
      <c r="A22" s="170">
        <v>0.24</v>
      </c>
      <c r="B22" s="165">
        <v>7.1099999999999994</v>
      </c>
      <c r="C22" s="165">
        <v>7.6099999999999994</v>
      </c>
      <c r="D22" s="165">
        <v>8.01</v>
      </c>
      <c r="E22" s="165">
        <v>8.31</v>
      </c>
      <c r="F22" s="278">
        <v>8.33</v>
      </c>
      <c r="G22" s="245">
        <v>8.33</v>
      </c>
      <c r="H22" s="278">
        <v>8.33</v>
      </c>
      <c r="I22" s="165">
        <v>8.31</v>
      </c>
      <c r="J22" s="165">
        <v>8.16</v>
      </c>
      <c r="K22" s="165">
        <v>8.01</v>
      </c>
      <c r="L22" s="165">
        <v>7.8599999999999994</v>
      </c>
      <c r="M22" s="250">
        <v>7.7100000000000009</v>
      </c>
      <c r="N22" s="250">
        <v>7.5600000000000005</v>
      </c>
      <c r="O22" s="250">
        <v>7.41</v>
      </c>
      <c r="P22" s="250">
        <v>7.26</v>
      </c>
      <c r="Q22" s="165">
        <v>7.0600000000000005</v>
      </c>
      <c r="R22" s="165">
        <v>6.86</v>
      </c>
      <c r="S22" s="165">
        <v>6.56</v>
      </c>
      <c r="T22" s="165">
        <v>6.21</v>
      </c>
      <c r="U22" s="165">
        <v>5.81</v>
      </c>
      <c r="V22" s="165">
        <v>5.36</v>
      </c>
      <c r="W22" s="165">
        <v>4.8600000000000003</v>
      </c>
      <c r="X22" s="241"/>
      <c r="Y22" s="146">
        <v>7.3</v>
      </c>
      <c r="Z22" s="146">
        <v>100</v>
      </c>
      <c r="AA22" s="146">
        <v>100</v>
      </c>
      <c r="AB22" s="146">
        <v>100</v>
      </c>
      <c r="AC22" s="146">
        <v>100</v>
      </c>
      <c r="AD22" s="146">
        <v>100</v>
      </c>
      <c r="AE22" s="146">
        <v>100</v>
      </c>
      <c r="AF22" s="146">
        <v>100</v>
      </c>
      <c r="AG22" s="146">
        <v>100</v>
      </c>
      <c r="AH22" s="146">
        <v>98</v>
      </c>
      <c r="AI22" s="146">
        <v>95</v>
      </c>
      <c r="AJ22" s="146">
        <v>100</v>
      </c>
      <c r="AK22" s="146">
        <v>100</v>
      </c>
      <c r="AL22" s="146">
        <v>100</v>
      </c>
      <c r="AM22" s="146">
        <v>100</v>
      </c>
      <c r="AN22" s="146">
        <v>96</v>
      </c>
      <c r="AO22" s="146">
        <v>93</v>
      </c>
      <c r="AP22" s="146">
        <v>89</v>
      </c>
      <c r="AQ22" s="146">
        <v>86</v>
      </c>
      <c r="AR22" s="146">
        <v>82</v>
      </c>
      <c r="AS22" s="146">
        <v>96.79</v>
      </c>
    </row>
    <row r="23" spans="1:45" ht="16.5" customHeight="1" thickBot="1" x14ac:dyDescent="0.3">
      <c r="A23" s="170">
        <v>0.25</v>
      </c>
      <c r="B23" s="165">
        <v>7.1999999999999993</v>
      </c>
      <c r="C23" s="165">
        <v>7.6999999999999993</v>
      </c>
      <c r="D23" s="165">
        <v>8.1</v>
      </c>
      <c r="E23" s="165">
        <v>8.33</v>
      </c>
      <c r="F23" s="278">
        <v>8.33</v>
      </c>
      <c r="G23" s="245">
        <v>8.33</v>
      </c>
      <c r="H23" s="278">
        <v>8.33</v>
      </c>
      <c r="I23" s="165">
        <v>8.33</v>
      </c>
      <c r="J23" s="165">
        <v>8.25</v>
      </c>
      <c r="K23" s="165">
        <v>8.1</v>
      </c>
      <c r="L23" s="165">
        <v>7.9499999999999993</v>
      </c>
      <c r="M23" s="250">
        <v>7.8000000000000007</v>
      </c>
      <c r="N23" s="250">
        <v>7.65</v>
      </c>
      <c r="O23" s="250">
        <v>7.5</v>
      </c>
      <c r="P23" s="250">
        <v>7.35</v>
      </c>
      <c r="Q23" s="165">
        <v>7.15</v>
      </c>
      <c r="R23" s="165">
        <v>6.95</v>
      </c>
      <c r="S23" s="165">
        <v>6.65</v>
      </c>
      <c r="T23" s="165">
        <v>6.3</v>
      </c>
      <c r="U23" s="165">
        <v>5.9</v>
      </c>
      <c r="V23" s="165">
        <v>5.45</v>
      </c>
      <c r="W23" s="165">
        <v>4.95</v>
      </c>
      <c r="X23" s="241"/>
      <c r="Y23" s="146">
        <v>7.2</v>
      </c>
      <c r="Z23" s="146">
        <v>100</v>
      </c>
      <c r="AA23" s="146">
        <v>100</v>
      </c>
      <c r="AB23" s="146">
        <v>100</v>
      </c>
      <c r="AC23" s="146">
        <v>100</v>
      </c>
      <c r="AD23" s="146">
        <v>100</v>
      </c>
      <c r="AE23" s="146">
        <v>100</v>
      </c>
      <c r="AF23" s="146">
        <v>100</v>
      </c>
      <c r="AG23" s="146">
        <v>100</v>
      </c>
      <c r="AH23" s="146">
        <v>98</v>
      </c>
      <c r="AI23" s="146">
        <v>94</v>
      </c>
      <c r="AJ23" s="146">
        <v>100</v>
      </c>
      <c r="AK23" s="146">
        <v>100</v>
      </c>
      <c r="AL23" s="146">
        <v>100</v>
      </c>
      <c r="AM23" s="146">
        <v>99</v>
      </c>
      <c r="AN23" s="146">
        <v>95</v>
      </c>
      <c r="AO23" s="146">
        <v>92</v>
      </c>
      <c r="AP23" s="146">
        <v>88</v>
      </c>
      <c r="AQ23" s="146">
        <v>85</v>
      </c>
      <c r="AR23" s="146">
        <v>81</v>
      </c>
      <c r="AS23" s="146">
        <v>96.42</v>
      </c>
    </row>
    <row r="24" spans="1:45" ht="16.5" thickBot="1" x14ac:dyDescent="0.3">
      <c r="A24" s="170">
        <v>0.26</v>
      </c>
      <c r="B24" s="165">
        <v>7.2799999999999994</v>
      </c>
      <c r="C24" s="165">
        <v>7.7799999999999994</v>
      </c>
      <c r="D24" s="165">
        <v>8.18</v>
      </c>
      <c r="E24" s="165">
        <v>8.33</v>
      </c>
      <c r="F24" s="278">
        <v>8.33</v>
      </c>
      <c r="G24" s="245">
        <v>8.33</v>
      </c>
      <c r="H24" s="278">
        <v>8.33</v>
      </c>
      <c r="I24" s="165">
        <v>8.33</v>
      </c>
      <c r="J24" s="165">
        <v>8.33</v>
      </c>
      <c r="K24" s="165">
        <v>8.18</v>
      </c>
      <c r="L24" s="165">
        <v>8.0299999999999994</v>
      </c>
      <c r="M24" s="250">
        <v>7.8800000000000008</v>
      </c>
      <c r="N24" s="250">
        <v>7.73</v>
      </c>
      <c r="O24" s="250">
        <v>7.58</v>
      </c>
      <c r="P24" s="250">
        <v>7.43</v>
      </c>
      <c r="Q24" s="165">
        <v>7.23</v>
      </c>
      <c r="R24" s="165">
        <v>7.0299999999999994</v>
      </c>
      <c r="S24" s="165">
        <v>6.73</v>
      </c>
      <c r="T24" s="165">
        <v>6.38</v>
      </c>
      <c r="U24" s="165">
        <v>5.98</v>
      </c>
      <c r="V24" s="165">
        <v>5.53</v>
      </c>
      <c r="W24" s="165">
        <v>5.03</v>
      </c>
      <c r="X24" s="241"/>
      <c r="Y24" s="146">
        <v>7.1</v>
      </c>
      <c r="Z24" s="146">
        <v>100</v>
      </c>
      <c r="AA24" s="146">
        <v>100</v>
      </c>
      <c r="AB24" s="146">
        <v>100</v>
      </c>
      <c r="AC24" s="146">
        <v>100</v>
      </c>
      <c r="AD24" s="146">
        <v>100</v>
      </c>
      <c r="AE24" s="146">
        <v>100</v>
      </c>
      <c r="AF24" s="146">
        <v>100</v>
      </c>
      <c r="AG24" s="146">
        <v>100</v>
      </c>
      <c r="AH24" s="146">
        <v>97</v>
      </c>
      <c r="AI24" s="146">
        <v>94</v>
      </c>
      <c r="AJ24" s="146">
        <v>100</v>
      </c>
      <c r="AK24" s="146">
        <v>100</v>
      </c>
      <c r="AL24" s="146">
        <v>100</v>
      </c>
      <c r="AM24" s="146">
        <v>98</v>
      </c>
      <c r="AN24" s="146">
        <v>95</v>
      </c>
      <c r="AO24" s="146">
        <v>91</v>
      </c>
      <c r="AP24" s="146">
        <v>87</v>
      </c>
      <c r="AQ24" s="146">
        <v>84</v>
      </c>
      <c r="AR24" s="146">
        <v>80</v>
      </c>
      <c r="AS24" s="146">
        <v>96.11</v>
      </c>
    </row>
    <row r="25" spans="1:45" ht="16.5" customHeight="1" thickBot="1" x14ac:dyDescent="0.3">
      <c r="A25" s="170">
        <v>0.27</v>
      </c>
      <c r="B25" s="165">
        <v>7.3599999999999994</v>
      </c>
      <c r="C25" s="165">
        <v>7.8599999999999994</v>
      </c>
      <c r="D25" s="165">
        <v>8.26</v>
      </c>
      <c r="E25" s="165">
        <v>8.33</v>
      </c>
      <c r="F25" s="278">
        <v>8.33</v>
      </c>
      <c r="G25" s="245">
        <v>8.33</v>
      </c>
      <c r="H25" s="278">
        <v>8.33</v>
      </c>
      <c r="I25" s="165">
        <v>8.33</v>
      </c>
      <c r="J25" s="165">
        <v>8.33</v>
      </c>
      <c r="K25" s="165">
        <v>8.26</v>
      </c>
      <c r="L25" s="165">
        <v>8.11</v>
      </c>
      <c r="M25" s="250">
        <v>7.9600000000000009</v>
      </c>
      <c r="N25" s="250">
        <v>7.8100000000000005</v>
      </c>
      <c r="O25" s="250">
        <v>7.66</v>
      </c>
      <c r="P25" s="250">
        <v>7.51</v>
      </c>
      <c r="Q25" s="165">
        <v>7.3100000000000005</v>
      </c>
      <c r="R25" s="165">
        <v>7.1099999999999994</v>
      </c>
      <c r="S25" s="165">
        <v>6.81</v>
      </c>
      <c r="T25" s="165">
        <v>6.46</v>
      </c>
      <c r="U25" s="165">
        <v>6.06</v>
      </c>
      <c r="V25" s="165">
        <v>5.61</v>
      </c>
      <c r="W25" s="165">
        <v>5.1100000000000003</v>
      </c>
      <c r="X25" s="241"/>
      <c r="Y25" s="146">
        <v>7</v>
      </c>
      <c r="Z25" s="146">
        <v>100</v>
      </c>
      <c r="AA25" s="146">
        <v>100</v>
      </c>
      <c r="AB25" s="146">
        <v>100</v>
      </c>
      <c r="AC25" s="146">
        <v>100</v>
      </c>
      <c r="AD25" s="146">
        <v>100</v>
      </c>
      <c r="AE25" s="146">
        <v>100</v>
      </c>
      <c r="AF25" s="146">
        <v>100</v>
      </c>
      <c r="AG25" s="146">
        <v>100</v>
      </c>
      <c r="AH25" s="146">
        <v>96</v>
      </c>
      <c r="AI25" s="146">
        <v>93</v>
      </c>
      <c r="AJ25" s="146">
        <v>100</v>
      </c>
      <c r="AK25" s="146">
        <v>100</v>
      </c>
      <c r="AL25" s="146">
        <v>100</v>
      </c>
      <c r="AM25" s="146">
        <v>97</v>
      </c>
      <c r="AN25" s="146">
        <v>94</v>
      </c>
      <c r="AO25" s="146">
        <v>90</v>
      </c>
      <c r="AP25" s="146">
        <v>86</v>
      </c>
      <c r="AQ25" s="146">
        <v>82</v>
      </c>
      <c r="AR25" s="146">
        <v>79</v>
      </c>
      <c r="AS25" s="146">
        <v>95.79</v>
      </c>
    </row>
    <row r="26" spans="1:45" ht="16.5" customHeight="1" thickBot="1" x14ac:dyDescent="0.3">
      <c r="A26" s="170">
        <v>0.28000000000000003</v>
      </c>
      <c r="B26" s="165">
        <v>7.43</v>
      </c>
      <c r="C26" s="165">
        <v>7.93</v>
      </c>
      <c r="D26" s="165">
        <v>8.33</v>
      </c>
      <c r="E26" s="165">
        <v>8.33</v>
      </c>
      <c r="F26" s="278">
        <v>8.33</v>
      </c>
      <c r="G26" s="245">
        <v>8.33</v>
      </c>
      <c r="H26" s="278">
        <v>8.33</v>
      </c>
      <c r="I26" s="165">
        <v>8.33</v>
      </c>
      <c r="J26" s="165">
        <v>8.33</v>
      </c>
      <c r="K26" s="165">
        <v>8.33</v>
      </c>
      <c r="L26" s="165">
        <v>8.18</v>
      </c>
      <c r="M26" s="250">
        <v>8.0299999999999994</v>
      </c>
      <c r="N26" s="250">
        <v>7.8800000000000008</v>
      </c>
      <c r="O26" s="250">
        <v>7.73</v>
      </c>
      <c r="P26" s="250">
        <v>7.58</v>
      </c>
      <c r="Q26" s="165">
        <v>7.3800000000000008</v>
      </c>
      <c r="R26" s="165">
        <v>7.18</v>
      </c>
      <c r="S26" s="165">
        <v>6.88</v>
      </c>
      <c r="T26" s="165">
        <v>6.53</v>
      </c>
      <c r="U26" s="165">
        <v>6.13</v>
      </c>
      <c r="V26" s="165">
        <v>5.68</v>
      </c>
      <c r="W26" s="165">
        <v>5.18</v>
      </c>
      <c r="X26" s="241"/>
      <c r="Y26" s="146">
        <v>6.9</v>
      </c>
      <c r="Z26" s="146">
        <v>100</v>
      </c>
      <c r="AA26" s="146">
        <v>100</v>
      </c>
      <c r="AB26" s="146">
        <v>100</v>
      </c>
      <c r="AC26" s="146">
        <v>100</v>
      </c>
      <c r="AD26" s="146">
        <v>100</v>
      </c>
      <c r="AE26" s="146">
        <v>100</v>
      </c>
      <c r="AF26" s="146">
        <v>100</v>
      </c>
      <c r="AG26" s="146">
        <v>100</v>
      </c>
      <c r="AH26" s="146">
        <v>96</v>
      </c>
      <c r="AI26" s="146">
        <v>92</v>
      </c>
      <c r="AJ26" s="146">
        <v>100</v>
      </c>
      <c r="AK26" s="146">
        <v>100</v>
      </c>
      <c r="AL26" s="146">
        <v>100</v>
      </c>
      <c r="AM26" s="146">
        <v>96</v>
      </c>
      <c r="AN26" s="146">
        <v>93</v>
      </c>
      <c r="AO26" s="146">
        <v>89</v>
      </c>
      <c r="AP26" s="146">
        <v>85</v>
      </c>
      <c r="AQ26" s="146">
        <v>82</v>
      </c>
      <c r="AR26" s="146">
        <v>78</v>
      </c>
      <c r="AS26" s="146">
        <v>95.32</v>
      </c>
    </row>
    <row r="27" spans="1:45" ht="16.5" thickBot="1" x14ac:dyDescent="0.3">
      <c r="A27" s="170">
        <v>0.28999999999999998</v>
      </c>
      <c r="B27" s="165">
        <v>7.5</v>
      </c>
      <c r="C27" s="165">
        <v>8</v>
      </c>
      <c r="D27" s="165">
        <v>8.33</v>
      </c>
      <c r="E27" s="165">
        <v>8.33</v>
      </c>
      <c r="F27" s="278">
        <v>8.33</v>
      </c>
      <c r="G27" s="245">
        <v>8.33</v>
      </c>
      <c r="H27" s="278">
        <v>8.33</v>
      </c>
      <c r="I27" s="165">
        <v>8.33</v>
      </c>
      <c r="J27" s="165">
        <v>8.33</v>
      </c>
      <c r="K27" s="165">
        <v>8.33</v>
      </c>
      <c r="L27" s="165">
        <v>8.25</v>
      </c>
      <c r="M27" s="250">
        <v>8.1</v>
      </c>
      <c r="N27" s="250">
        <v>7.9499999999999993</v>
      </c>
      <c r="O27" s="250">
        <v>7.8000000000000007</v>
      </c>
      <c r="P27" s="250">
        <v>7.65</v>
      </c>
      <c r="Q27" s="165">
        <v>7.4499999999999993</v>
      </c>
      <c r="R27" s="165">
        <v>7.25</v>
      </c>
      <c r="S27" s="165">
        <v>6.95</v>
      </c>
      <c r="T27" s="165">
        <v>6.6</v>
      </c>
      <c r="U27" s="165">
        <v>6.2</v>
      </c>
      <c r="V27" s="165">
        <v>5.75</v>
      </c>
      <c r="W27" s="165">
        <v>5.25</v>
      </c>
      <c r="X27" s="241"/>
      <c r="Y27" s="146">
        <v>6.8</v>
      </c>
      <c r="Z27" s="146">
        <v>100</v>
      </c>
      <c r="AA27" s="146">
        <v>100</v>
      </c>
      <c r="AB27" s="146">
        <v>100</v>
      </c>
      <c r="AC27" s="146">
        <v>100</v>
      </c>
      <c r="AD27" s="146">
        <v>100</v>
      </c>
      <c r="AE27" s="146">
        <v>100</v>
      </c>
      <c r="AF27" s="146">
        <v>100</v>
      </c>
      <c r="AG27" s="146">
        <v>99</v>
      </c>
      <c r="AH27" s="146">
        <v>95</v>
      </c>
      <c r="AI27" s="146">
        <v>91</v>
      </c>
      <c r="AJ27" s="146">
        <v>100</v>
      </c>
      <c r="AK27" s="146">
        <v>100</v>
      </c>
      <c r="AL27" s="146">
        <v>99</v>
      </c>
      <c r="AM27" s="146">
        <v>95</v>
      </c>
      <c r="AN27" s="146">
        <v>91</v>
      </c>
      <c r="AO27" s="146">
        <v>88</v>
      </c>
      <c r="AP27" s="146">
        <v>84</v>
      </c>
      <c r="AQ27" s="146">
        <v>80</v>
      </c>
      <c r="AR27" s="146">
        <v>77</v>
      </c>
      <c r="AS27" s="146">
        <v>94.68</v>
      </c>
    </row>
    <row r="28" spans="1:45" ht="16.5" customHeight="1" thickBot="1" x14ac:dyDescent="0.3">
      <c r="A28" s="170">
        <v>0.3</v>
      </c>
      <c r="B28" s="165">
        <v>7.5600000000000005</v>
      </c>
      <c r="C28" s="165">
        <v>8.06</v>
      </c>
      <c r="D28" s="165">
        <v>8.33</v>
      </c>
      <c r="E28" s="165">
        <v>8.33</v>
      </c>
      <c r="F28" s="278">
        <v>8.33</v>
      </c>
      <c r="G28" s="245">
        <v>8.33</v>
      </c>
      <c r="H28" s="278">
        <v>8.33</v>
      </c>
      <c r="I28" s="165">
        <v>8.33</v>
      </c>
      <c r="J28" s="165">
        <v>8.33</v>
      </c>
      <c r="K28" s="165">
        <v>8.33</v>
      </c>
      <c r="L28" s="165">
        <v>8.31</v>
      </c>
      <c r="M28" s="250">
        <v>8.16</v>
      </c>
      <c r="N28" s="250">
        <v>8.01</v>
      </c>
      <c r="O28" s="250">
        <v>7.8599999999999994</v>
      </c>
      <c r="P28" s="250">
        <v>7.7100000000000009</v>
      </c>
      <c r="Q28" s="165">
        <v>7.51</v>
      </c>
      <c r="R28" s="165">
        <v>7.3100000000000005</v>
      </c>
      <c r="S28" s="165">
        <v>7.01</v>
      </c>
      <c r="T28" s="165">
        <v>6.66</v>
      </c>
      <c r="U28" s="165">
        <v>6.26</v>
      </c>
      <c r="V28" s="165">
        <v>5.81</v>
      </c>
      <c r="W28" s="165">
        <v>5.31</v>
      </c>
      <c r="X28" s="241"/>
      <c r="Y28" s="146">
        <v>6.7</v>
      </c>
      <c r="Z28" s="146">
        <v>100</v>
      </c>
      <c r="AA28" s="146">
        <v>100</v>
      </c>
      <c r="AB28" s="146">
        <v>100</v>
      </c>
      <c r="AC28" s="146">
        <v>100</v>
      </c>
      <c r="AD28" s="146">
        <v>100</v>
      </c>
      <c r="AE28" s="146">
        <v>100</v>
      </c>
      <c r="AF28" s="146">
        <v>100</v>
      </c>
      <c r="AG28" s="146">
        <v>99</v>
      </c>
      <c r="AH28" s="146">
        <v>95</v>
      </c>
      <c r="AI28" s="146">
        <v>91</v>
      </c>
      <c r="AJ28" s="146">
        <v>100</v>
      </c>
      <c r="AK28" s="146">
        <v>100</v>
      </c>
      <c r="AL28" s="146">
        <v>99</v>
      </c>
      <c r="AM28" s="146">
        <v>95</v>
      </c>
      <c r="AN28" s="146">
        <v>91</v>
      </c>
      <c r="AO28" s="146">
        <v>87</v>
      </c>
      <c r="AP28" s="146">
        <v>84</v>
      </c>
      <c r="AQ28" s="146">
        <v>80</v>
      </c>
      <c r="AR28" s="146">
        <v>76</v>
      </c>
      <c r="AS28" s="146">
        <v>94.58</v>
      </c>
    </row>
    <row r="29" spans="1:45" ht="16.5" customHeight="1" thickBot="1" x14ac:dyDescent="0.3">
      <c r="A29" s="170">
        <v>0.31</v>
      </c>
      <c r="B29" s="165">
        <v>7.6199999999999992</v>
      </c>
      <c r="C29" s="165">
        <v>8.1199999999999992</v>
      </c>
      <c r="D29" s="165">
        <v>8.33</v>
      </c>
      <c r="E29" s="165">
        <v>8.33</v>
      </c>
      <c r="F29" s="278">
        <v>8.33</v>
      </c>
      <c r="G29" s="245">
        <v>8.33</v>
      </c>
      <c r="H29" s="278">
        <v>8.33</v>
      </c>
      <c r="I29" s="165">
        <v>8.33</v>
      </c>
      <c r="J29" s="165">
        <v>8.33</v>
      </c>
      <c r="K29" s="165">
        <v>8.33</v>
      </c>
      <c r="L29" s="165">
        <v>8.33</v>
      </c>
      <c r="M29" s="250">
        <v>8.2200000000000006</v>
      </c>
      <c r="N29" s="250">
        <v>8.07</v>
      </c>
      <c r="O29" s="250">
        <v>7.92</v>
      </c>
      <c r="P29" s="250">
        <v>7.77</v>
      </c>
      <c r="Q29" s="165">
        <v>7.57</v>
      </c>
      <c r="R29" s="165">
        <v>7.3699999999999992</v>
      </c>
      <c r="S29" s="165">
        <v>7.07</v>
      </c>
      <c r="T29" s="165">
        <v>6.72</v>
      </c>
      <c r="U29" s="165">
        <v>6.32</v>
      </c>
      <c r="V29" s="165">
        <v>5.87</v>
      </c>
      <c r="W29" s="165">
        <v>5.37</v>
      </c>
      <c r="X29" s="241"/>
      <c r="Y29" s="146">
        <v>6.6</v>
      </c>
      <c r="Z29" s="146">
        <v>100</v>
      </c>
      <c r="AA29" s="146">
        <v>100</v>
      </c>
      <c r="AB29" s="146">
        <v>100</v>
      </c>
      <c r="AC29" s="146">
        <v>100</v>
      </c>
      <c r="AD29" s="146">
        <v>100</v>
      </c>
      <c r="AE29" s="146">
        <v>100</v>
      </c>
      <c r="AF29" s="146">
        <v>100</v>
      </c>
      <c r="AG29" s="146">
        <v>98</v>
      </c>
      <c r="AH29" s="146">
        <v>94</v>
      </c>
      <c r="AI29" s="146">
        <v>90</v>
      </c>
      <c r="AJ29" s="146">
        <v>100</v>
      </c>
      <c r="AK29" s="146">
        <v>100</v>
      </c>
      <c r="AL29" s="146">
        <v>97</v>
      </c>
      <c r="AM29" s="146">
        <v>94</v>
      </c>
      <c r="AN29" s="146">
        <v>90</v>
      </c>
      <c r="AO29" s="146">
        <v>86</v>
      </c>
      <c r="AP29" s="146">
        <v>82</v>
      </c>
      <c r="AQ29" s="146">
        <v>78</v>
      </c>
      <c r="AR29" s="146">
        <v>75</v>
      </c>
      <c r="AS29" s="146">
        <v>93.89</v>
      </c>
    </row>
    <row r="30" spans="1:45" ht="16.5" customHeight="1" thickBot="1" x14ac:dyDescent="0.3">
      <c r="A30" s="170">
        <v>0.32</v>
      </c>
      <c r="B30" s="165">
        <v>7.67</v>
      </c>
      <c r="C30" s="165">
        <v>8.17</v>
      </c>
      <c r="D30" s="165">
        <v>8.33</v>
      </c>
      <c r="E30" s="165">
        <v>8.33</v>
      </c>
      <c r="F30" s="278">
        <v>8.33</v>
      </c>
      <c r="G30" s="245">
        <v>8.33</v>
      </c>
      <c r="H30" s="278">
        <v>8.33</v>
      </c>
      <c r="I30" s="165">
        <v>8.33</v>
      </c>
      <c r="J30" s="165">
        <v>8.33</v>
      </c>
      <c r="K30" s="165">
        <v>8.33</v>
      </c>
      <c r="L30" s="165">
        <v>8.33</v>
      </c>
      <c r="M30" s="250">
        <v>8.27</v>
      </c>
      <c r="N30" s="250">
        <v>8.1199999999999992</v>
      </c>
      <c r="O30" s="250">
        <v>7.9700000000000006</v>
      </c>
      <c r="P30" s="250">
        <v>7.82</v>
      </c>
      <c r="Q30" s="165">
        <v>7.6199999999999992</v>
      </c>
      <c r="R30" s="165">
        <v>7.42</v>
      </c>
      <c r="S30" s="165">
        <v>7.1199999999999992</v>
      </c>
      <c r="T30" s="165">
        <v>6.77</v>
      </c>
      <c r="U30" s="165">
        <v>6.37</v>
      </c>
      <c r="V30" s="165">
        <v>5.92</v>
      </c>
      <c r="W30" s="165">
        <v>5.42</v>
      </c>
      <c r="X30" s="241"/>
      <c r="Y30" s="146">
        <v>6.5</v>
      </c>
      <c r="Z30" s="146">
        <v>100</v>
      </c>
      <c r="AA30" s="146">
        <v>100</v>
      </c>
      <c r="AB30" s="146">
        <v>100</v>
      </c>
      <c r="AC30" s="146">
        <v>100</v>
      </c>
      <c r="AD30" s="146">
        <v>100</v>
      </c>
      <c r="AE30" s="146">
        <v>100</v>
      </c>
      <c r="AF30" s="146">
        <v>100</v>
      </c>
      <c r="AG30" s="146">
        <v>97</v>
      </c>
      <c r="AH30" s="146">
        <v>93</v>
      </c>
      <c r="AI30" s="146">
        <v>90</v>
      </c>
      <c r="AJ30" s="146">
        <v>100</v>
      </c>
      <c r="AK30" s="146">
        <v>100</v>
      </c>
      <c r="AL30" s="146">
        <v>97</v>
      </c>
      <c r="AM30" s="146">
        <v>93</v>
      </c>
      <c r="AN30" s="146">
        <v>89</v>
      </c>
      <c r="AO30" s="146">
        <v>85</v>
      </c>
      <c r="AP30" s="146">
        <v>82</v>
      </c>
      <c r="AQ30" s="146">
        <v>78</v>
      </c>
      <c r="AR30" s="146">
        <v>74</v>
      </c>
      <c r="AS30" s="146">
        <v>93.58</v>
      </c>
    </row>
    <row r="31" spans="1:45" ht="16.5" customHeight="1" thickBot="1" x14ac:dyDescent="0.3">
      <c r="A31" s="170">
        <v>0.33</v>
      </c>
      <c r="B31" s="165">
        <v>7.7200000000000006</v>
      </c>
      <c r="C31" s="165">
        <v>8.2200000000000006</v>
      </c>
      <c r="D31" s="165">
        <v>8.33</v>
      </c>
      <c r="E31" s="165">
        <v>8.33</v>
      </c>
      <c r="F31" s="278">
        <v>8.33</v>
      </c>
      <c r="G31" s="245">
        <v>8.33</v>
      </c>
      <c r="H31" s="278">
        <v>8.33</v>
      </c>
      <c r="I31" s="165">
        <v>8.33</v>
      </c>
      <c r="J31" s="165">
        <v>8.33</v>
      </c>
      <c r="K31" s="165">
        <v>8.33</v>
      </c>
      <c r="L31" s="165">
        <v>8.33</v>
      </c>
      <c r="M31" s="250">
        <v>8.32</v>
      </c>
      <c r="N31" s="250">
        <v>8.17</v>
      </c>
      <c r="O31" s="250">
        <v>8.02</v>
      </c>
      <c r="P31" s="250">
        <v>7.8699999999999992</v>
      </c>
      <c r="Q31" s="165">
        <v>7.67</v>
      </c>
      <c r="R31" s="165">
        <v>7.4700000000000006</v>
      </c>
      <c r="S31" s="165">
        <v>7.17</v>
      </c>
      <c r="T31" s="165">
        <v>6.82</v>
      </c>
      <c r="U31" s="165">
        <v>6.42</v>
      </c>
      <c r="V31" s="165">
        <v>5.97</v>
      </c>
      <c r="W31" s="165">
        <v>5.47</v>
      </c>
      <c r="X31" s="241"/>
      <c r="Y31" s="146">
        <v>6.4</v>
      </c>
      <c r="Z31" s="146">
        <v>100</v>
      </c>
      <c r="AA31" s="146">
        <v>100</v>
      </c>
      <c r="AB31" s="146">
        <v>100</v>
      </c>
      <c r="AC31" s="146">
        <v>100</v>
      </c>
      <c r="AD31" s="146">
        <v>100</v>
      </c>
      <c r="AE31" s="146">
        <v>100</v>
      </c>
      <c r="AF31" s="146">
        <v>100</v>
      </c>
      <c r="AG31" s="146">
        <v>97</v>
      </c>
      <c r="AH31" s="146">
        <v>93</v>
      </c>
      <c r="AI31" s="146">
        <v>89</v>
      </c>
      <c r="AJ31" s="146">
        <v>100</v>
      </c>
      <c r="AK31" s="146">
        <v>100</v>
      </c>
      <c r="AL31" s="146">
        <v>96</v>
      </c>
      <c r="AM31" s="146">
        <v>93</v>
      </c>
      <c r="AN31" s="146">
        <v>89</v>
      </c>
      <c r="AO31" s="146">
        <v>85</v>
      </c>
      <c r="AP31" s="146">
        <v>81</v>
      </c>
      <c r="AQ31" s="146">
        <v>77</v>
      </c>
      <c r="AR31" s="146">
        <v>73</v>
      </c>
      <c r="AS31" s="146">
        <v>93.32</v>
      </c>
    </row>
    <row r="32" spans="1:45" ht="16.5" customHeight="1" thickBot="1" x14ac:dyDescent="0.3">
      <c r="A32" s="170">
        <v>0.34</v>
      </c>
      <c r="B32" s="165">
        <v>7.77</v>
      </c>
      <c r="C32" s="165">
        <v>8.27</v>
      </c>
      <c r="D32" s="165">
        <v>8.33</v>
      </c>
      <c r="E32" s="165">
        <v>8.33</v>
      </c>
      <c r="F32" s="278">
        <v>8.33</v>
      </c>
      <c r="G32" s="245">
        <v>8.33</v>
      </c>
      <c r="H32" s="278">
        <v>8.33</v>
      </c>
      <c r="I32" s="165">
        <v>8.33</v>
      </c>
      <c r="J32" s="165">
        <v>8.33</v>
      </c>
      <c r="K32" s="165">
        <v>8.33</v>
      </c>
      <c r="L32" s="165">
        <v>8.33</v>
      </c>
      <c r="M32" s="250">
        <v>8.33</v>
      </c>
      <c r="N32" s="250">
        <v>8.2200000000000006</v>
      </c>
      <c r="O32" s="250">
        <v>8.07</v>
      </c>
      <c r="P32" s="250">
        <v>7.92</v>
      </c>
      <c r="Q32" s="165">
        <v>7.7200000000000006</v>
      </c>
      <c r="R32" s="165">
        <v>7.52</v>
      </c>
      <c r="S32" s="165">
        <v>7.2200000000000006</v>
      </c>
      <c r="T32" s="165">
        <v>6.87</v>
      </c>
      <c r="U32" s="165">
        <v>6.47</v>
      </c>
      <c r="V32" s="165">
        <v>6.02</v>
      </c>
      <c r="W32" s="165">
        <v>5.52</v>
      </c>
      <c r="X32" s="241"/>
      <c r="Y32" s="146">
        <v>6.3</v>
      </c>
      <c r="Z32" s="146">
        <v>100</v>
      </c>
      <c r="AA32" s="146">
        <v>100</v>
      </c>
      <c r="AB32" s="146">
        <v>100</v>
      </c>
      <c r="AC32" s="146">
        <v>100</v>
      </c>
      <c r="AD32" s="146">
        <v>100</v>
      </c>
      <c r="AE32" s="146">
        <v>100</v>
      </c>
      <c r="AF32" s="146">
        <v>100</v>
      </c>
      <c r="AG32" s="146">
        <v>96</v>
      </c>
      <c r="AH32" s="146">
        <v>92</v>
      </c>
      <c r="AI32" s="146">
        <v>88</v>
      </c>
      <c r="AJ32" s="146">
        <v>100</v>
      </c>
      <c r="AK32" s="146">
        <v>99</v>
      </c>
      <c r="AL32" s="146">
        <v>95</v>
      </c>
      <c r="AM32" s="146">
        <v>91</v>
      </c>
      <c r="AN32" s="146">
        <v>88</v>
      </c>
      <c r="AO32" s="146">
        <v>84</v>
      </c>
      <c r="AP32" s="146">
        <v>80</v>
      </c>
      <c r="AQ32" s="146">
        <v>76</v>
      </c>
      <c r="AR32" s="146">
        <v>72</v>
      </c>
      <c r="AS32" s="146">
        <v>92.68</v>
      </c>
    </row>
    <row r="33" spans="1:45" ht="16.5" customHeight="1" thickBot="1" x14ac:dyDescent="0.3">
      <c r="A33" s="170">
        <v>0.35</v>
      </c>
      <c r="B33" s="165">
        <v>7.8100000000000005</v>
      </c>
      <c r="C33" s="165">
        <v>8.31</v>
      </c>
      <c r="D33" s="165">
        <v>8.33</v>
      </c>
      <c r="E33" s="165">
        <v>8.33</v>
      </c>
      <c r="F33" s="278">
        <v>8.33</v>
      </c>
      <c r="G33" s="245">
        <v>8.33</v>
      </c>
      <c r="H33" s="278">
        <v>8.33</v>
      </c>
      <c r="I33" s="165">
        <v>8.33</v>
      </c>
      <c r="J33" s="165">
        <v>8.33</v>
      </c>
      <c r="K33" s="165">
        <v>8.33</v>
      </c>
      <c r="L33" s="165">
        <v>8.33</v>
      </c>
      <c r="M33" s="250">
        <v>8.33</v>
      </c>
      <c r="N33" s="250">
        <v>8.26</v>
      </c>
      <c r="O33" s="250">
        <v>8.11</v>
      </c>
      <c r="P33" s="250">
        <v>7.9600000000000009</v>
      </c>
      <c r="Q33" s="165">
        <v>7.76</v>
      </c>
      <c r="R33" s="165">
        <v>7.5600000000000005</v>
      </c>
      <c r="S33" s="165">
        <v>7.26</v>
      </c>
      <c r="T33" s="165">
        <v>6.91</v>
      </c>
      <c r="U33" s="165">
        <v>6.51</v>
      </c>
      <c r="V33" s="165">
        <v>6.06</v>
      </c>
      <c r="W33" s="165">
        <v>5.56</v>
      </c>
      <c r="X33" s="241"/>
      <c r="Y33" s="146">
        <v>6.2</v>
      </c>
      <c r="Z33" s="146">
        <v>100</v>
      </c>
      <c r="AA33" s="146">
        <v>100</v>
      </c>
      <c r="AB33" s="146">
        <v>100</v>
      </c>
      <c r="AC33" s="146">
        <v>100</v>
      </c>
      <c r="AD33" s="146">
        <v>100</v>
      </c>
      <c r="AE33" s="146">
        <v>100</v>
      </c>
      <c r="AF33" s="146">
        <v>99</v>
      </c>
      <c r="AG33" s="146">
        <v>95</v>
      </c>
      <c r="AH33" s="146">
        <v>91</v>
      </c>
      <c r="AI33" s="146">
        <v>87</v>
      </c>
      <c r="AJ33" s="146">
        <v>100</v>
      </c>
      <c r="AK33" s="146">
        <v>98</v>
      </c>
      <c r="AL33" s="146">
        <v>94</v>
      </c>
      <c r="AM33" s="146">
        <v>90</v>
      </c>
      <c r="AN33" s="146">
        <v>86</v>
      </c>
      <c r="AO33" s="146">
        <v>82</v>
      </c>
      <c r="AP33" s="146">
        <v>78</v>
      </c>
      <c r="AQ33" s="146">
        <v>75</v>
      </c>
      <c r="AR33" s="146">
        <v>71</v>
      </c>
      <c r="AS33" s="146">
        <v>91.89</v>
      </c>
    </row>
    <row r="34" spans="1:45" ht="16.5" customHeight="1" thickBot="1" x14ac:dyDescent="0.3">
      <c r="A34" s="170">
        <v>0.36</v>
      </c>
      <c r="B34" s="165">
        <v>7.85</v>
      </c>
      <c r="C34" s="165">
        <v>8.33</v>
      </c>
      <c r="D34" s="165">
        <v>8.33</v>
      </c>
      <c r="E34" s="165">
        <v>8.33</v>
      </c>
      <c r="F34" s="278">
        <v>8.33</v>
      </c>
      <c r="G34" s="245">
        <v>8.33</v>
      </c>
      <c r="H34" s="278">
        <v>8.33</v>
      </c>
      <c r="I34" s="165">
        <v>8.33</v>
      </c>
      <c r="J34" s="165">
        <v>8.33</v>
      </c>
      <c r="K34" s="165">
        <v>8.33</v>
      </c>
      <c r="L34" s="165">
        <v>8.33</v>
      </c>
      <c r="M34" s="250">
        <v>8.33</v>
      </c>
      <c r="N34" s="250">
        <v>8.3000000000000007</v>
      </c>
      <c r="O34" s="250">
        <v>8.15</v>
      </c>
      <c r="P34" s="250">
        <v>8</v>
      </c>
      <c r="Q34" s="165">
        <v>7.8000000000000007</v>
      </c>
      <c r="R34" s="165">
        <v>7.6</v>
      </c>
      <c r="S34" s="165">
        <v>7.3000000000000007</v>
      </c>
      <c r="T34" s="165">
        <v>6.95</v>
      </c>
      <c r="U34" s="165">
        <v>6.55</v>
      </c>
      <c r="V34" s="165">
        <v>6.1</v>
      </c>
      <c r="W34" s="165">
        <v>5.6</v>
      </c>
      <c r="X34" s="241"/>
      <c r="Y34" s="146">
        <v>6.1</v>
      </c>
      <c r="Z34" s="146">
        <v>100</v>
      </c>
      <c r="AA34" s="146">
        <v>100</v>
      </c>
      <c r="AB34" s="146">
        <v>100</v>
      </c>
      <c r="AC34" s="146">
        <v>100</v>
      </c>
      <c r="AD34" s="146">
        <v>100</v>
      </c>
      <c r="AE34" s="146">
        <v>100</v>
      </c>
      <c r="AF34" s="146">
        <v>99</v>
      </c>
      <c r="AG34" s="146">
        <v>95</v>
      </c>
      <c r="AH34" s="146">
        <v>91</v>
      </c>
      <c r="AI34" s="146">
        <v>86</v>
      </c>
      <c r="AJ34" s="146">
        <v>100</v>
      </c>
      <c r="AK34" s="146">
        <v>98</v>
      </c>
      <c r="AL34" s="146">
        <v>93</v>
      </c>
      <c r="AM34" s="146">
        <v>89</v>
      </c>
      <c r="AN34" s="146">
        <v>86</v>
      </c>
      <c r="AO34" s="146">
        <v>81</v>
      </c>
      <c r="AP34" s="146">
        <v>78</v>
      </c>
      <c r="AQ34" s="146">
        <v>74</v>
      </c>
      <c r="AR34" s="146">
        <v>70</v>
      </c>
      <c r="AS34" s="146">
        <v>91.58</v>
      </c>
    </row>
    <row r="35" spans="1:45" ht="16.5" customHeight="1" thickBot="1" x14ac:dyDescent="0.3">
      <c r="A35" s="170">
        <v>0.37</v>
      </c>
      <c r="B35" s="165">
        <v>7.8800000000000008</v>
      </c>
      <c r="C35" s="165">
        <v>8.33</v>
      </c>
      <c r="D35" s="165">
        <v>8.33</v>
      </c>
      <c r="E35" s="165">
        <v>8.33</v>
      </c>
      <c r="F35" s="278">
        <v>8.33</v>
      </c>
      <c r="G35" s="245">
        <v>8.33</v>
      </c>
      <c r="H35" s="278">
        <v>8.33</v>
      </c>
      <c r="I35" s="165">
        <v>8.33</v>
      </c>
      <c r="J35" s="165">
        <v>8.33</v>
      </c>
      <c r="K35" s="165">
        <v>8.33</v>
      </c>
      <c r="L35" s="165">
        <v>8.33</v>
      </c>
      <c r="M35" s="250">
        <v>8.33</v>
      </c>
      <c r="N35" s="250">
        <v>8.33</v>
      </c>
      <c r="O35" s="250">
        <v>8.18</v>
      </c>
      <c r="P35" s="250">
        <v>8.0299999999999994</v>
      </c>
      <c r="Q35" s="165">
        <v>7.83</v>
      </c>
      <c r="R35" s="165">
        <v>7.6300000000000008</v>
      </c>
      <c r="S35" s="165">
        <v>7.33</v>
      </c>
      <c r="T35" s="165">
        <v>6.98</v>
      </c>
      <c r="U35" s="165">
        <v>6.58</v>
      </c>
      <c r="V35" s="165">
        <v>6.13</v>
      </c>
      <c r="W35" s="165">
        <v>5.63</v>
      </c>
      <c r="X35" s="241"/>
      <c r="Y35" s="146">
        <v>6</v>
      </c>
      <c r="Z35" s="146">
        <v>100</v>
      </c>
      <c r="AA35" s="146">
        <v>100</v>
      </c>
      <c r="AB35" s="146">
        <v>100</v>
      </c>
      <c r="AC35" s="146">
        <v>100</v>
      </c>
      <c r="AD35" s="146">
        <v>100</v>
      </c>
      <c r="AE35" s="146">
        <v>100</v>
      </c>
      <c r="AF35" s="146">
        <v>98</v>
      </c>
      <c r="AG35" s="146">
        <v>94</v>
      </c>
      <c r="AH35" s="146">
        <v>90</v>
      </c>
      <c r="AI35" s="146">
        <v>86</v>
      </c>
      <c r="AJ35" s="146">
        <v>100</v>
      </c>
      <c r="AK35" s="146">
        <v>97</v>
      </c>
      <c r="AL35" s="146">
        <v>93</v>
      </c>
      <c r="AM35" s="146">
        <v>89</v>
      </c>
      <c r="AN35" s="146">
        <v>85</v>
      </c>
      <c r="AO35" s="146">
        <v>81</v>
      </c>
      <c r="AP35" s="146">
        <v>77</v>
      </c>
      <c r="AQ35" s="146">
        <v>73</v>
      </c>
      <c r="AR35" s="146">
        <v>69</v>
      </c>
      <c r="AS35" s="146">
        <v>91.16</v>
      </c>
    </row>
    <row r="36" spans="1:45" ht="16.5" customHeight="1" thickBot="1" x14ac:dyDescent="0.3">
      <c r="A36" s="170">
        <v>0.38</v>
      </c>
      <c r="B36" s="165">
        <v>7.92</v>
      </c>
      <c r="C36" s="165">
        <v>8.33</v>
      </c>
      <c r="D36" s="165">
        <v>8.33</v>
      </c>
      <c r="E36" s="165">
        <v>8.33</v>
      </c>
      <c r="F36" s="278">
        <v>8.33</v>
      </c>
      <c r="G36" s="245">
        <v>8.33</v>
      </c>
      <c r="H36" s="278">
        <v>8.33</v>
      </c>
      <c r="I36" s="165">
        <v>8.33</v>
      </c>
      <c r="J36" s="165">
        <v>8.33</v>
      </c>
      <c r="K36" s="165">
        <v>8.33</v>
      </c>
      <c r="L36" s="165">
        <v>8.33</v>
      </c>
      <c r="M36" s="250">
        <v>8.33</v>
      </c>
      <c r="N36" s="250">
        <v>8.33</v>
      </c>
      <c r="O36" s="250">
        <v>8.2200000000000006</v>
      </c>
      <c r="P36" s="250">
        <v>8.07</v>
      </c>
      <c r="Q36" s="165">
        <v>7.8699999999999992</v>
      </c>
      <c r="R36" s="165">
        <v>7.67</v>
      </c>
      <c r="S36" s="165">
        <v>7.3699999999999992</v>
      </c>
      <c r="T36" s="165">
        <v>7.02</v>
      </c>
      <c r="U36" s="165">
        <v>6.62</v>
      </c>
      <c r="V36" s="165">
        <v>6.17</v>
      </c>
      <c r="W36" s="165">
        <v>5.67</v>
      </c>
      <c r="X36" s="241"/>
      <c r="Y36" s="146">
        <v>5.9</v>
      </c>
      <c r="Z36" s="146">
        <v>100</v>
      </c>
      <c r="AA36" s="146">
        <v>100</v>
      </c>
      <c r="AB36" s="146">
        <v>100</v>
      </c>
      <c r="AC36" s="146">
        <v>100</v>
      </c>
      <c r="AD36" s="146">
        <v>100</v>
      </c>
      <c r="AE36" s="146">
        <v>100</v>
      </c>
      <c r="AF36" s="146">
        <v>98</v>
      </c>
      <c r="AG36" s="146">
        <v>94</v>
      </c>
      <c r="AH36" s="146">
        <v>90</v>
      </c>
      <c r="AI36" s="146">
        <v>86</v>
      </c>
      <c r="AJ36" s="146">
        <v>100</v>
      </c>
      <c r="AK36" s="146">
        <v>96</v>
      </c>
      <c r="AL36" s="146">
        <v>92</v>
      </c>
      <c r="AM36" s="146">
        <v>88</v>
      </c>
      <c r="AN36" s="146">
        <v>84</v>
      </c>
      <c r="AO36" s="146">
        <v>80</v>
      </c>
      <c r="AP36" s="146">
        <v>76</v>
      </c>
      <c r="AQ36" s="146">
        <v>72</v>
      </c>
      <c r="AR36" s="146">
        <v>68</v>
      </c>
      <c r="AS36" s="146">
        <v>90.74</v>
      </c>
    </row>
    <row r="37" spans="1:45" ht="16.5" customHeight="1" thickBot="1" x14ac:dyDescent="0.3">
      <c r="A37" s="170">
        <v>0.39</v>
      </c>
      <c r="B37" s="165">
        <v>7.9499999999999993</v>
      </c>
      <c r="C37" s="165">
        <v>8.33</v>
      </c>
      <c r="D37" s="165">
        <v>8.33</v>
      </c>
      <c r="E37" s="165">
        <v>8.33</v>
      </c>
      <c r="F37" s="278">
        <v>8.33</v>
      </c>
      <c r="G37" s="245">
        <v>8.33</v>
      </c>
      <c r="H37" s="278">
        <v>8.33</v>
      </c>
      <c r="I37" s="165">
        <v>8.33</v>
      </c>
      <c r="J37" s="165">
        <v>8.33</v>
      </c>
      <c r="K37" s="165">
        <v>8.33</v>
      </c>
      <c r="L37" s="165">
        <v>8.33</v>
      </c>
      <c r="M37" s="250">
        <v>8.33</v>
      </c>
      <c r="N37" s="250">
        <v>8.33</v>
      </c>
      <c r="O37" s="250">
        <v>8.25</v>
      </c>
      <c r="P37" s="250">
        <v>8.1</v>
      </c>
      <c r="Q37" s="165">
        <v>7.9</v>
      </c>
      <c r="R37" s="165">
        <v>7.6999999999999993</v>
      </c>
      <c r="S37" s="165">
        <v>7.4</v>
      </c>
      <c r="T37" s="165">
        <v>7.0500000000000007</v>
      </c>
      <c r="U37" s="165">
        <v>6.65</v>
      </c>
      <c r="V37" s="165">
        <v>6.2</v>
      </c>
      <c r="W37" s="165">
        <v>5.7</v>
      </c>
      <c r="X37" s="241"/>
      <c r="Y37" s="146">
        <v>5.8</v>
      </c>
      <c r="Z37" s="146">
        <v>100</v>
      </c>
      <c r="AA37" s="146">
        <v>100</v>
      </c>
      <c r="AB37" s="146">
        <v>100</v>
      </c>
      <c r="AC37" s="146">
        <v>100</v>
      </c>
      <c r="AD37" s="146">
        <v>100</v>
      </c>
      <c r="AE37" s="146">
        <v>100</v>
      </c>
      <c r="AF37" s="146">
        <v>97</v>
      </c>
      <c r="AG37" s="146">
        <v>93</v>
      </c>
      <c r="AH37" s="146">
        <v>89</v>
      </c>
      <c r="AI37" s="146">
        <v>85</v>
      </c>
      <c r="AJ37" s="146">
        <v>100</v>
      </c>
      <c r="AK37" s="146">
        <v>96</v>
      </c>
      <c r="AL37" s="146">
        <v>91</v>
      </c>
      <c r="AM37" s="146">
        <v>88</v>
      </c>
      <c r="AN37" s="146">
        <v>84</v>
      </c>
      <c r="AO37" s="146">
        <v>79</v>
      </c>
      <c r="AP37" s="146">
        <v>76</v>
      </c>
      <c r="AQ37" s="146">
        <v>71</v>
      </c>
      <c r="AR37" s="146">
        <v>67</v>
      </c>
      <c r="AS37" s="146">
        <v>90.32</v>
      </c>
    </row>
    <row r="38" spans="1:45" ht="16.5" customHeight="1" thickBot="1" x14ac:dyDescent="0.3">
      <c r="A38" s="170">
        <v>0.4</v>
      </c>
      <c r="B38" s="165">
        <v>7.98</v>
      </c>
      <c r="C38" s="165">
        <v>8.33</v>
      </c>
      <c r="D38" s="165">
        <v>8.33</v>
      </c>
      <c r="E38" s="165">
        <v>8.33</v>
      </c>
      <c r="F38" s="278">
        <v>8.33</v>
      </c>
      <c r="G38" s="245">
        <v>8.33</v>
      </c>
      <c r="H38" s="278">
        <v>8.33</v>
      </c>
      <c r="I38" s="165">
        <v>8.33</v>
      </c>
      <c r="J38" s="165">
        <v>8.33</v>
      </c>
      <c r="K38" s="165">
        <v>8.33</v>
      </c>
      <c r="L38" s="165">
        <v>8.33</v>
      </c>
      <c r="M38" s="250">
        <v>8.33</v>
      </c>
      <c r="N38" s="250">
        <v>8.33</v>
      </c>
      <c r="O38" s="250">
        <v>8.2799999999999994</v>
      </c>
      <c r="P38" s="250">
        <v>8.1300000000000008</v>
      </c>
      <c r="Q38" s="165">
        <v>7.93</v>
      </c>
      <c r="R38" s="165">
        <v>7.73</v>
      </c>
      <c r="S38" s="165">
        <v>7.43</v>
      </c>
      <c r="T38" s="165">
        <v>7.08</v>
      </c>
      <c r="U38" s="165">
        <v>6.68</v>
      </c>
      <c r="V38" s="165">
        <v>6.23</v>
      </c>
      <c r="W38" s="165">
        <v>5.73</v>
      </c>
      <c r="X38" s="241"/>
      <c r="Y38" s="146">
        <v>5.7</v>
      </c>
      <c r="Z38" s="146">
        <v>100</v>
      </c>
      <c r="AA38" s="146">
        <v>100</v>
      </c>
      <c r="AB38" s="146">
        <v>100</v>
      </c>
      <c r="AC38" s="146">
        <v>100</v>
      </c>
      <c r="AD38" s="146">
        <v>100</v>
      </c>
      <c r="AE38" s="146">
        <v>100</v>
      </c>
      <c r="AF38" s="146">
        <v>97</v>
      </c>
      <c r="AG38" s="146">
        <v>93</v>
      </c>
      <c r="AH38" s="146">
        <v>88</v>
      </c>
      <c r="AI38" s="146">
        <v>85</v>
      </c>
      <c r="AJ38" s="146">
        <v>99</v>
      </c>
      <c r="AK38" s="146">
        <v>95</v>
      </c>
      <c r="AL38" s="146">
        <v>90</v>
      </c>
      <c r="AM38" s="146">
        <v>87</v>
      </c>
      <c r="AN38" s="146">
        <v>83</v>
      </c>
      <c r="AO38" s="146">
        <v>78</v>
      </c>
      <c r="AP38" s="146">
        <v>75</v>
      </c>
      <c r="AQ38" s="146">
        <v>70</v>
      </c>
      <c r="AR38" s="146">
        <v>66</v>
      </c>
      <c r="AS38" s="146">
        <v>89.79</v>
      </c>
    </row>
    <row r="39" spans="1:45" ht="16.5" thickBot="1" x14ac:dyDescent="0.3">
      <c r="A39" s="174">
        <v>0.41</v>
      </c>
      <c r="B39" s="165">
        <v>8.01</v>
      </c>
      <c r="C39" s="165">
        <v>8.33</v>
      </c>
      <c r="D39" s="165">
        <v>8.33</v>
      </c>
      <c r="E39" s="165">
        <v>8.33</v>
      </c>
      <c r="F39" s="278">
        <v>8.33</v>
      </c>
      <c r="G39" s="245">
        <v>8.33</v>
      </c>
      <c r="H39" s="278">
        <v>8.33</v>
      </c>
      <c r="I39" s="165">
        <v>8.33</v>
      </c>
      <c r="J39" s="165">
        <v>8.33</v>
      </c>
      <c r="K39" s="165">
        <v>8.33</v>
      </c>
      <c r="L39" s="165">
        <v>8.33</v>
      </c>
      <c r="M39" s="250">
        <v>8.33</v>
      </c>
      <c r="N39" s="250">
        <v>8.33</v>
      </c>
      <c r="O39" s="250">
        <v>8.31</v>
      </c>
      <c r="P39" s="250">
        <v>8.16</v>
      </c>
      <c r="Q39" s="165">
        <v>7.9600000000000009</v>
      </c>
      <c r="R39" s="165">
        <v>7.76</v>
      </c>
      <c r="S39" s="165">
        <v>7.4600000000000009</v>
      </c>
      <c r="T39" s="165">
        <v>7.1099999999999994</v>
      </c>
      <c r="U39" s="165">
        <v>6.71</v>
      </c>
      <c r="V39" s="165">
        <v>6.26</v>
      </c>
      <c r="W39" s="165">
        <v>5.76</v>
      </c>
      <c r="X39" s="241"/>
      <c r="Y39" s="146">
        <v>5.6</v>
      </c>
      <c r="Z39" s="146">
        <v>100</v>
      </c>
      <c r="AA39" s="146">
        <v>100</v>
      </c>
      <c r="AB39" s="146">
        <v>100</v>
      </c>
      <c r="AC39" s="146">
        <v>100</v>
      </c>
      <c r="AD39" s="146">
        <v>100</v>
      </c>
      <c r="AE39" s="146">
        <v>100</v>
      </c>
      <c r="AF39" s="146">
        <v>97</v>
      </c>
      <c r="AG39" s="146">
        <v>93</v>
      </c>
      <c r="AH39" s="146">
        <v>88</v>
      </c>
      <c r="AI39" s="146">
        <v>84</v>
      </c>
      <c r="AJ39" s="146">
        <v>99</v>
      </c>
      <c r="AK39" s="146">
        <v>95</v>
      </c>
      <c r="AL39" s="146">
        <v>90</v>
      </c>
      <c r="AM39" s="146">
        <v>86</v>
      </c>
      <c r="AN39" s="146">
        <v>82</v>
      </c>
      <c r="AO39" s="146">
        <v>78</v>
      </c>
      <c r="AP39" s="146">
        <v>74</v>
      </c>
      <c r="AQ39" s="146">
        <v>69</v>
      </c>
      <c r="AR39" s="146">
        <v>65</v>
      </c>
      <c r="AS39" s="146">
        <v>89.47</v>
      </c>
    </row>
    <row r="40" spans="1:45" ht="16.5" thickBot="1" x14ac:dyDescent="0.3">
      <c r="A40" s="174">
        <v>0.42</v>
      </c>
      <c r="B40" s="165">
        <v>8.0299999999999994</v>
      </c>
      <c r="C40" s="165">
        <v>8.33</v>
      </c>
      <c r="D40" s="165">
        <v>8.33</v>
      </c>
      <c r="E40" s="165">
        <v>8.33</v>
      </c>
      <c r="F40" s="278">
        <v>8.33</v>
      </c>
      <c r="G40" s="245">
        <v>8.33</v>
      </c>
      <c r="H40" s="278">
        <v>8.33</v>
      </c>
      <c r="I40" s="165">
        <v>8.33</v>
      </c>
      <c r="J40" s="165">
        <v>8.33</v>
      </c>
      <c r="K40" s="165">
        <v>8.33</v>
      </c>
      <c r="L40" s="165">
        <v>8.33</v>
      </c>
      <c r="M40" s="250">
        <v>8.33</v>
      </c>
      <c r="N40" s="250">
        <v>8.33</v>
      </c>
      <c r="O40" s="250">
        <v>8.33</v>
      </c>
      <c r="P40" s="250">
        <v>8.18</v>
      </c>
      <c r="Q40" s="165">
        <v>7.98</v>
      </c>
      <c r="R40" s="165">
        <v>7.7799999999999994</v>
      </c>
      <c r="S40" s="165">
        <v>7.48</v>
      </c>
      <c r="T40" s="165">
        <v>7.1300000000000008</v>
      </c>
      <c r="U40" s="165">
        <v>6.73</v>
      </c>
      <c r="V40" s="165">
        <v>6.28</v>
      </c>
      <c r="W40" s="165">
        <v>5.78</v>
      </c>
      <c r="X40" s="241"/>
      <c r="Y40" s="146">
        <v>5.5</v>
      </c>
      <c r="Z40" s="146">
        <v>100</v>
      </c>
      <c r="AA40" s="146">
        <v>100</v>
      </c>
      <c r="AB40" s="146">
        <v>100</v>
      </c>
      <c r="AC40" s="146">
        <v>100</v>
      </c>
      <c r="AD40" s="146">
        <v>100</v>
      </c>
      <c r="AE40" s="146">
        <v>100</v>
      </c>
      <c r="AF40" s="146">
        <v>96</v>
      </c>
      <c r="AG40" s="146">
        <v>92</v>
      </c>
      <c r="AH40" s="146">
        <v>87</v>
      </c>
      <c r="AI40" s="146">
        <v>83</v>
      </c>
      <c r="AJ40" s="146">
        <v>98</v>
      </c>
      <c r="AK40" s="146">
        <v>94</v>
      </c>
      <c r="AL40" s="146">
        <v>89</v>
      </c>
      <c r="AM40" s="146">
        <v>85</v>
      </c>
      <c r="AN40" s="146">
        <v>81</v>
      </c>
      <c r="AO40" s="146">
        <v>77</v>
      </c>
      <c r="AP40" s="146">
        <v>73</v>
      </c>
      <c r="AQ40" s="146">
        <v>68</v>
      </c>
      <c r="AR40" s="146">
        <v>64</v>
      </c>
      <c r="AS40" s="146">
        <v>88.79</v>
      </c>
    </row>
    <row r="41" spans="1:45" ht="16.5" thickBot="1" x14ac:dyDescent="0.3">
      <c r="A41" s="174">
        <v>0.43</v>
      </c>
      <c r="B41" s="165">
        <v>8.0500000000000007</v>
      </c>
      <c r="C41" s="165">
        <v>8.33</v>
      </c>
      <c r="D41" s="165">
        <v>8.33</v>
      </c>
      <c r="E41" s="165">
        <v>8.33</v>
      </c>
      <c r="F41" s="278">
        <v>8.33</v>
      </c>
      <c r="G41" s="245">
        <v>8.33</v>
      </c>
      <c r="H41" s="278">
        <v>8.33</v>
      </c>
      <c r="I41" s="165">
        <v>8.33</v>
      </c>
      <c r="J41" s="165">
        <v>8.33</v>
      </c>
      <c r="K41" s="165">
        <v>8.33</v>
      </c>
      <c r="L41" s="165">
        <v>8.33</v>
      </c>
      <c r="M41" s="250">
        <v>8.33</v>
      </c>
      <c r="N41" s="250">
        <v>8.33</v>
      </c>
      <c r="O41" s="250">
        <v>8.33</v>
      </c>
      <c r="P41" s="250">
        <v>8.1999999999999993</v>
      </c>
      <c r="Q41" s="165">
        <v>8</v>
      </c>
      <c r="R41" s="165">
        <v>7.8000000000000007</v>
      </c>
      <c r="S41" s="165">
        <v>7.5</v>
      </c>
      <c r="T41" s="165">
        <v>7.15</v>
      </c>
      <c r="U41" s="165">
        <v>6.75</v>
      </c>
      <c r="V41" s="165">
        <v>6.3</v>
      </c>
      <c r="W41" s="165">
        <v>5.8</v>
      </c>
      <c r="X41" s="241"/>
      <c r="Y41" s="146">
        <v>5.4</v>
      </c>
      <c r="Z41" s="146">
        <v>100</v>
      </c>
      <c r="AA41" s="146">
        <v>100</v>
      </c>
      <c r="AB41" s="146">
        <v>100</v>
      </c>
      <c r="AC41" s="146">
        <v>100</v>
      </c>
      <c r="AD41" s="146">
        <v>100</v>
      </c>
      <c r="AE41" s="146">
        <v>99</v>
      </c>
      <c r="AF41" s="146">
        <v>95</v>
      </c>
      <c r="AG41" s="146">
        <v>91</v>
      </c>
      <c r="AH41" s="146">
        <v>87</v>
      </c>
      <c r="AI41" s="146">
        <v>82</v>
      </c>
      <c r="AJ41" s="146">
        <v>97</v>
      </c>
      <c r="AK41" s="146">
        <v>93</v>
      </c>
      <c r="AL41" s="146">
        <v>88</v>
      </c>
      <c r="AM41" s="146">
        <v>84</v>
      </c>
      <c r="AN41" s="146">
        <v>80</v>
      </c>
      <c r="AO41" s="146">
        <v>76</v>
      </c>
      <c r="AP41" s="146">
        <v>72</v>
      </c>
      <c r="AQ41" s="146">
        <v>67</v>
      </c>
      <c r="AR41" s="146">
        <v>63</v>
      </c>
      <c r="AS41" s="146">
        <v>88.11</v>
      </c>
    </row>
    <row r="42" spans="1:45" ht="16.5" thickBot="1" x14ac:dyDescent="0.3">
      <c r="A42" s="174">
        <v>0.44</v>
      </c>
      <c r="B42" s="165">
        <v>8.08</v>
      </c>
      <c r="C42" s="165">
        <v>8.33</v>
      </c>
      <c r="D42" s="165">
        <v>8.33</v>
      </c>
      <c r="E42" s="165">
        <v>8.33</v>
      </c>
      <c r="F42" s="278">
        <v>8.33</v>
      </c>
      <c r="G42" s="245">
        <v>8.33</v>
      </c>
      <c r="H42" s="278">
        <v>8.33</v>
      </c>
      <c r="I42" s="165">
        <v>8.33</v>
      </c>
      <c r="J42" s="165">
        <v>8.33</v>
      </c>
      <c r="K42" s="165">
        <v>8.33</v>
      </c>
      <c r="L42" s="165">
        <v>8.33</v>
      </c>
      <c r="M42" s="250">
        <v>8.33</v>
      </c>
      <c r="N42" s="250">
        <v>8.33</v>
      </c>
      <c r="O42" s="250">
        <v>8.33</v>
      </c>
      <c r="P42" s="250">
        <v>8.23</v>
      </c>
      <c r="Q42" s="165">
        <v>8.0299999999999994</v>
      </c>
      <c r="R42" s="165">
        <v>7.83</v>
      </c>
      <c r="S42" s="165">
        <v>7.5299999999999994</v>
      </c>
      <c r="T42" s="165">
        <v>7.18</v>
      </c>
      <c r="U42" s="165">
        <v>6.78</v>
      </c>
      <c r="V42" s="165">
        <v>6.33</v>
      </c>
      <c r="W42" s="165">
        <v>5.83</v>
      </c>
      <c r="X42" s="241"/>
      <c r="Y42" s="146">
        <v>5.3</v>
      </c>
      <c r="Z42" s="146">
        <v>100</v>
      </c>
      <c r="AA42" s="146">
        <v>100</v>
      </c>
      <c r="AB42" s="146">
        <v>100</v>
      </c>
      <c r="AC42" s="146">
        <v>100</v>
      </c>
      <c r="AD42" s="146">
        <v>100</v>
      </c>
      <c r="AE42" s="146">
        <v>99</v>
      </c>
      <c r="AF42" s="146">
        <v>95</v>
      </c>
      <c r="AG42" s="146">
        <v>91</v>
      </c>
      <c r="AH42" s="146">
        <v>86</v>
      </c>
      <c r="AI42" s="146">
        <v>82</v>
      </c>
      <c r="AJ42" s="146">
        <v>97</v>
      </c>
      <c r="AK42" s="146">
        <v>92</v>
      </c>
      <c r="AL42" s="146">
        <v>88</v>
      </c>
      <c r="AM42" s="146">
        <v>84</v>
      </c>
      <c r="AN42" s="146">
        <v>80</v>
      </c>
      <c r="AO42" s="146">
        <v>75</v>
      </c>
      <c r="AP42" s="146">
        <v>71</v>
      </c>
      <c r="AQ42" s="146">
        <v>67</v>
      </c>
      <c r="AR42" s="146">
        <v>62</v>
      </c>
      <c r="AS42" s="146">
        <v>87.84</v>
      </c>
    </row>
    <row r="43" spans="1:45" ht="16.5" thickBot="1" x14ac:dyDescent="0.3">
      <c r="A43" s="174">
        <v>0.45</v>
      </c>
      <c r="B43" s="165">
        <v>8.1</v>
      </c>
      <c r="C43" s="165">
        <v>8.33</v>
      </c>
      <c r="D43" s="165">
        <v>8.33</v>
      </c>
      <c r="E43" s="165">
        <v>8.33</v>
      </c>
      <c r="F43" s="278">
        <v>8.33</v>
      </c>
      <c r="G43" s="245">
        <v>8.33</v>
      </c>
      <c r="H43" s="278">
        <v>8.33</v>
      </c>
      <c r="I43" s="165">
        <v>8.33</v>
      </c>
      <c r="J43" s="165">
        <v>8.33</v>
      </c>
      <c r="K43" s="165">
        <v>8.33</v>
      </c>
      <c r="L43" s="165">
        <v>8.33</v>
      </c>
      <c r="M43" s="250">
        <v>8.33</v>
      </c>
      <c r="N43" s="250">
        <v>8.33</v>
      </c>
      <c r="O43" s="250">
        <v>8.33</v>
      </c>
      <c r="P43" s="250">
        <v>8.25</v>
      </c>
      <c r="Q43" s="165">
        <v>8.0500000000000007</v>
      </c>
      <c r="R43" s="165">
        <v>7.85</v>
      </c>
      <c r="S43" s="165">
        <v>7.5500000000000007</v>
      </c>
      <c r="T43" s="165">
        <v>7.1999999999999993</v>
      </c>
      <c r="U43" s="165">
        <v>6.8</v>
      </c>
      <c r="V43" s="165">
        <v>6.35</v>
      </c>
      <c r="W43" s="165">
        <v>5.85</v>
      </c>
      <c r="X43" s="241"/>
      <c r="Y43" s="146">
        <v>5.2</v>
      </c>
      <c r="Z43" s="146">
        <v>100</v>
      </c>
      <c r="AA43" s="146">
        <v>100</v>
      </c>
      <c r="AB43" s="146">
        <v>100</v>
      </c>
      <c r="AC43" s="146">
        <v>100</v>
      </c>
      <c r="AD43" s="146">
        <v>100</v>
      </c>
      <c r="AE43" s="146">
        <v>99</v>
      </c>
      <c r="AF43" s="146">
        <v>94</v>
      </c>
      <c r="AG43" s="146">
        <v>90</v>
      </c>
      <c r="AH43" s="146">
        <v>86</v>
      </c>
      <c r="AI43" s="146">
        <v>81</v>
      </c>
      <c r="AJ43" s="146">
        <v>96</v>
      </c>
      <c r="AK43" s="146">
        <v>91</v>
      </c>
      <c r="AL43" s="146">
        <v>87</v>
      </c>
      <c r="AM43" s="146">
        <v>83</v>
      </c>
      <c r="AN43" s="146">
        <v>78</v>
      </c>
      <c r="AO43" s="146">
        <v>74</v>
      </c>
      <c r="AP43" s="146">
        <v>70</v>
      </c>
      <c r="AQ43" s="146">
        <v>66</v>
      </c>
      <c r="AR43" s="146">
        <v>61</v>
      </c>
      <c r="AS43" s="146">
        <v>87.16</v>
      </c>
    </row>
    <row r="44" spans="1:45" ht="16.5" thickBot="1" x14ac:dyDescent="0.3">
      <c r="A44" s="174">
        <v>0.46</v>
      </c>
      <c r="B44" s="165">
        <v>8.11</v>
      </c>
      <c r="C44" s="165">
        <v>8.33</v>
      </c>
      <c r="D44" s="165">
        <v>8.33</v>
      </c>
      <c r="E44" s="165">
        <v>8.33</v>
      </c>
      <c r="F44" s="278">
        <v>8.33</v>
      </c>
      <c r="G44" s="245">
        <v>8.33</v>
      </c>
      <c r="H44" s="278">
        <v>8.33</v>
      </c>
      <c r="I44" s="165">
        <v>8.33</v>
      </c>
      <c r="J44" s="165">
        <v>8.33</v>
      </c>
      <c r="K44" s="165">
        <v>8.33</v>
      </c>
      <c r="L44" s="165">
        <v>8.33</v>
      </c>
      <c r="M44" s="250">
        <v>8.33</v>
      </c>
      <c r="N44" s="250">
        <v>8.33</v>
      </c>
      <c r="O44" s="250">
        <v>8.33</v>
      </c>
      <c r="P44" s="250">
        <v>8.26</v>
      </c>
      <c r="Q44" s="165">
        <v>8.06</v>
      </c>
      <c r="R44" s="165">
        <v>7.8599999999999994</v>
      </c>
      <c r="S44" s="165">
        <v>7.5600000000000005</v>
      </c>
      <c r="T44" s="165">
        <v>7.2100000000000009</v>
      </c>
      <c r="U44" s="165">
        <v>6.81</v>
      </c>
      <c r="V44" s="165">
        <v>6.36</v>
      </c>
      <c r="W44" s="165">
        <v>5.86</v>
      </c>
      <c r="X44" s="241"/>
      <c r="Y44" s="146">
        <v>5.0999999999999996</v>
      </c>
      <c r="Z44" s="146">
        <v>100</v>
      </c>
      <c r="AA44" s="146">
        <v>100</v>
      </c>
      <c r="AB44" s="146">
        <v>100</v>
      </c>
      <c r="AC44" s="146">
        <v>100</v>
      </c>
      <c r="AD44" s="146">
        <v>100</v>
      </c>
      <c r="AE44" s="146">
        <v>98</v>
      </c>
      <c r="AF44" s="146">
        <v>94</v>
      </c>
      <c r="AG44" s="146">
        <v>89</v>
      </c>
      <c r="AH44" s="146">
        <v>85</v>
      </c>
      <c r="AI44" s="146">
        <v>81</v>
      </c>
      <c r="AJ44" s="146">
        <v>95</v>
      </c>
      <c r="AK44" s="146">
        <v>91</v>
      </c>
      <c r="AL44" s="146">
        <v>86</v>
      </c>
      <c r="AM44" s="146">
        <v>82</v>
      </c>
      <c r="AN44" s="146">
        <v>78</v>
      </c>
      <c r="AO44" s="146">
        <v>73</v>
      </c>
      <c r="AP44" s="146">
        <v>69</v>
      </c>
      <c r="AQ44" s="146">
        <v>64</v>
      </c>
      <c r="AR44" s="146">
        <v>60</v>
      </c>
      <c r="AS44" s="146">
        <v>86.58</v>
      </c>
    </row>
    <row r="45" spans="1:45" ht="16.5" thickBot="1" x14ac:dyDescent="0.3">
      <c r="A45" s="174">
        <v>0.47</v>
      </c>
      <c r="B45" s="165">
        <v>8.1300000000000008</v>
      </c>
      <c r="C45" s="165">
        <v>8.33</v>
      </c>
      <c r="D45" s="165">
        <v>8.33</v>
      </c>
      <c r="E45" s="165">
        <v>8.33</v>
      </c>
      <c r="F45" s="278">
        <v>8.33</v>
      </c>
      <c r="G45" s="245">
        <v>8.33</v>
      </c>
      <c r="H45" s="278">
        <v>8.33</v>
      </c>
      <c r="I45" s="165">
        <v>8.33</v>
      </c>
      <c r="J45" s="165">
        <v>8.33</v>
      </c>
      <c r="K45" s="165">
        <v>8.33</v>
      </c>
      <c r="L45" s="165">
        <v>8.33</v>
      </c>
      <c r="M45" s="250">
        <v>8.33</v>
      </c>
      <c r="N45" s="250">
        <v>8.33</v>
      </c>
      <c r="O45" s="250">
        <v>8.33</v>
      </c>
      <c r="P45" s="250">
        <v>8.2799999999999994</v>
      </c>
      <c r="Q45" s="165">
        <v>8.08</v>
      </c>
      <c r="R45" s="165">
        <v>7.8800000000000008</v>
      </c>
      <c r="S45" s="165">
        <v>7.58</v>
      </c>
      <c r="T45" s="165">
        <v>7.23</v>
      </c>
      <c r="U45" s="165">
        <v>6.83</v>
      </c>
      <c r="V45" s="165">
        <v>6.38</v>
      </c>
      <c r="W45" s="165">
        <v>5.88</v>
      </c>
      <c r="X45" s="241"/>
      <c r="Y45" s="146">
        <v>5</v>
      </c>
      <c r="Z45" s="146">
        <v>100</v>
      </c>
      <c r="AA45" s="146">
        <v>100</v>
      </c>
      <c r="AB45" s="146">
        <v>100</v>
      </c>
      <c r="AC45" s="146">
        <v>100</v>
      </c>
      <c r="AD45" s="146">
        <v>100</v>
      </c>
      <c r="AE45" s="146">
        <v>97</v>
      </c>
      <c r="AF45" s="146">
        <v>93</v>
      </c>
      <c r="AG45" s="146">
        <v>89</v>
      </c>
      <c r="AH45" s="146">
        <v>84</v>
      </c>
      <c r="AI45" s="146">
        <v>80</v>
      </c>
      <c r="AJ45" s="146">
        <v>95</v>
      </c>
      <c r="AK45" s="146">
        <v>90</v>
      </c>
      <c r="AL45" s="146">
        <v>85</v>
      </c>
      <c r="AM45" s="146">
        <v>81</v>
      </c>
      <c r="AN45" s="146">
        <v>77</v>
      </c>
      <c r="AO45" s="146">
        <v>72</v>
      </c>
      <c r="AP45" s="146">
        <v>68</v>
      </c>
      <c r="AQ45" s="146">
        <v>63</v>
      </c>
      <c r="AR45" s="146">
        <v>59</v>
      </c>
      <c r="AS45" s="146">
        <v>85.95</v>
      </c>
    </row>
    <row r="46" spans="1:45" x14ac:dyDescent="0.25">
      <c r="A46" s="174">
        <v>0.48</v>
      </c>
      <c r="B46" s="165">
        <v>8.15</v>
      </c>
      <c r="C46" s="165">
        <v>8.33</v>
      </c>
      <c r="D46" s="165">
        <v>8.33</v>
      </c>
      <c r="E46" s="165">
        <v>8.33</v>
      </c>
      <c r="F46" s="278">
        <v>8.33</v>
      </c>
      <c r="G46" s="245">
        <v>8.33</v>
      </c>
      <c r="H46" s="278">
        <v>8.33</v>
      </c>
      <c r="I46" s="165">
        <v>8.33</v>
      </c>
      <c r="J46" s="165">
        <v>8.33</v>
      </c>
      <c r="K46" s="165">
        <v>8.33</v>
      </c>
      <c r="L46" s="165">
        <v>8.33</v>
      </c>
      <c r="M46" s="250">
        <v>8.33</v>
      </c>
      <c r="N46" s="250">
        <v>8.33</v>
      </c>
      <c r="O46" s="250">
        <v>8.33</v>
      </c>
      <c r="P46" s="250">
        <v>8.3000000000000007</v>
      </c>
      <c r="Q46" s="165">
        <v>8.1</v>
      </c>
      <c r="R46" s="165">
        <v>7.9</v>
      </c>
      <c r="S46" s="165">
        <v>7.6</v>
      </c>
      <c r="T46" s="165">
        <v>7.25</v>
      </c>
      <c r="U46" s="165">
        <v>6.85</v>
      </c>
      <c r="V46" s="165">
        <v>6.4</v>
      </c>
      <c r="W46" s="165">
        <v>5.9</v>
      </c>
      <c r="X46" s="241"/>
    </row>
    <row r="47" spans="1:45" x14ac:dyDescent="0.25">
      <c r="A47" s="174">
        <v>0.49</v>
      </c>
      <c r="B47" s="165">
        <v>8.16</v>
      </c>
      <c r="C47" s="165">
        <v>8.33</v>
      </c>
      <c r="D47" s="165">
        <v>8.33</v>
      </c>
      <c r="E47" s="165">
        <v>8.33</v>
      </c>
      <c r="F47" s="278">
        <v>8.33</v>
      </c>
      <c r="G47" s="245">
        <v>8.33</v>
      </c>
      <c r="H47" s="278">
        <v>8.33</v>
      </c>
      <c r="I47" s="165">
        <v>8.33</v>
      </c>
      <c r="J47" s="165">
        <v>8.33</v>
      </c>
      <c r="K47" s="165">
        <v>8.33</v>
      </c>
      <c r="L47" s="165">
        <v>8.33</v>
      </c>
      <c r="M47" s="250">
        <v>8.33</v>
      </c>
      <c r="N47" s="250">
        <v>8.33</v>
      </c>
      <c r="O47" s="250">
        <v>8.33</v>
      </c>
      <c r="P47" s="250">
        <v>8.31</v>
      </c>
      <c r="Q47" s="165">
        <v>8.11</v>
      </c>
      <c r="R47" s="165">
        <v>7.91</v>
      </c>
      <c r="S47" s="165">
        <v>7.6099999999999994</v>
      </c>
      <c r="T47" s="165">
        <v>7.26</v>
      </c>
      <c r="U47" s="165">
        <v>6.86</v>
      </c>
      <c r="V47" s="165">
        <v>6.41</v>
      </c>
      <c r="W47" s="165">
        <v>5.91</v>
      </c>
      <c r="X47" s="241"/>
    </row>
    <row r="48" spans="1:45" x14ac:dyDescent="0.25">
      <c r="A48" s="174">
        <v>0.5</v>
      </c>
      <c r="B48" s="165">
        <v>8.18</v>
      </c>
      <c r="C48" s="165">
        <v>8.33</v>
      </c>
      <c r="D48" s="165">
        <v>8.33</v>
      </c>
      <c r="E48" s="165">
        <v>8.33</v>
      </c>
      <c r="F48" s="278">
        <v>8.33</v>
      </c>
      <c r="G48" s="245">
        <v>8.33</v>
      </c>
      <c r="H48" s="278">
        <v>8.33</v>
      </c>
      <c r="I48" s="165">
        <v>8.33</v>
      </c>
      <c r="J48" s="165">
        <v>8.33</v>
      </c>
      <c r="K48" s="165">
        <v>8.33</v>
      </c>
      <c r="L48" s="165">
        <v>8.33</v>
      </c>
      <c r="M48" s="250">
        <v>8.33</v>
      </c>
      <c r="N48" s="250">
        <v>8.33</v>
      </c>
      <c r="O48" s="250">
        <v>8.33</v>
      </c>
      <c r="P48" s="250">
        <v>8.33</v>
      </c>
      <c r="Q48" s="165">
        <v>8.1300000000000008</v>
      </c>
      <c r="R48" s="165">
        <v>7.93</v>
      </c>
      <c r="S48" s="165">
        <v>7.63</v>
      </c>
      <c r="T48" s="165">
        <v>7.2799999999999994</v>
      </c>
      <c r="U48" s="165">
        <v>6.88</v>
      </c>
      <c r="V48" s="165">
        <v>6.43</v>
      </c>
      <c r="W48" s="165">
        <v>5.93</v>
      </c>
      <c r="X48" s="241"/>
    </row>
    <row r="49" spans="1:24" x14ac:dyDescent="0.25">
      <c r="A49" s="147"/>
      <c r="B49" s="147"/>
      <c r="C49" s="147"/>
      <c r="D49" s="147"/>
      <c r="E49" s="147"/>
      <c r="F49" s="147"/>
    </row>
    <row r="50" spans="1:24" x14ac:dyDescent="0.25">
      <c r="A50" s="167" t="s">
        <v>202</v>
      </c>
      <c r="B50" s="147"/>
      <c r="C50" s="147"/>
      <c r="D50" s="147"/>
      <c r="E50" s="147"/>
      <c r="F50" s="147"/>
      <c r="G50" s="147"/>
      <c r="I50" s="147"/>
      <c r="J50" s="147"/>
      <c r="K50" s="147"/>
      <c r="L50" s="147"/>
      <c r="M50" s="147"/>
      <c r="N50" s="147"/>
      <c r="O50" s="147"/>
      <c r="P50" s="147"/>
      <c r="Q50" s="147"/>
      <c r="R50" s="147"/>
      <c r="S50" s="147"/>
      <c r="T50" s="147"/>
      <c r="U50" s="147"/>
      <c r="V50" s="147"/>
      <c r="W50" s="147"/>
      <c r="X50" s="243"/>
    </row>
    <row r="51" spans="1:24" x14ac:dyDescent="0.25">
      <c r="A51" s="167" t="s">
        <v>203</v>
      </c>
      <c r="B51" s="147"/>
      <c r="C51" s="147"/>
      <c r="D51" s="147"/>
      <c r="E51" s="147"/>
      <c r="F51" s="147"/>
      <c r="G51" s="147"/>
      <c r="I51" s="147"/>
      <c r="J51" s="147"/>
      <c r="K51" s="147"/>
      <c r="L51" s="147"/>
      <c r="M51" s="147"/>
      <c r="N51" s="147"/>
      <c r="O51" s="147"/>
      <c r="P51" s="147"/>
      <c r="Q51" s="147"/>
      <c r="R51" s="147"/>
      <c r="S51" s="147"/>
      <c r="T51" s="147"/>
      <c r="U51" s="147"/>
      <c r="V51" s="147"/>
      <c r="W51" s="147"/>
      <c r="X51" s="243"/>
    </row>
    <row r="52" spans="1:24" x14ac:dyDescent="0.25">
      <c r="A52" s="167" t="s">
        <v>204</v>
      </c>
      <c r="B52" s="147"/>
      <c r="C52" s="147"/>
      <c r="D52" s="147"/>
      <c r="E52" s="147"/>
      <c r="F52" s="147"/>
      <c r="G52" s="147"/>
      <c r="I52" s="147"/>
      <c r="J52" s="147"/>
      <c r="K52" s="147"/>
      <c r="L52" s="147"/>
      <c r="M52" s="147"/>
      <c r="N52" s="147"/>
      <c r="O52" s="147"/>
      <c r="P52" s="147"/>
      <c r="Q52" s="147"/>
      <c r="R52" s="147"/>
      <c r="S52" s="147"/>
      <c r="T52" s="147"/>
      <c r="U52" s="147"/>
      <c r="V52" s="147"/>
      <c r="W52" s="147"/>
      <c r="X52" s="243"/>
    </row>
    <row r="53" spans="1:24" x14ac:dyDescent="0.25">
      <c r="A53" s="147"/>
      <c r="B53" s="147"/>
      <c r="C53" s="147"/>
      <c r="D53" s="147"/>
      <c r="E53" s="147"/>
      <c r="F53" s="147"/>
      <c r="G53" s="147"/>
      <c r="I53" s="147"/>
      <c r="J53" s="147"/>
      <c r="K53" s="147"/>
      <c r="L53" s="147"/>
      <c r="M53" s="147"/>
      <c r="N53" s="147"/>
      <c r="O53" s="147"/>
      <c r="P53" s="147"/>
      <c r="Q53" s="147"/>
      <c r="R53" s="147"/>
      <c r="S53" s="147"/>
      <c r="T53" s="147"/>
      <c r="U53" s="147"/>
      <c r="V53" s="147"/>
      <c r="W53" s="147"/>
      <c r="X53" s="243"/>
    </row>
    <row r="54" spans="1:24" x14ac:dyDescent="0.25">
      <c r="A54" s="147"/>
      <c r="B54" s="147"/>
      <c r="C54" s="147"/>
      <c r="D54" s="147"/>
      <c r="E54" s="147"/>
      <c r="F54" s="147"/>
      <c r="G54" s="147"/>
      <c r="I54" s="147"/>
      <c r="J54" s="147"/>
      <c r="K54" s="147"/>
      <c r="L54" s="147"/>
      <c r="M54" s="147"/>
      <c r="N54" s="147"/>
      <c r="O54" s="147"/>
      <c r="P54" s="147"/>
      <c r="Q54" s="147"/>
      <c r="R54" s="147"/>
      <c r="S54" s="147"/>
      <c r="T54" s="147"/>
      <c r="U54" s="147"/>
      <c r="V54" s="147"/>
      <c r="W54" s="147"/>
      <c r="X54" s="243"/>
    </row>
    <row r="55" spans="1:24" x14ac:dyDescent="0.25">
      <c r="A55" s="147"/>
      <c r="B55" s="147"/>
      <c r="C55" s="147"/>
      <c r="D55" s="147"/>
      <c r="E55" s="147"/>
      <c r="F55" s="147"/>
      <c r="G55" s="147"/>
      <c r="I55" s="147"/>
      <c r="J55" s="147"/>
      <c r="K55" s="147"/>
      <c r="L55" s="147"/>
      <c r="M55" s="147"/>
      <c r="N55" s="147"/>
      <c r="O55" s="147"/>
      <c r="P55" s="147"/>
      <c r="Q55" s="147"/>
      <c r="R55" s="147"/>
      <c r="S55" s="147"/>
      <c r="T55" s="147"/>
      <c r="U55" s="147"/>
      <c r="V55" s="147"/>
      <c r="W55" s="147"/>
      <c r="X55" s="243"/>
    </row>
    <row r="56" spans="1:24" x14ac:dyDescent="0.25">
      <c r="A56" s="175" t="s">
        <v>205</v>
      </c>
      <c r="B56" s="147"/>
      <c r="C56" s="147"/>
      <c r="D56" s="147"/>
      <c r="E56" s="147"/>
      <c r="F56" s="147"/>
    </row>
    <row r="57" spans="1:24" x14ac:dyDescent="0.25">
      <c r="A57" s="147"/>
      <c r="B57" s="147"/>
      <c r="C57" s="147"/>
      <c r="D57" s="147"/>
      <c r="E57" s="147"/>
      <c r="F57" s="147"/>
    </row>
    <row r="58" spans="1:24" x14ac:dyDescent="0.25">
      <c r="A58" s="176" t="s">
        <v>61</v>
      </c>
      <c r="B58" s="176" t="s">
        <v>206</v>
      </c>
      <c r="C58" s="176" t="s">
        <v>207</v>
      </c>
      <c r="D58" s="176" t="s">
        <v>208</v>
      </c>
      <c r="E58" s="176" t="s">
        <v>209</v>
      </c>
      <c r="F58" s="176" t="s">
        <v>210</v>
      </c>
      <c r="H58" s="246" t="s">
        <v>211</v>
      </c>
    </row>
    <row r="59" spans="1:24" ht="23.25" x14ac:dyDescent="0.25">
      <c r="A59" s="177">
        <v>17</v>
      </c>
      <c r="B59" s="640" t="s">
        <v>212</v>
      </c>
      <c r="C59" s="178" t="s">
        <v>172</v>
      </c>
      <c r="D59" s="641" t="s">
        <v>213</v>
      </c>
      <c r="E59" s="641" t="s">
        <v>213</v>
      </c>
      <c r="F59" s="179" t="s">
        <v>214</v>
      </c>
      <c r="H59" s="247" t="s">
        <v>215</v>
      </c>
    </row>
    <row r="60" spans="1:24" ht="23.25" x14ac:dyDescent="0.25">
      <c r="A60" s="180">
        <v>18</v>
      </c>
      <c r="B60" s="640"/>
      <c r="C60" s="178" t="s">
        <v>216</v>
      </c>
      <c r="D60" s="641"/>
      <c r="E60" s="641"/>
      <c r="F60" s="179" t="s">
        <v>217</v>
      </c>
      <c r="H60" s="246" t="s">
        <v>218</v>
      </c>
    </row>
    <row r="61" spans="1:24" x14ac:dyDescent="0.25">
      <c r="A61" s="177">
        <v>19</v>
      </c>
      <c r="B61" s="640"/>
      <c r="C61" s="181"/>
      <c r="D61" s="641"/>
      <c r="E61" s="641"/>
      <c r="F61" s="182"/>
      <c r="H61" s="246" t="s">
        <v>219</v>
      </c>
      <c r="I61" s="147"/>
    </row>
    <row r="62" spans="1:24" ht="23.25" x14ac:dyDescent="0.25">
      <c r="A62" s="180">
        <v>20</v>
      </c>
      <c r="B62" s="640"/>
      <c r="C62" s="179" t="s">
        <v>213</v>
      </c>
      <c r="D62" s="642" t="s">
        <v>214</v>
      </c>
      <c r="E62" s="179" t="s">
        <v>214</v>
      </c>
      <c r="F62" s="182"/>
      <c r="H62" s="246" t="s">
        <v>220</v>
      </c>
    </row>
    <row r="63" spans="1:24" ht="23.25" x14ac:dyDescent="0.25">
      <c r="A63" s="177">
        <v>21</v>
      </c>
      <c r="B63" s="643" t="s">
        <v>172</v>
      </c>
      <c r="C63" s="179" t="s">
        <v>221</v>
      </c>
      <c r="D63" s="642"/>
      <c r="E63" s="179" t="s">
        <v>217</v>
      </c>
      <c r="F63" s="182"/>
      <c r="H63" s="246" t="s">
        <v>222</v>
      </c>
    </row>
    <row r="64" spans="1:24" x14ac:dyDescent="0.25">
      <c r="A64" s="180">
        <v>22</v>
      </c>
      <c r="B64" s="643"/>
      <c r="C64" s="182"/>
      <c r="D64" s="642"/>
      <c r="E64" s="182"/>
      <c r="F64" s="182"/>
      <c r="H64" s="246" t="s">
        <v>223</v>
      </c>
    </row>
    <row r="65" spans="1:8" x14ac:dyDescent="0.25">
      <c r="A65" s="177">
        <v>23</v>
      </c>
      <c r="B65" s="643"/>
      <c r="C65" s="182"/>
      <c r="D65" s="642"/>
      <c r="E65" s="182"/>
      <c r="F65" s="182"/>
    </row>
    <row r="66" spans="1:8" x14ac:dyDescent="0.25">
      <c r="A66" s="180">
        <v>24</v>
      </c>
      <c r="B66" s="643"/>
      <c r="C66" s="182"/>
      <c r="D66" s="642"/>
      <c r="E66" s="182"/>
      <c r="F66" s="182"/>
      <c r="H66" s="246" t="s">
        <v>224</v>
      </c>
    </row>
    <row r="67" spans="1:8" x14ac:dyDescent="0.25">
      <c r="A67" s="177">
        <v>25</v>
      </c>
      <c r="B67" s="643"/>
      <c r="C67" s="182"/>
      <c r="D67" s="641" t="s">
        <v>213</v>
      </c>
      <c r="E67" s="182"/>
      <c r="F67" s="182"/>
      <c r="H67" s="246" t="s">
        <v>225</v>
      </c>
    </row>
    <row r="68" spans="1:8" x14ac:dyDescent="0.25">
      <c r="A68" s="180">
        <v>26</v>
      </c>
      <c r="B68" s="643"/>
      <c r="C68" s="641" t="s">
        <v>213</v>
      </c>
      <c r="D68" s="641"/>
      <c r="E68" s="182"/>
      <c r="F68" s="182"/>
    </row>
    <row r="69" spans="1:8" x14ac:dyDescent="0.25">
      <c r="A69" s="177">
        <v>27</v>
      </c>
      <c r="B69" s="640" t="s">
        <v>212</v>
      </c>
      <c r="C69" s="641"/>
      <c r="D69" s="641"/>
      <c r="E69" s="182"/>
      <c r="F69" s="182"/>
    </row>
    <row r="70" spans="1:8" x14ac:dyDescent="0.25">
      <c r="A70" s="180">
        <v>28</v>
      </c>
      <c r="B70" s="640"/>
      <c r="C70" s="643" t="s">
        <v>172</v>
      </c>
      <c r="D70" s="641"/>
      <c r="E70" s="182"/>
      <c r="F70" s="182"/>
      <c r="H70" s="246" t="s">
        <v>226</v>
      </c>
    </row>
    <row r="71" spans="1:8" x14ac:dyDescent="0.25">
      <c r="A71" s="177">
        <v>29</v>
      </c>
      <c r="B71" s="640"/>
      <c r="C71" s="643"/>
      <c r="D71" s="641"/>
      <c r="E71" s="182"/>
      <c r="F71" s="182"/>
    </row>
    <row r="72" spans="1:8" x14ac:dyDescent="0.25">
      <c r="A72" s="180">
        <v>30</v>
      </c>
      <c r="B72" s="640"/>
      <c r="C72" s="643"/>
      <c r="D72" s="643" t="s">
        <v>172</v>
      </c>
      <c r="E72" s="182"/>
      <c r="F72" s="182"/>
      <c r="H72" s="246" t="s">
        <v>227</v>
      </c>
    </row>
    <row r="73" spans="1:8" x14ac:dyDescent="0.25">
      <c r="A73" s="177">
        <v>31</v>
      </c>
      <c r="B73" s="640"/>
      <c r="C73" s="643"/>
      <c r="D73" s="643"/>
      <c r="E73" s="179" t="s">
        <v>213</v>
      </c>
      <c r="F73" s="182"/>
    </row>
    <row r="74" spans="1:8" ht="23.25" x14ac:dyDescent="0.25">
      <c r="A74" s="180">
        <v>32</v>
      </c>
      <c r="B74" s="640"/>
      <c r="C74" s="643"/>
      <c r="D74" s="643"/>
      <c r="E74" s="179" t="s">
        <v>221</v>
      </c>
      <c r="F74" s="182"/>
      <c r="H74" s="246" t="s">
        <v>228</v>
      </c>
    </row>
    <row r="75" spans="1:8" ht="23.25" x14ac:dyDescent="0.25">
      <c r="A75" s="177">
        <v>33</v>
      </c>
      <c r="B75" s="640"/>
      <c r="C75" s="640" t="s">
        <v>212</v>
      </c>
      <c r="D75" s="643"/>
      <c r="E75" s="178" t="s">
        <v>172</v>
      </c>
      <c r="F75" s="178" t="s">
        <v>172</v>
      </c>
    </row>
    <row r="76" spans="1:8" x14ac:dyDescent="0.25">
      <c r="A76" s="180">
        <v>34</v>
      </c>
      <c r="B76" s="644" t="s">
        <v>229</v>
      </c>
      <c r="C76" s="640"/>
      <c r="D76" s="643"/>
      <c r="E76" s="178" t="s">
        <v>216</v>
      </c>
      <c r="F76" s="178" t="s">
        <v>216</v>
      </c>
      <c r="H76" s="246" t="s">
        <v>230</v>
      </c>
    </row>
    <row r="77" spans="1:8" x14ac:dyDescent="0.25">
      <c r="A77" s="177">
        <v>35</v>
      </c>
      <c r="B77" s="644"/>
      <c r="C77" s="644" t="s">
        <v>229</v>
      </c>
      <c r="D77" s="640" t="s">
        <v>212</v>
      </c>
      <c r="E77" s="640" t="s">
        <v>212</v>
      </c>
      <c r="F77" s="181"/>
    </row>
    <row r="78" spans="1:8" ht="23.25" x14ac:dyDescent="0.25">
      <c r="A78" s="180">
        <v>36</v>
      </c>
      <c r="B78" s="644"/>
      <c r="C78" s="644"/>
      <c r="D78" s="640"/>
      <c r="E78" s="640"/>
      <c r="F78" s="183" t="s">
        <v>212</v>
      </c>
      <c r="H78" s="246" t="s">
        <v>231</v>
      </c>
    </row>
    <row r="79" spans="1:8" x14ac:dyDescent="0.25">
      <c r="A79" s="639" t="s">
        <v>232</v>
      </c>
      <c r="B79" s="639"/>
      <c r="C79" s="639"/>
      <c r="D79" s="639"/>
      <c r="E79" s="639"/>
      <c r="F79" s="639"/>
    </row>
    <row r="80" spans="1:8" x14ac:dyDescent="0.25">
      <c r="A80" s="147"/>
      <c r="B80" s="147"/>
      <c r="C80" s="147"/>
      <c r="D80" s="147"/>
      <c r="E80" s="147"/>
      <c r="F80" s="147"/>
      <c r="H80" s="246" t="s">
        <v>233</v>
      </c>
    </row>
    <row r="81" spans="1:24" x14ac:dyDescent="0.25">
      <c r="A81" s="147"/>
      <c r="B81" s="147"/>
      <c r="C81" s="147"/>
      <c r="D81" s="147"/>
      <c r="E81" s="147"/>
      <c r="F81" s="147"/>
    </row>
    <row r="82" spans="1:24" x14ac:dyDescent="0.25">
      <c r="A82" s="147"/>
      <c r="B82" s="147"/>
      <c r="C82" s="147"/>
      <c r="D82" s="147"/>
      <c r="E82" s="147"/>
      <c r="F82" s="147"/>
      <c r="H82" s="246" t="s">
        <v>373</v>
      </c>
    </row>
    <row r="83" spans="1:24" x14ac:dyDescent="0.25">
      <c r="A83" s="147"/>
      <c r="B83" s="147"/>
      <c r="C83" s="147"/>
      <c r="D83" s="147"/>
      <c r="E83" s="147"/>
      <c r="F83" s="147"/>
    </row>
    <row r="84" spans="1:24" x14ac:dyDescent="0.25">
      <c r="A84" t="s">
        <v>234</v>
      </c>
      <c r="B84" s="147"/>
      <c r="C84" s="147"/>
      <c r="D84" s="147"/>
      <c r="E84" s="147"/>
      <c r="F84" s="147"/>
    </row>
    <row r="85" spans="1:24" x14ac:dyDescent="0.25">
      <c r="A85" t="s">
        <v>235</v>
      </c>
      <c r="B85" s="147"/>
      <c r="C85" s="147"/>
      <c r="D85" s="147"/>
      <c r="E85" s="147"/>
      <c r="F85" s="147"/>
    </row>
    <row r="86" spans="1:24" x14ac:dyDescent="0.25">
      <c r="A86" s="147" t="s">
        <v>236</v>
      </c>
      <c r="B86" s="147"/>
      <c r="C86" s="147"/>
      <c r="D86" s="147"/>
      <c r="E86" s="147"/>
      <c r="F86" s="147"/>
    </row>
    <row r="87" spans="1:24" x14ac:dyDescent="0.25">
      <c r="A87" s="147"/>
      <c r="B87" s="147"/>
      <c r="C87" s="147"/>
      <c r="D87" s="147"/>
      <c r="E87" s="147"/>
      <c r="F87" s="147"/>
      <c r="G87" s="147"/>
      <c r="I87" s="147"/>
      <c r="J87" s="147"/>
      <c r="K87" s="147"/>
      <c r="L87" s="147"/>
      <c r="M87" s="147"/>
      <c r="N87" s="147"/>
      <c r="O87" s="147"/>
      <c r="P87" s="147"/>
      <c r="Q87" s="147"/>
      <c r="R87" s="147"/>
      <c r="S87" s="147"/>
      <c r="T87" s="147"/>
      <c r="U87" s="147"/>
      <c r="V87" s="147"/>
      <c r="W87" s="147"/>
      <c r="X87" s="243"/>
    </row>
    <row r="88" spans="1:24" x14ac:dyDescent="0.25">
      <c r="A88" s="147"/>
      <c r="B88" s="147"/>
      <c r="C88" s="147"/>
      <c r="D88" s="147"/>
      <c r="E88" s="147"/>
      <c r="F88" s="147"/>
      <c r="G88" s="147"/>
      <c r="I88" s="147"/>
      <c r="J88" s="147"/>
      <c r="K88" s="147"/>
      <c r="L88" s="147"/>
      <c r="M88" s="147"/>
      <c r="N88" s="147"/>
      <c r="O88" s="147"/>
      <c r="P88" s="147"/>
      <c r="Q88" s="147"/>
      <c r="R88" s="147"/>
      <c r="S88" s="147"/>
      <c r="T88" s="147"/>
      <c r="U88" s="147"/>
      <c r="V88" s="147"/>
      <c r="W88" s="147"/>
      <c r="X88" s="243"/>
    </row>
    <row r="89" spans="1:24" x14ac:dyDescent="0.25">
      <c r="A89" s="147"/>
      <c r="B89" s="147"/>
      <c r="C89" s="147"/>
      <c r="D89" s="147"/>
      <c r="E89" s="147"/>
      <c r="F89" s="147"/>
      <c r="G89" s="147"/>
      <c r="I89" s="147"/>
      <c r="J89" s="147"/>
      <c r="K89" s="147"/>
      <c r="L89" s="147"/>
      <c r="M89" s="147"/>
      <c r="N89" s="147"/>
      <c r="O89" s="147"/>
      <c r="P89" s="147"/>
      <c r="Q89" s="147"/>
      <c r="R89" s="147"/>
      <c r="S89" s="147"/>
      <c r="T89" s="147"/>
      <c r="U89" s="147"/>
      <c r="V89" s="147"/>
      <c r="W89" s="147"/>
      <c r="X89" s="243"/>
    </row>
    <row r="90" spans="1:24" x14ac:dyDescent="0.25">
      <c r="A90" s="147"/>
      <c r="B90" s="147"/>
      <c r="C90" s="147"/>
      <c r="D90" s="147"/>
      <c r="E90" s="147"/>
      <c r="F90" s="147"/>
      <c r="G90" s="147"/>
      <c r="I90" s="147"/>
      <c r="J90" s="147"/>
      <c r="K90" s="147"/>
      <c r="L90" s="147"/>
      <c r="M90" s="147"/>
      <c r="N90" s="147"/>
      <c r="O90" s="147"/>
      <c r="P90" s="147"/>
      <c r="Q90" s="147"/>
      <c r="R90" s="147"/>
      <c r="S90" s="147"/>
      <c r="T90" s="147"/>
      <c r="U90" s="147"/>
      <c r="V90" s="147"/>
      <c r="W90" s="147"/>
      <c r="X90" s="243"/>
    </row>
    <row r="91" spans="1:24" x14ac:dyDescent="0.25">
      <c r="A91" s="147"/>
      <c r="B91" s="147"/>
      <c r="C91" s="147"/>
      <c r="D91" s="147"/>
      <c r="E91" s="147"/>
      <c r="F91" s="147"/>
      <c r="G91" s="147"/>
      <c r="I91" s="147"/>
      <c r="J91" s="147"/>
      <c r="K91" s="147"/>
      <c r="L91" s="147"/>
      <c r="M91" s="147"/>
      <c r="N91" s="147"/>
      <c r="O91" s="147"/>
      <c r="P91" s="147"/>
      <c r="Q91" s="147"/>
      <c r="R91" s="147"/>
      <c r="S91" s="147"/>
      <c r="T91" s="147"/>
      <c r="U91" s="147"/>
      <c r="V91" s="147"/>
      <c r="W91" s="147"/>
      <c r="X91" s="243"/>
    </row>
    <row r="92" spans="1:24" x14ac:dyDescent="0.25">
      <c r="A92" s="147"/>
      <c r="B92" s="147"/>
      <c r="C92" s="147"/>
      <c r="D92" s="147"/>
      <c r="E92" s="147"/>
      <c r="F92" s="147"/>
      <c r="G92" s="147"/>
      <c r="I92" s="147"/>
      <c r="J92" s="147"/>
      <c r="K92" s="147"/>
      <c r="L92" s="147"/>
      <c r="M92" s="147"/>
      <c r="N92" s="147"/>
      <c r="O92" s="147"/>
      <c r="P92" s="147"/>
      <c r="Q92" s="147"/>
      <c r="R92" s="147"/>
      <c r="S92" s="147"/>
      <c r="T92" s="147"/>
      <c r="U92" s="147"/>
      <c r="V92" s="147"/>
      <c r="W92" s="147"/>
      <c r="X92" s="243"/>
    </row>
    <row r="93" spans="1:24" x14ac:dyDescent="0.25">
      <c r="A93" s="147"/>
      <c r="B93" s="147"/>
      <c r="C93" s="147"/>
      <c r="D93" s="147"/>
      <c r="E93" s="147"/>
      <c r="F93" s="147"/>
      <c r="G93" s="147"/>
      <c r="I93" s="147"/>
      <c r="J93" s="147"/>
      <c r="K93" s="147"/>
      <c r="L93" s="147"/>
      <c r="M93" s="147"/>
      <c r="N93" s="147"/>
      <c r="O93" s="147"/>
      <c r="P93" s="147"/>
      <c r="Q93" s="147"/>
      <c r="R93" s="147"/>
      <c r="S93" s="147"/>
      <c r="T93" s="147"/>
      <c r="U93" s="147"/>
      <c r="V93" s="147"/>
      <c r="W93" s="147"/>
      <c r="X93" s="243"/>
    </row>
    <row r="94" spans="1:24" x14ac:dyDescent="0.25">
      <c r="A94" s="147"/>
      <c r="B94" s="147"/>
      <c r="C94" s="147"/>
      <c r="D94" s="147"/>
      <c r="E94" s="147"/>
      <c r="F94" s="147"/>
      <c r="G94" s="147"/>
      <c r="I94" s="147"/>
      <c r="J94" s="147"/>
      <c r="K94" s="147"/>
      <c r="L94" s="147"/>
      <c r="M94" s="147"/>
      <c r="N94" s="147"/>
      <c r="O94" s="147"/>
      <c r="P94" s="147"/>
      <c r="Q94" s="147"/>
      <c r="R94" s="147"/>
      <c r="S94" s="147"/>
      <c r="T94" s="147"/>
      <c r="U94" s="147"/>
      <c r="V94" s="147"/>
      <c r="W94" s="147"/>
      <c r="X94" s="243"/>
    </row>
    <row r="95" spans="1:24" x14ac:dyDescent="0.25">
      <c r="A95" s="147"/>
      <c r="B95" s="147"/>
      <c r="C95" s="147"/>
      <c r="D95" s="147"/>
      <c r="E95" s="147"/>
      <c r="F95" s="147"/>
      <c r="G95" s="147"/>
      <c r="I95" s="147"/>
      <c r="J95" s="147"/>
      <c r="K95" s="147"/>
      <c r="L95" s="147"/>
      <c r="M95" s="147"/>
      <c r="N95" s="147"/>
      <c r="O95" s="147"/>
      <c r="P95" s="147"/>
      <c r="Q95" s="147"/>
      <c r="R95" s="147"/>
      <c r="S95" s="147"/>
      <c r="T95" s="147"/>
      <c r="U95" s="147"/>
      <c r="V95" s="147"/>
      <c r="W95" s="147"/>
      <c r="X95" s="243"/>
    </row>
    <row r="96" spans="1:24" x14ac:dyDescent="0.25">
      <c r="A96" s="147"/>
      <c r="B96" s="147"/>
      <c r="C96" s="147"/>
      <c r="D96" s="147"/>
      <c r="E96" s="147"/>
      <c r="F96" s="147"/>
      <c r="G96" s="147"/>
      <c r="I96" s="147"/>
      <c r="J96" s="147"/>
      <c r="K96" s="147"/>
      <c r="L96" s="147"/>
      <c r="M96" s="147"/>
      <c r="N96" s="147"/>
      <c r="O96" s="147"/>
      <c r="P96" s="147"/>
      <c r="Q96" s="147"/>
      <c r="R96" s="147"/>
      <c r="S96" s="147"/>
      <c r="T96" s="147"/>
      <c r="U96" s="147"/>
      <c r="V96" s="147"/>
      <c r="W96" s="147"/>
      <c r="X96" s="243"/>
    </row>
    <row r="97" spans="1:24" x14ac:dyDescent="0.25">
      <c r="A97" s="147"/>
      <c r="B97" s="147"/>
      <c r="C97" s="147"/>
      <c r="D97" s="147"/>
      <c r="E97" s="147"/>
      <c r="F97" s="147"/>
      <c r="G97" s="147"/>
      <c r="I97" s="147"/>
      <c r="J97" s="147"/>
      <c r="K97" s="147"/>
      <c r="L97" s="147"/>
      <c r="M97" s="147"/>
      <c r="N97" s="147"/>
      <c r="O97" s="147"/>
      <c r="P97" s="147"/>
      <c r="Q97" s="147"/>
      <c r="R97" s="147"/>
      <c r="S97" s="147"/>
      <c r="T97" s="147"/>
      <c r="U97" s="147"/>
      <c r="V97" s="147"/>
      <c r="W97" s="147"/>
      <c r="X97" s="243"/>
    </row>
    <row r="98" spans="1:24" x14ac:dyDescent="0.25">
      <c r="A98" s="147"/>
      <c r="B98" s="147"/>
      <c r="C98" s="147"/>
      <c r="D98" s="147"/>
      <c r="E98" s="147"/>
      <c r="F98" s="147"/>
      <c r="G98" s="147"/>
      <c r="I98" s="147"/>
      <c r="J98" s="147"/>
      <c r="K98" s="147"/>
      <c r="L98" s="147"/>
      <c r="M98" s="147"/>
      <c r="N98" s="147"/>
      <c r="O98" s="147"/>
      <c r="P98" s="147"/>
      <c r="Q98" s="147"/>
      <c r="R98" s="147"/>
      <c r="S98" s="147"/>
      <c r="T98" s="147"/>
      <c r="U98" s="147"/>
      <c r="V98" s="147"/>
      <c r="W98" s="147"/>
      <c r="X98" s="243"/>
    </row>
    <row r="99" spans="1:24" x14ac:dyDescent="0.25">
      <c r="A99" s="147"/>
      <c r="B99" s="147"/>
      <c r="C99" s="147"/>
      <c r="D99" s="147"/>
      <c r="E99" s="147"/>
      <c r="F99" s="147"/>
      <c r="G99" s="147"/>
      <c r="I99" s="147"/>
      <c r="J99" s="147"/>
      <c r="K99" s="147"/>
      <c r="L99" s="147"/>
      <c r="M99" s="147"/>
      <c r="N99" s="147"/>
      <c r="O99" s="147"/>
      <c r="P99" s="147"/>
      <c r="Q99" s="147"/>
      <c r="R99" s="147"/>
      <c r="S99" s="147"/>
      <c r="T99" s="147"/>
      <c r="U99" s="147"/>
      <c r="V99" s="147"/>
      <c r="W99" s="147"/>
      <c r="X99" s="243"/>
    </row>
    <row r="100" spans="1:24" x14ac:dyDescent="0.25">
      <c r="A100" s="147"/>
      <c r="B100" s="147"/>
      <c r="C100" s="147"/>
      <c r="D100" s="147"/>
      <c r="E100" s="147"/>
      <c r="F100" s="147"/>
      <c r="G100" s="147"/>
      <c r="I100" s="147"/>
      <c r="J100" s="147"/>
      <c r="K100" s="147"/>
      <c r="L100" s="147"/>
      <c r="M100" s="147"/>
      <c r="N100" s="147"/>
      <c r="O100" s="147"/>
      <c r="P100" s="147"/>
      <c r="Q100" s="147"/>
      <c r="R100" s="147"/>
      <c r="S100" s="147"/>
      <c r="T100" s="147"/>
      <c r="U100" s="147"/>
      <c r="V100" s="147"/>
      <c r="W100" s="147"/>
      <c r="X100" s="243"/>
    </row>
    <row r="101" spans="1:24" x14ac:dyDescent="0.25">
      <c r="A101" s="147"/>
      <c r="B101" s="147"/>
      <c r="C101" s="147"/>
      <c r="D101" s="147"/>
      <c r="E101" s="147"/>
      <c r="F101" s="147"/>
      <c r="G101" s="147"/>
      <c r="I101" s="147"/>
      <c r="J101" s="147"/>
      <c r="K101" s="147"/>
      <c r="L101" s="147"/>
      <c r="M101" s="147"/>
      <c r="N101" s="147"/>
      <c r="O101" s="147"/>
      <c r="P101" s="147"/>
      <c r="Q101" s="147"/>
      <c r="R101" s="147"/>
      <c r="S101" s="147"/>
      <c r="T101" s="147"/>
      <c r="U101" s="147"/>
      <c r="V101" s="147"/>
      <c r="W101" s="147"/>
      <c r="X101" s="243"/>
    </row>
    <row r="102" spans="1:24" x14ac:dyDescent="0.25">
      <c r="A102" s="147"/>
      <c r="B102" s="147"/>
      <c r="C102" s="147"/>
      <c r="D102" s="147"/>
      <c r="E102" s="147"/>
      <c r="F102" s="147"/>
      <c r="G102" s="147"/>
      <c r="I102" s="147"/>
      <c r="J102" s="147"/>
      <c r="K102" s="147"/>
      <c r="L102" s="147"/>
      <c r="M102" s="147"/>
      <c r="N102" s="147"/>
      <c r="O102" s="147"/>
      <c r="P102" s="147"/>
      <c r="Q102" s="147"/>
      <c r="R102" s="147"/>
      <c r="S102" s="147"/>
      <c r="T102" s="147"/>
      <c r="U102" s="147"/>
      <c r="V102" s="147"/>
      <c r="W102" s="147"/>
      <c r="X102" s="243"/>
    </row>
    <row r="103" spans="1:24" x14ac:dyDescent="0.25">
      <c r="A103" s="147"/>
      <c r="B103" s="147"/>
      <c r="C103" s="147"/>
      <c r="D103" s="147"/>
      <c r="E103" s="147"/>
      <c r="F103" s="147"/>
      <c r="G103" s="147"/>
      <c r="I103" s="147"/>
      <c r="J103" s="147"/>
      <c r="K103" s="147"/>
      <c r="L103" s="147"/>
      <c r="M103" s="147"/>
      <c r="N103" s="147"/>
      <c r="O103" s="147"/>
      <c r="P103" s="147"/>
      <c r="Q103" s="147"/>
      <c r="R103" s="147"/>
      <c r="S103" s="147"/>
      <c r="T103" s="147"/>
      <c r="U103" s="147"/>
      <c r="V103" s="147"/>
      <c r="W103" s="147"/>
      <c r="X103" s="243"/>
    </row>
    <row r="104" spans="1:24" x14ac:dyDescent="0.25">
      <c r="A104" s="147"/>
      <c r="B104" s="147"/>
      <c r="C104" s="147"/>
      <c r="D104" s="147"/>
      <c r="E104" s="147"/>
      <c r="F104" s="147"/>
      <c r="G104" s="147"/>
      <c r="I104" s="147"/>
      <c r="J104" s="147"/>
      <c r="K104" s="147"/>
      <c r="L104" s="147"/>
      <c r="M104" s="147"/>
      <c r="N104" s="147"/>
      <c r="O104" s="147"/>
      <c r="P104" s="147"/>
      <c r="Q104" s="147"/>
      <c r="R104" s="147"/>
      <c r="S104" s="147"/>
      <c r="T104" s="147"/>
      <c r="U104" s="147"/>
      <c r="V104" s="147"/>
      <c r="W104" s="147"/>
      <c r="X104" s="243"/>
    </row>
    <row r="105" spans="1:24" x14ac:dyDescent="0.25">
      <c r="A105" s="147"/>
      <c r="B105" s="147"/>
      <c r="C105" s="147"/>
      <c r="D105" s="147"/>
      <c r="E105" s="147"/>
      <c r="F105" s="147"/>
      <c r="G105" s="147"/>
      <c r="I105" s="147"/>
      <c r="J105" s="147"/>
      <c r="K105" s="147"/>
      <c r="L105" s="147"/>
      <c r="M105" s="147"/>
      <c r="N105" s="147"/>
      <c r="O105" s="147"/>
      <c r="P105" s="147"/>
      <c r="Q105" s="147"/>
      <c r="R105" s="147"/>
      <c r="S105" s="147"/>
      <c r="T105" s="147"/>
      <c r="U105" s="147"/>
      <c r="V105" s="147"/>
      <c r="W105" s="147"/>
      <c r="X105" s="243"/>
    </row>
    <row r="106" spans="1:24" x14ac:dyDescent="0.25">
      <c r="A106" s="147"/>
      <c r="B106" s="147"/>
      <c r="C106" s="147"/>
      <c r="D106" s="147"/>
      <c r="E106" s="147"/>
      <c r="F106" s="147"/>
      <c r="G106" s="147"/>
      <c r="I106" s="147"/>
      <c r="J106" s="147"/>
      <c r="K106" s="147"/>
      <c r="L106" s="147"/>
      <c r="M106" s="147"/>
      <c r="N106" s="147"/>
      <c r="O106" s="147"/>
      <c r="P106" s="147"/>
      <c r="Q106" s="147"/>
      <c r="R106" s="147"/>
      <c r="S106" s="147"/>
      <c r="T106" s="147"/>
      <c r="U106" s="147"/>
      <c r="V106" s="147"/>
      <c r="W106" s="147"/>
      <c r="X106" s="243"/>
    </row>
    <row r="107" spans="1:24" x14ac:dyDescent="0.25">
      <c r="A107" s="147"/>
      <c r="B107" s="147"/>
      <c r="C107" s="147"/>
      <c r="D107" s="147"/>
      <c r="E107" s="147"/>
      <c r="F107" s="147"/>
      <c r="G107" s="147"/>
      <c r="I107" s="147"/>
      <c r="J107" s="147"/>
      <c r="K107" s="147"/>
      <c r="L107" s="147"/>
      <c r="M107" s="147"/>
      <c r="N107" s="147"/>
      <c r="O107" s="147"/>
      <c r="P107" s="147"/>
      <c r="Q107" s="147"/>
      <c r="R107" s="147"/>
      <c r="S107" s="147"/>
      <c r="T107" s="147"/>
      <c r="U107" s="147"/>
      <c r="V107" s="147"/>
      <c r="W107" s="147"/>
      <c r="X107" s="243"/>
    </row>
    <row r="108" spans="1:24" x14ac:dyDescent="0.25">
      <c r="A108" s="147"/>
      <c r="B108" s="147"/>
      <c r="C108" s="147"/>
      <c r="D108" s="147"/>
      <c r="E108" s="147"/>
      <c r="F108" s="147"/>
      <c r="G108" s="147"/>
      <c r="I108" s="147"/>
      <c r="J108" s="147"/>
      <c r="K108" s="147"/>
      <c r="L108" s="147"/>
      <c r="M108" s="147"/>
      <c r="N108" s="147"/>
      <c r="O108" s="147"/>
      <c r="P108" s="147"/>
      <c r="Q108" s="147"/>
      <c r="R108" s="147"/>
      <c r="S108" s="147"/>
      <c r="T108" s="147"/>
      <c r="U108" s="147"/>
      <c r="V108" s="147"/>
      <c r="W108" s="147"/>
      <c r="X108" s="243"/>
    </row>
    <row r="109" spans="1:24" x14ac:dyDescent="0.25">
      <c r="A109" s="147"/>
      <c r="B109" s="147"/>
      <c r="C109" s="147"/>
      <c r="D109" s="147"/>
      <c r="E109" s="147"/>
      <c r="F109" s="147"/>
      <c r="G109" s="147"/>
      <c r="I109" s="147"/>
      <c r="J109" s="147"/>
      <c r="K109" s="147"/>
      <c r="L109" s="147"/>
      <c r="M109" s="147"/>
      <c r="N109" s="147"/>
      <c r="O109" s="147"/>
      <c r="P109" s="147"/>
      <c r="Q109" s="147"/>
      <c r="R109" s="147"/>
      <c r="S109" s="147"/>
      <c r="T109" s="147"/>
      <c r="U109" s="147"/>
      <c r="V109" s="147"/>
      <c r="W109" s="147"/>
      <c r="X109" s="243"/>
    </row>
    <row r="110" spans="1:24" x14ac:dyDescent="0.25">
      <c r="A110" s="147"/>
      <c r="B110" s="147"/>
      <c r="C110" s="147"/>
      <c r="D110" s="147"/>
      <c r="E110" s="147"/>
      <c r="F110" s="147"/>
      <c r="G110" s="147"/>
      <c r="I110" s="147"/>
      <c r="J110" s="147"/>
      <c r="K110" s="147"/>
      <c r="L110" s="147"/>
      <c r="M110" s="147"/>
      <c r="N110" s="147"/>
      <c r="O110" s="147"/>
      <c r="P110" s="147"/>
      <c r="Q110" s="147"/>
      <c r="R110" s="147"/>
      <c r="S110" s="147"/>
      <c r="T110" s="147"/>
      <c r="U110" s="147"/>
      <c r="V110" s="147"/>
      <c r="W110" s="147"/>
      <c r="X110" s="243"/>
    </row>
    <row r="111" spans="1:24" x14ac:dyDescent="0.25">
      <c r="A111" s="147"/>
      <c r="B111" s="147"/>
      <c r="C111" s="147"/>
      <c r="D111" s="147"/>
      <c r="E111" s="147"/>
      <c r="F111" s="147"/>
      <c r="G111" s="147"/>
      <c r="I111" s="147"/>
      <c r="J111" s="147"/>
      <c r="K111" s="147"/>
      <c r="L111" s="147"/>
      <c r="M111" s="147"/>
      <c r="N111" s="147"/>
      <c r="O111" s="147"/>
      <c r="P111" s="147"/>
      <c r="Q111" s="147"/>
      <c r="R111" s="147"/>
      <c r="S111" s="147"/>
      <c r="T111" s="147"/>
      <c r="U111" s="147"/>
      <c r="V111" s="147"/>
      <c r="W111" s="147"/>
      <c r="X111" s="243"/>
    </row>
    <row r="112" spans="1:24" x14ac:dyDescent="0.25">
      <c r="A112" s="147"/>
      <c r="B112" s="147"/>
      <c r="C112" s="147"/>
      <c r="D112" s="147"/>
      <c r="E112" s="147"/>
      <c r="F112" s="147"/>
      <c r="G112" s="147"/>
      <c r="I112" s="147"/>
      <c r="J112" s="147"/>
      <c r="K112" s="147"/>
      <c r="L112" s="147"/>
      <c r="M112" s="147"/>
      <c r="N112" s="147"/>
      <c r="O112" s="147"/>
      <c r="P112" s="147"/>
      <c r="Q112" s="147"/>
      <c r="R112" s="147"/>
      <c r="S112" s="147"/>
      <c r="T112" s="147"/>
      <c r="U112" s="147"/>
      <c r="V112" s="147"/>
      <c r="W112" s="147"/>
      <c r="X112" s="243"/>
    </row>
    <row r="113" spans="1:24" x14ac:dyDescent="0.25">
      <c r="A113" s="147"/>
      <c r="B113" s="147"/>
      <c r="C113" s="147"/>
      <c r="D113" s="147"/>
      <c r="E113" s="147"/>
      <c r="F113" s="147"/>
      <c r="G113" s="147"/>
      <c r="I113" s="147"/>
      <c r="J113" s="147"/>
      <c r="K113" s="147"/>
      <c r="L113" s="147"/>
      <c r="M113" s="147"/>
      <c r="N113" s="147"/>
      <c r="O113" s="147"/>
      <c r="P113" s="147"/>
      <c r="Q113" s="147"/>
      <c r="R113" s="147"/>
      <c r="S113" s="147"/>
      <c r="T113" s="147"/>
      <c r="U113" s="147"/>
      <c r="V113" s="147"/>
      <c r="W113" s="147"/>
      <c r="X113" s="243"/>
    </row>
    <row r="114" spans="1:24" x14ac:dyDescent="0.25">
      <c r="A114" s="147"/>
      <c r="B114" s="147"/>
      <c r="C114" s="147"/>
      <c r="D114" s="147"/>
      <c r="E114" s="147"/>
      <c r="F114" s="147"/>
      <c r="G114" s="147"/>
      <c r="I114" s="147"/>
      <c r="J114" s="147"/>
      <c r="K114" s="147"/>
      <c r="L114" s="147"/>
      <c r="M114" s="147"/>
      <c r="N114" s="147"/>
      <c r="O114" s="147"/>
      <c r="P114" s="147"/>
      <c r="Q114" s="147"/>
      <c r="R114" s="147"/>
      <c r="S114" s="147"/>
      <c r="T114" s="147"/>
      <c r="U114" s="147"/>
      <c r="V114" s="147"/>
      <c r="W114" s="147"/>
      <c r="X114" s="243"/>
    </row>
    <row r="115" spans="1:24" x14ac:dyDescent="0.25">
      <c r="A115" s="147"/>
      <c r="B115" s="147"/>
      <c r="C115" s="147"/>
      <c r="D115" s="147"/>
      <c r="E115" s="147"/>
      <c r="F115" s="147"/>
      <c r="G115" s="147"/>
      <c r="I115" s="147"/>
      <c r="J115" s="147"/>
      <c r="K115" s="147"/>
      <c r="L115" s="147"/>
      <c r="M115" s="147"/>
      <c r="N115" s="147"/>
      <c r="O115" s="147"/>
      <c r="P115" s="147"/>
      <c r="Q115" s="147"/>
      <c r="R115" s="147"/>
      <c r="S115" s="147"/>
      <c r="T115" s="147"/>
      <c r="U115" s="147"/>
      <c r="V115" s="147"/>
      <c r="W115" s="147"/>
      <c r="X115" s="243"/>
    </row>
    <row r="116" spans="1:24" x14ac:dyDescent="0.25">
      <c r="A116" s="147"/>
      <c r="B116" s="147"/>
      <c r="C116" s="147"/>
      <c r="D116" s="147"/>
      <c r="E116" s="147"/>
      <c r="F116" s="147"/>
      <c r="G116" s="147"/>
      <c r="I116" s="147"/>
      <c r="J116" s="147"/>
      <c r="K116" s="147"/>
      <c r="L116" s="147"/>
      <c r="M116" s="147"/>
      <c r="N116" s="147"/>
      <c r="O116" s="147"/>
      <c r="P116" s="147"/>
      <c r="Q116" s="147"/>
      <c r="R116" s="147"/>
      <c r="S116" s="147"/>
      <c r="T116" s="147"/>
      <c r="U116" s="147"/>
      <c r="V116" s="147"/>
      <c r="W116" s="147"/>
      <c r="X116" s="243"/>
    </row>
    <row r="117" spans="1:24" x14ac:dyDescent="0.25">
      <c r="A117" s="147"/>
      <c r="B117" s="147"/>
      <c r="C117" s="147"/>
      <c r="D117" s="147"/>
      <c r="E117" s="147"/>
      <c r="F117" s="147"/>
      <c r="G117" s="147"/>
      <c r="I117" s="147"/>
      <c r="J117" s="147"/>
      <c r="K117" s="147"/>
      <c r="L117" s="147"/>
      <c r="M117" s="147"/>
      <c r="N117" s="147"/>
      <c r="O117" s="147"/>
      <c r="P117" s="147"/>
      <c r="Q117" s="147"/>
      <c r="R117" s="147"/>
      <c r="S117" s="147"/>
      <c r="T117" s="147"/>
      <c r="U117" s="147"/>
      <c r="V117" s="147"/>
      <c r="W117" s="147"/>
      <c r="X117" s="243"/>
    </row>
    <row r="118" spans="1:24" x14ac:dyDescent="0.25">
      <c r="A118" s="147"/>
      <c r="B118" s="147"/>
      <c r="C118" s="147"/>
      <c r="D118" s="147"/>
      <c r="E118" s="147"/>
      <c r="F118" s="147"/>
      <c r="G118" s="147"/>
      <c r="I118" s="147"/>
      <c r="J118" s="147"/>
      <c r="K118" s="147"/>
      <c r="L118" s="147"/>
      <c r="M118" s="147"/>
      <c r="N118" s="147"/>
      <c r="O118" s="147"/>
      <c r="P118" s="147"/>
      <c r="Q118" s="147"/>
      <c r="R118" s="147"/>
      <c r="S118" s="147"/>
      <c r="T118" s="147"/>
      <c r="U118" s="147"/>
      <c r="V118" s="147"/>
      <c r="W118" s="147"/>
      <c r="X118" s="243"/>
    </row>
    <row r="119" spans="1:24" x14ac:dyDescent="0.25">
      <c r="A119" s="147"/>
      <c r="B119" s="147"/>
      <c r="C119" s="147"/>
      <c r="D119" s="147"/>
      <c r="E119" s="147"/>
      <c r="F119" s="147"/>
      <c r="G119" s="147"/>
      <c r="I119" s="147"/>
      <c r="J119" s="147"/>
      <c r="K119" s="147"/>
      <c r="L119" s="147"/>
      <c r="M119" s="147"/>
      <c r="N119" s="147"/>
      <c r="O119" s="147"/>
      <c r="P119" s="147"/>
      <c r="Q119" s="147"/>
      <c r="R119" s="147"/>
      <c r="S119" s="147"/>
      <c r="T119" s="147"/>
      <c r="U119" s="147"/>
      <c r="V119" s="147"/>
      <c r="W119" s="147"/>
      <c r="X119" s="243"/>
    </row>
    <row r="120" spans="1:24" x14ac:dyDescent="0.25">
      <c r="A120" s="147"/>
      <c r="B120" s="147"/>
      <c r="C120" s="147"/>
      <c r="D120" s="147"/>
      <c r="E120" s="147"/>
      <c r="F120" s="147"/>
      <c r="G120" s="147"/>
      <c r="I120" s="147"/>
      <c r="J120" s="147"/>
      <c r="K120" s="147"/>
      <c r="L120" s="147"/>
      <c r="M120" s="147"/>
      <c r="N120" s="147"/>
      <c r="O120" s="147"/>
      <c r="P120" s="147"/>
      <c r="Q120" s="147"/>
      <c r="R120" s="147"/>
      <c r="S120" s="147"/>
      <c r="T120" s="147"/>
      <c r="U120" s="147"/>
      <c r="V120" s="147"/>
      <c r="W120" s="147"/>
      <c r="X120" s="243"/>
    </row>
    <row r="121" spans="1:24" x14ac:dyDescent="0.25">
      <c r="A121" s="147"/>
      <c r="B121" s="147"/>
      <c r="C121" s="147"/>
      <c r="D121" s="147"/>
      <c r="E121" s="147"/>
      <c r="F121" s="147"/>
      <c r="G121" s="147"/>
      <c r="I121" s="147"/>
      <c r="J121" s="147"/>
      <c r="K121" s="147"/>
      <c r="L121" s="147"/>
      <c r="M121" s="147"/>
      <c r="N121" s="147"/>
      <c r="O121" s="147"/>
      <c r="P121" s="147"/>
      <c r="Q121" s="147"/>
      <c r="R121" s="147"/>
      <c r="S121" s="147"/>
      <c r="T121" s="147"/>
      <c r="U121" s="147"/>
      <c r="V121" s="147"/>
      <c r="W121" s="147"/>
      <c r="X121" s="243"/>
    </row>
    <row r="122" spans="1:24" x14ac:dyDescent="0.25">
      <c r="A122" s="147"/>
      <c r="B122" s="147"/>
      <c r="C122" s="147"/>
      <c r="D122" s="147"/>
      <c r="E122" s="147"/>
      <c r="F122" s="147"/>
      <c r="G122" s="147"/>
      <c r="I122" s="147"/>
      <c r="J122" s="147"/>
      <c r="K122" s="147"/>
      <c r="L122" s="147"/>
      <c r="M122" s="147"/>
      <c r="N122" s="147"/>
      <c r="O122" s="147"/>
      <c r="P122" s="147"/>
      <c r="Q122" s="147"/>
      <c r="R122" s="147"/>
      <c r="S122" s="147"/>
      <c r="T122" s="147"/>
      <c r="U122" s="147"/>
      <c r="V122" s="147"/>
      <c r="W122" s="147"/>
      <c r="X122" s="243"/>
    </row>
    <row r="123" spans="1:24" x14ac:dyDescent="0.25">
      <c r="A123" s="147"/>
      <c r="B123" s="147"/>
      <c r="C123" s="147"/>
      <c r="D123" s="147"/>
      <c r="E123" s="147"/>
      <c r="F123" s="147"/>
      <c r="G123" s="147"/>
      <c r="I123" s="147"/>
      <c r="J123" s="147"/>
      <c r="K123" s="147"/>
      <c r="L123" s="147"/>
      <c r="M123" s="147"/>
      <c r="N123" s="147"/>
      <c r="O123" s="147"/>
      <c r="P123" s="147"/>
      <c r="Q123" s="147"/>
      <c r="R123" s="147"/>
      <c r="S123" s="147"/>
      <c r="T123" s="147"/>
      <c r="U123" s="147"/>
      <c r="V123" s="147"/>
      <c r="W123" s="147"/>
      <c r="X123" s="243"/>
    </row>
    <row r="124" spans="1:24" x14ac:dyDescent="0.25">
      <c r="A124" s="147"/>
      <c r="B124" s="147"/>
      <c r="C124" s="147"/>
      <c r="D124" s="147"/>
      <c r="E124" s="147"/>
      <c r="F124" s="147"/>
      <c r="G124" s="147"/>
      <c r="I124" s="147"/>
      <c r="J124" s="147"/>
      <c r="K124" s="147"/>
      <c r="L124" s="147"/>
      <c r="M124" s="147"/>
      <c r="N124" s="147"/>
      <c r="O124" s="147"/>
      <c r="P124" s="147"/>
      <c r="Q124" s="147"/>
      <c r="R124" s="147"/>
      <c r="S124" s="147"/>
      <c r="T124" s="147"/>
      <c r="U124" s="147"/>
      <c r="V124" s="147"/>
      <c r="W124" s="147"/>
      <c r="X124" s="243"/>
    </row>
    <row r="125" spans="1:24" x14ac:dyDescent="0.25">
      <c r="A125" s="147"/>
      <c r="B125" s="147"/>
      <c r="C125" s="147"/>
      <c r="D125" s="147"/>
      <c r="E125" s="147"/>
      <c r="F125" s="147"/>
    </row>
    <row r="126" spans="1:24" x14ac:dyDescent="0.25">
      <c r="A126" s="147"/>
      <c r="B126" s="147"/>
      <c r="C126" s="147"/>
      <c r="D126" s="147"/>
      <c r="E126" s="147"/>
      <c r="F126" s="147"/>
    </row>
    <row r="127" spans="1:24" x14ac:dyDescent="0.25">
      <c r="A127" s="147"/>
      <c r="B127" s="147"/>
      <c r="C127" s="147"/>
      <c r="D127" s="147"/>
      <c r="E127" s="147"/>
      <c r="F127" s="147"/>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169" priority="3" operator="greaterThan">
      <formula>6.99</formula>
    </cfRule>
    <cfRule type="cellIs" dxfId="168"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656" t="s">
        <v>11</v>
      </c>
      <c r="E2" s="656"/>
      <c r="F2" s="657" t="s">
        <v>12</v>
      </c>
      <c r="G2" s="657"/>
      <c r="H2" s="658" t="s">
        <v>13</v>
      </c>
      <c r="I2" s="658"/>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30">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55">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55">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55">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55">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351">
        <f>B18/B17</f>
        <v>0.5760921747479596</v>
      </c>
      <c r="C37" s="351">
        <f t="shared" ref="C37:P37" si="14">C18/C17</f>
        <v>0.57609217474795971</v>
      </c>
      <c r="D37" s="351">
        <f t="shared" si="14"/>
        <v>0.5760921747479596</v>
      </c>
      <c r="E37" s="351">
        <f t="shared" si="14"/>
        <v>0.57609217474795971</v>
      </c>
      <c r="F37" s="351">
        <f t="shared" si="14"/>
        <v>0.57609217474795971</v>
      </c>
      <c r="G37" s="351">
        <f t="shared" si="14"/>
        <v>0.57609217474795971</v>
      </c>
      <c r="H37" s="351">
        <f t="shared" si="14"/>
        <v>0.57609217474795982</v>
      </c>
      <c r="I37" s="351">
        <f t="shared" si="14"/>
        <v>0.5760921747479596</v>
      </c>
      <c r="J37" s="351">
        <f t="shared" si="14"/>
        <v>0.57609217474795971</v>
      </c>
      <c r="K37" s="351">
        <f t="shared" si="14"/>
        <v>0.5760921747479596</v>
      </c>
      <c r="L37" s="351">
        <f t="shared" si="14"/>
        <v>0.57609217474795971</v>
      </c>
      <c r="M37" s="351">
        <f t="shared" si="14"/>
        <v>0.57609217474795971</v>
      </c>
      <c r="N37" s="351">
        <f t="shared" si="14"/>
        <v>0.57609217474795971</v>
      </c>
      <c r="O37" s="351">
        <f t="shared" si="14"/>
        <v>0.57609217474795971</v>
      </c>
      <c r="P37" s="351">
        <f t="shared" si="14"/>
        <v>0.5760921747479596</v>
      </c>
    </row>
    <row r="38" spans="1:30" x14ac:dyDescent="0.25">
      <c r="B38" s="351">
        <f>B19/B17</f>
        <v>0.21747479596735478</v>
      </c>
      <c r="C38" s="351">
        <f t="shared" ref="C38:P38" si="15">C19/C17</f>
        <v>0.21747479596735481</v>
      </c>
      <c r="D38" s="351">
        <f t="shared" si="15"/>
        <v>0.21747479596735475</v>
      </c>
      <c r="E38" s="351">
        <f t="shared" si="15"/>
        <v>0.21747479596735481</v>
      </c>
      <c r="F38" s="351">
        <f t="shared" si="15"/>
        <v>0.21747479596735478</v>
      </c>
      <c r="G38" s="351">
        <f t="shared" si="15"/>
        <v>0.21747479596735478</v>
      </c>
      <c r="H38" s="351">
        <f t="shared" si="15"/>
        <v>0.21747479596735483</v>
      </c>
      <c r="I38" s="351">
        <f t="shared" si="15"/>
        <v>0.21747479596735475</v>
      </c>
      <c r="J38" s="351">
        <f t="shared" si="15"/>
        <v>0.21747479596735481</v>
      </c>
      <c r="K38" s="351">
        <f t="shared" si="15"/>
        <v>0.21747479596735478</v>
      </c>
      <c r="L38" s="351">
        <f t="shared" si="15"/>
        <v>0.21747479596735481</v>
      </c>
      <c r="M38" s="351">
        <f t="shared" si="15"/>
        <v>0.21747479596735481</v>
      </c>
      <c r="N38" s="351">
        <f t="shared" si="15"/>
        <v>0.21747479596735481</v>
      </c>
      <c r="O38" s="351">
        <f t="shared" si="15"/>
        <v>0.21747479596735478</v>
      </c>
      <c r="P38" s="351">
        <f t="shared" si="15"/>
        <v>0.21747479596735478</v>
      </c>
    </row>
    <row r="39" spans="1:30" x14ac:dyDescent="0.25">
      <c r="B39" s="351">
        <f>B20/B17</f>
        <v>0.18434949591934707</v>
      </c>
      <c r="C39" s="351">
        <f t="shared" ref="C39:P39" si="16">C20/C17</f>
        <v>0.1843494959193471</v>
      </c>
      <c r="D39" s="351">
        <f t="shared" si="16"/>
        <v>0.18434949591934707</v>
      </c>
      <c r="E39" s="351">
        <f t="shared" si="16"/>
        <v>0.1843494959193471</v>
      </c>
      <c r="F39" s="351">
        <f t="shared" si="16"/>
        <v>0.1843494959193471</v>
      </c>
      <c r="G39" s="351">
        <f t="shared" si="16"/>
        <v>0.1843494959193471</v>
      </c>
      <c r="H39" s="351">
        <f t="shared" si="16"/>
        <v>0.18434949591934713</v>
      </c>
      <c r="I39" s="351">
        <f t="shared" si="16"/>
        <v>0.18434949591934707</v>
      </c>
      <c r="J39" s="351">
        <f t="shared" si="16"/>
        <v>0.1843494959193471</v>
      </c>
      <c r="K39" s="351">
        <f t="shared" si="16"/>
        <v>0.18434949591934705</v>
      </c>
      <c r="L39" s="351">
        <f t="shared" si="16"/>
        <v>0.1843494959193471</v>
      </c>
      <c r="M39" s="351">
        <f t="shared" si="16"/>
        <v>0.1843494959193471</v>
      </c>
      <c r="N39" s="351">
        <f t="shared" si="16"/>
        <v>0.1843494959193471</v>
      </c>
      <c r="O39" s="351">
        <f t="shared" si="16"/>
        <v>0.18434949591934707</v>
      </c>
      <c r="P39" s="351">
        <f t="shared" si="16"/>
        <v>0.18434949591934707</v>
      </c>
    </row>
    <row r="40" spans="1:30" x14ac:dyDescent="0.25">
      <c r="B40" s="351">
        <f>B21/B17</f>
        <v>2.2083533365338453E-2</v>
      </c>
      <c r="C40" s="351">
        <f t="shared" ref="C40:P40" si="17">C21/C17</f>
        <v>2.2083533365338456E-2</v>
      </c>
      <c r="D40" s="351">
        <f t="shared" si="17"/>
        <v>2.2083533365338453E-2</v>
      </c>
      <c r="E40" s="351">
        <f t="shared" si="17"/>
        <v>2.2083533365338453E-2</v>
      </c>
      <c r="F40" s="351">
        <f t="shared" si="17"/>
        <v>2.2083533365338453E-2</v>
      </c>
      <c r="G40" s="351">
        <f t="shared" si="17"/>
        <v>2.2083533365338453E-2</v>
      </c>
      <c r="H40" s="351">
        <f t="shared" si="17"/>
        <v>2.208353336533846E-2</v>
      </c>
      <c r="I40" s="351">
        <f t="shared" si="17"/>
        <v>2.2083533365338453E-2</v>
      </c>
      <c r="J40" s="351">
        <f t="shared" si="17"/>
        <v>2.208353336533846E-2</v>
      </c>
      <c r="K40" s="351">
        <f t="shared" si="17"/>
        <v>2.2083533365338449E-2</v>
      </c>
      <c r="L40" s="351">
        <f t="shared" si="17"/>
        <v>2.2083533365338456E-2</v>
      </c>
      <c r="M40" s="351">
        <f t="shared" si="17"/>
        <v>2.2083533365338456E-2</v>
      </c>
      <c r="N40" s="351">
        <f t="shared" si="17"/>
        <v>2.2083533365338456E-2</v>
      </c>
      <c r="O40" s="351">
        <f t="shared" si="17"/>
        <v>2.2083533365338456E-2</v>
      </c>
      <c r="P40" s="351">
        <f t="shared" si="17"/>
        <v>2.2083533365338456E-2</v>
      </c>
    </row>
    <row r="41" spans="1:30" x14ac:dyDescent="0.25">
      <c r="G41" s="155">
        <f t="shared" ref="G41" si="18">G21-B7</f>
        <v>-131.53999999999996</v>
      </c>
      <c r="I41" s="155">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C5" sqref="C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0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#REF!</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25" customFormat="1" x14ac:dyDescent="0.25">
      <c r="A3" s="299"/>
      <c r="B3" s="299"/>
      <c r="C3" s="299" t="s">
        <v>504</v>
      </c>
      <c r="D3" s="323" t="s">
        <v>28</v>
      </c>
      <c r="E3" s="323" t="s">
        <v>29</v>
      </c>
      <c r="F3" s="323" t="s">
        <v>30</v>
      </c>
      <c r="G3" s="323" t="s">
        <v>31</v>
      </c>
      <c r="H3" s="323" t="s">
        <v>32</v>
      </c>
      <c r="I3" s="323" t="s">
        <v>33</v>
      </c>
      <c r="J3" s="323" t="s">
        <v>34</v>
      </c>
      <c r="K3" s="323" t="s">
        <v>35</v>
      </c>
      <c r="L3" s="323" t="s">
        <v>36</v>
      </c>
      <c r="M3" s="323" t="s">
        <v>37</v>
      </c>
      <c r="N3" s="323" t="s">
        <v>38</v>
      </c>
      <c r="O3" s="323" t="s">
        <v>39</v>
      </c>
      <c r="P3" s="324" t="s">
        <v>40</v>
      </c>
      <c r="Q3" s="323" t="s">
        <v>41</v>
      </c>
      <c r="R3" s="323" t="s">
        <v>42</v>
      </c>
      <c r="S3" s="323" t="s">
        <v>43</v>
      </c>
    </row>
    <row r="4" spans="1:26" s="58" customFormat="1" x14ac:dyDescent="0.25">
      <c r="A4" s="57"/>
      <c r="B4" s="59"/>
      <c r="C4" s="59" t="s">
        <v>69</v>
      </c>
      <c r="D4" s="60">
        <v>2688</v>
      </c>
      <c r="E4" s="60">
        <f t="shared" ref="E4:S4" si="1">D4+(D11/30)</f>
        <v>2692</v>
      </c>
      <c r="F4" s="60">
        <f t="shared" si="1"/>
        <v>2694</v>
      </c>
      <c r="G4" s="60">
        <f t="shared" si="1"/>
        <v>2697</v>
      </c>
      <c r="H4" s="60">
        <f t="shared" si="1"/>
        <v>2697</v>
      </c>
      <c r="I4" s="60">
        <f t="shared" si="1"/>
        <v>2697</v>
      </c>
      <c r="J4" s="60">
        <v>2691</v>
      </c>
      <c r="K4" s="60">
        <f t="shared" si="1"/>
        <v>2695</v>
      </c>
      <c r="L4" s="60">
        <f t="shared" si="1"/>
        <v>2705</v>
      </c>
      <c r="M4" s="60">
        <f t="shared" si="1"/>
        <v>2707</v>
      </c>
      <c r="N4" s="60">
        <f t="shared" si="1"/>
        <v>2715</v>
      </c>
      <c r="O4" s="60">
        <f t="shared" si="1"/>
        <v>2725</v>
      </c>
      <c r="P4" s="195">
        <f t="shared" si="1"/>
        <v>2735</v>
      </c>
      <c r="Q4" s="60">
        <f t="shared" si="1"/>
        <v>2737</v>
      </c>
      <c r="R4" s="60">
        <f t="shared" si="1"/>
        <v>2737</v>
      </c>
      <c r="S4" s="60">
        <f t="shared" si="1"/>
        <v>2743</v>
      </c>
    </row>
    <row r="5" spans="1:26" s="65" customFormat="1" ht="18.75" x14ac:dyDescent="0.3">
      <c r="A5" s="61" t="s">
        <v>70</v>
      </c>
      <c r="B5" s="61"/>
      <c r="C5" s="62">
        <v>4500000</v>
      </c>
      <c r="D5" s="63">
        <f>C5</f>
        <v>4500000</v>
      </c>
      <c r="E5" s="63">
        <f t="shared" ref="E5:Q5" si="2">D24</f>
        <v>2335075</v>
      </c>
      <c r="F5" s="63">
        <f t="shared" si="2"/>
        <v>2338947</v>
      </c>
      <c r="G5" s="63">
        <f t="shared" si="2"/>
        <v>3189949</v>
      </c>
      <c r="H5" s="63">
        <f t="shared" si="2"/>
        <v>3138117</v>
      </c>
      <c r="I5" s="63">
        <f t="shared" si="2"/>
        <v>3435083</v>
      </c>
      <c r="J5" s="63">
        <f t="shared" si="2"/>
        <v>3427624</v>
      </c>
      <c r="K5" s="63">
        <f t="shared" si="2"/>
        <v>3726591</v>
      </c>
      <c r="L5" s="63">
        <f t="shared" si="2"/>
        <v>4199781</v>
      </c>
      <c r="M5" s="63">
        <f t="shared" si="2"/>
        <v>4194487</v>
      </c>
      <c r="N5" s="63">
        <f t="shared" si="2"/>
        <v>4184791</v>
      </c>
      <c r="O5" s="63">
        <f t="shared" si="2"/>
        <v>4624596</v>
      </c>
      <c r="P5" s="64">
        <f t="shared" si="2"/>
        <v>4622039</v>
      </c>
      <c r="Q5" s="63">
        <f t="shared" si="2"/>
        <v>5102715</v>
      </c>
      <c r="R5" s="63">
        <f>Q24</f>
        <v>5107784</v>
      </c>
      <c r="S5" s="63">
        <f>R24</f>
        <v>5618515</v>
      </c>
    </row>
    <row r="6" spans="1:26" x14ac:dyDescent="0.25">
      <c r="A6" s="66" t="s">
        <v>71</v>
      </c>
      <c r="B6" s="66" t="s">
        <v>71</v>
      </c>
      <c r="C6" s="67">
        <f t="shared" ref="C6:C23" si="3">SUM(D6:S6)</f>
        <v>3813690</v>
      </c>
      <c r="D6" s="68">
        <v>34356</v>
      </c>
      <c r="E6" s="68">
        <v>109848</v>
      </c>
      <c r="F6" s="68">
        <v>464563</v>
      </c>
      <c r="G6" s="68">
        <v>24254</v>
      </c>
      <c r="H6" s="68">
        <v>367992</v>
      </c>
      <c r="I6" s="68">
        <v>61922</v>
      </c>
      <c r="J6" s="68">
        <v>366748</v>
      </c>
      <c r="K6" s="68">
        <v>539986</v>
      </c>
      <c r="L6" s="68">
        <v>11949</v>
      </c>
      <c r="M6" s="406">
        <v>8310</v>
      </c>
      <c r="N6" s="406">
        <v>461286</v>
      </c>
      <c r="O6" s="406">
        <v>19549</v>
      </c>
      <c r="P6" s="69">
        <f>480679+20603</f>
        <v>501282</v>
      </c>
      <c r="Q6" s="68">
        <v>20795</v>
      </c>
      <c r="R6" s="68">
        <f>19738+513169</f>
        <v>532907</v>
      </c>
      <c r="S6" s="68">
        <v>287943</v>
      </c>
      <c r="Y6" s="66" t="s">
        <v>71</v>
      </c>
      <c r="Z6" s="70">
        <f>C6/$C$13</f>
        <v>0.52848823311357396</v>
      </c>
    </row>
    <row r="7" spans="1:26" x14ac:dyDescent="0.25">
      <c r="A7" s="66" t="s">
        <v>72</v>
      </c>
      <c r="B7" s="66" t="s">
        <v>72</v>
      </c>
      <c r="C7" s="67">
        <f t="shared" si="3"/>
        <v>2830725</v>
      </c>
      <c r="D7" s="71">
        <v>108785</v>
      </c>
      <c r="E7" s="71">
        <v>141530</v>
      </c>
      <c r="F7" s="71">
        <v>162435</v>
      </c>
      <c r="G7" s="71">
        <v>174460</v>
      </c>
      <c r="H7" s="71">
        <v>180380</v>
      </c>
      <c r="I7" s="71">
        <v>183525</v>
      </c>
      <c r="J7" s="71">
        <v>185005</v>
      </c>
      <c r="K7" s="71">
        <v>185930</v>
      </c>
      <c r="L7" s="71">
        <v>186900</v>
      </c>
      <c r="M7" s="403">
        <v>187500</v>
      </c>
      <c r="N7" s="501">
        <v>187965</v>
      </c>
      <c r="O7" s="501">
        <v>188520</v>
      </c>
      <c r="P7" s="69">
        <v>189260</v>
      </c>
      <c r="Q7" s="71">
        <v>189400</v>
      </c>
      <c r="R7" s="71">
        <v>189500</v>
      </c>
      <c r="S7" s="71">
        <v>189630</v>
      </c>
      <c r="Y7" s="66" t="s">
        <v>72</v>
      </c>
      <c r="Z7" s="70">
        <f t="shared" ref="Z7:Z12" si="4">C7/$C$13</f>
        <v>0.39227227532400943</v>
      </c>
    </row>
    <row r="8" spans="1:26" x14ac:dyDescent="0.25">
      <c r="A8" s="66" t="s">
        <v>73</v>
      </c>
      <c r="B8" s="66" t="s">
        <v>74</v>
      </c>
      <c r="C8" s="67">
        <f t="shared" si="3"/>
        <v>0</v>
      </c>
      <c r="D8" s="68">
        <v>0</v>
      </c>
      <c r="E8" s="68">
        <v>0</v>
      </c>
      <c r="F8" s="68">
        <v>0</v>
      </c>
      <c r="G8" s="68"/>
      <c r="H8" s="68">
        <v>0</v>
      </c>
      <c r="I8" s="68">
        <v>0</v>
      </c>
      <c r="J8" s="68">
        <v>0</v>
      </c>
      <c r="K8" s="68">
        <v>0</v>
      </c>
      <c r="L8" s="68"/>
      <c r="M8" s="402">
        <v>0</v>
      </c>
      <c r="N8" s="406">
        <v>0</v>
      </c>
      <c r="O8" s="406">
        <v>0</v>
      </c>
      <c r="P8" s="69">
        <v>0</v>
      </c>
      <c r="Q8" s="68"/>
      <c r="R8" s="68">
        <v>0</v>
      </c>
      <c r="S8" s="68">
        <v>0</v>
      </c>
      <c r="Y8" s="66" t="s">
        <v>74</v>
      </c>
      <c r="Z8" s="70">
        <f t="shared" si="4"/>
        <v>0</v>
      </c>
    </row>
    <row r="9" spans="1:26" x14ac:dyDescent="0.25">
      <c r="A9" s="66"/>
      <c r="B9" s="66" t="s">
        <v>75</v>
      </c>
      <c r="C9" s="67">
        <f t="shared" si="3"/>
        <v>476900</v>
      </c>
      <c r="D9" s="68">
        <v>0</v>
      </c>
      <c r="E9" s="68">
        <v>0</v>
      </c>
      <c r="F9" s="68">
        <v>475000</v>
      </c>
      <c r="G9" s="68"/>
      <c r="H9" s="68">
        <v>950</v>
      </c>
      <c r="I9" s="68">
        <v>0</v>
      </c>
      <c r="J9" s="68">
        <v>0</v>
      </c>
      <c r="K9" s="68">
        <v>0</v>
      </c>
      <c r="L9" s="68"/>
      <c r="M9" s="402">
        <v>0</v>
      </c>
      <c r="N9" s="406">
        <v>0</v>
      </c>
      <c r="O9" s="406">
        <v>0</v>
      </c>
      <c r="P9" s="69">
        <v>0</v>
      </c>
      <c r="Q9" s="68"/>
      <c r="R9" s="68">
        <v>950</v>
      </c>
      <c r="S9" s="68">
        <v>0</v>
      </c>
      <c r="Y9" s="66" t="s">
        <v>75</v>
      </c>
      <c r="Z9" s="70">
        <f t="shared" si="4"/>
        <v>6.6087185474399707E-2</v>
      </c>
    </row>
    <row r="10" spans="1:26" x14ac:dyDescent="0.25">
      <c r="A10" s="66" t="s">
        <v>76</v>
      </c>
      <c r="B10" s="66" t="s">
        <v>76</v>
      </c>
      <c r="C10" s="67">
        <f t="shared" si="3"/>
        <v>10640</v>
      </c>
      <c r="D10" s="71">
        <v>0</v>
      </c>
      <c r="E10" s="71">
        <v>520</v>
      </c>
      <c r="F10" s="71">
        <v>0</v>
      </c>
      <c r="G10" s="71"/>
      <c r="H10" s="71">
        <v>0</v>
      </c>
      <c r="I10" s="71">
        <v>0</v>
      </c>
      <c r="J10" s="71">
        <v>0</v>
      </c>
      <c r="K10" s="71">
        <v>0</v>
      </c>
      <c r="L10" s="71"/>
      <c r="M10" s="403">
        <v>0</v>
      </c>
      <c r="N10" s="501">
        <v>0</v>
      </c>
      <c r="O10" s="501">
        <v>0</v>
      </c>
      <c r="P10" s="69">
        <v>0</v>
      </c>
      <c r="Q10" s="71">
        <v>10000</v>
      </c>
      <c r="R10" s="71">
        <v>120</v>
      </c>
      <c r="S10" s="71">
        <v>0</v>
      </c>
      <c r="Y10" s="66" t="s">
        <v>76</v>
      </c>
      <c r="Z10" s="70">
        <f t="shared" si="4"/>
        <v>1.4744551340901927E-3</v>
      </c>
    </row>
    <row r="11" spans="1:26" x14ac:dyDescent="0.25">
      <c r="A11" s="662" t="s">
        <v>77</v>
      </c>
      <c r="B11" s="66" t="s">
        <v>78</v>
      </c>
      <c r="C11" s="67">
        <f t="shared" si="3"/>
        <v>84270</v>
      </c>
      <c r="D11" s="71">
        <v>120</v>
      </c>
      <c r="E11" s="71">
        <v>60</v>
      </c>
      <c r="F11" s="71">
        <v>90</v>
      </c>
      <c r="G11" s="71">
        <v>0</v>
      </c>
      <c r="H11" s="71">
        <v>0</v>
      </c>
      <c r="I11" s="71">
        <v>0</v>
      </c>
      <c r="J11" s="71">
        <v>120</v>
      </c>
      <c r="K11" s="71">
        <v>300</v>
      </c>
      <c r="L11" s="71">
        <v>60</v>
      </c>
      <c r="M11" s="501">
        <v>240</v>
      </c>
      <c r="N11" s="501">
        <v>300</v>
      </c>
      <c r="O11" s="501">
        <v>300</v>
      </c>
      <c r="P11" s="69">
        <v>60</v>
      </c>
      <c r="Q11" s="71">
        <v>0</v>
      </c>
      <c r="R11" s="71">
        <v>180</v>
      </c>
      <c r="S11" s="71">
        <v>82440</v>
      </c>
      <c r="Y11" s="66" t="s">
        <v>78</v>
      </c>
      <c r="Z11" s="70">
        <f t="shared" si="4"/>
        <v>1.1677850953926741E-2</v>
      </c>
    </row>
    <row r="12" spans="1:26" x14ac:dyDescent="0.25">
      <c r="A12" s="663"/>
      <c r="B12" s="66" t="s">
        <v>79</v>
      </c>
      <c r="C12" s="67">
        <f t="shared" si="3"/>
        <v>0</v>
      </c>
      <c r="D12" s="71">
        <v>0</v>
      </c>
      <c r="E12" s="71">
        <v>0</v>
      </c>
      <c r="F12" s="71">
        <v>0</v>
      </c>
      <c r="G12" s="71"/>
      <c r="H12" s="71">
        <v>0</v>
      </c>
      <c r="I12" s="71">
        <v>0</v>
      </c>
      <c r="J12" s="71">
        <v>0</v>
      </c>
      <c r="K12" s="71">
        <v>0</v>
      </c>
      <c r="L12" s="71"/>
      <c r="M12" s="403">
        <v>0</v>
      </c>
      <c r="N12" s="501">
        <v>0</v>
      </c>
      <c r="O12" s="501">
        <v>0</v>
      </c>
      <c r="P12" s="69">
        <v>0</v>
      </c>
      <c r="Q12" s="71"/>
      <c r="R12" s="71">
        <v>0</v>
      </c>
      <c r="S12" s="71">
        <v>0</v>
      </c>
      <c r="Y12" s="66" t="s">
        <v>79</v>
      </c>
      <c r="Z12" s="70">
        <f t="shared" si="4"/>
        <v>0</v>
      </c>
    </row>
    <row r="13" spans="1:26" s="77" customFormat="1" ht="18.75" x14ac:dyDescent="0.3">
      <c r="A13" s="72" t="s">
        <v>80</v>
      </c>
      <c r="B13" s="73"/>
      <c r="C13" s="74">
        <f t="shared" si="3"/>
        <v>7216225</v>
      </c>
      <c r="D13" s="75">
        <f t="shared" ref="D13:H13" si="5">SUM(D6:D12)</f>
        <v>143261</v>
      </c>
      <c r="E13" s="75">
        <f t="shared" si="5"/>
        <v>251958</v>
      </c>
      <c r="F13" s="75">
        <f>F12+F11+F10+F9+F8+F7+F6</f>
        <v>1102088</v>
      </c>
      <c r="G13" s="75">
        <f t="shared" si="5"/>
        <v>198714</v>
      </c>
      <c r="H13" s="75">
        <f t="shared" si="5"/>
        <v>549322</v>
      </c>
      <c r="I13" s="75">
        <f t="shared" ref="I13:S13" si="6">SUM(I6:I12)</f>
        <v>245447</v>
      </c>
      <c r="J13" s="75">
        <f t="shared" si="6"/>
        <v>551873</v>
      </c>
      <c r="K13" s="75">
        <f t="shared" si="6"/>
        <v>726216</v>
      </c>
      <c r="L13" s="75">
        <f t="shared" si="6"/>
        <v>198909</v>
      </c>
      <c r="M13" s="75">
        <f t="shared" si="6"/>
        <v>196050</v>
      </c>
      <c r="N13" s="75">
        <f t="shared" si="6"/>
        <v>649551</v>
      </c>
      <c r="O13" s="75">
        <f t="shared" si="6"/>
        <v>208369</v>
      </c>
      <c r="P13" s="76">
        <f t="shared" si="6"/>
        <v>690602</v>
      </c>
      <c r="Q13" s="75">
        <f t="shared" si="6"/>
        <v>220195</v>
      </c>
      <c r="R13" s="75">
        <f t="shared" si="6"/>
        <v>723657</v>
      </c>
      <c r="S13" s="75">
        <f t="shared" si="6"/>
        <v>560013</v>
      </c>
      <c r="Z13" s="78">
        <f>SUM(Z6:Z12)</f>
        <v>1</v>
      </c>
    </row>
    <row r="14" spans="1:26" ht="18.75" x14ac:dyDescent="0.3">
      <c r="A14" s="79" t="s">
        <v>81</v>
      </c>
      <c r="B14" s="80" t="str">
        <f>A14</f>
        <v>Sueldos</v>
      </c>
      <c r="C14" s="81">
        <f t="shared" si="3"/>
        <v>1266317</v>
      </c>
      <c r="D14" s="82">
        <v>72610</v>
      </c>
      <c r="E14" s="82">
        <v>72310</v>
      </c>
      <c r="F14" s="82">
        <f t="shared" ref="F14:R14" si="7">E14</f>
        <v>72310</v>
      </c>
      <c r="G14" s="82">
        <v>73770</v>
      </c>
      <c r="H14" s="82">
        <v>76580</v>
      </c>
      <c r="I14" s="82">
        <v>77130</v>
      </c>
      <c r="J14" s="82">
        <f t="shared" si="7"/>
        <v>77130</v>
      </c>
      <c r="K14" s="82">
        <v>77250</v>
      </c>
      <c r="L14" s="82">
        <f>79500+1647</f>
        <v>81147</v>
      </c>
      <c r="M14" s="404">
        <v>82690</v>
      </c>
      <c r="N14" s="405">
        <v>82690</v>
      </c>
      <c r="O14" s="405">
        <v>83870</v>
      </c>
      <c r="P14" s="69">
        <f t="shared" si="7"/>
        <v>83870</v>
      </c>
      <c r="Q14" s="82">
        <f t="shared" si="7"/>
        <v>83870</v>
      </c>
      <c r="R14" s="82">
        <f t="shared" si="7"/>
        <v>83870</v>
      </c>
      <c r="S14" s="82">
        <v>85220</v>
      </c>
      <c r="Y14" s="664">
        <f>C13</f>
        <v>7216225</v>
      </c>
      <c r="Z14" s="665"/>
    </row>
    <row r="15" spans="1:26" x14ac:dyDescent="0.25">
      <c r="A15" s="79" t="s">
        <v>82</v>
      </c>
      <c r="B15" s="80" t="str">
        <f>A15</f>
        <v xml:space="preserve">Mantenimiento </v>
      </c>
      <c r="C15" s="81">
        <f t="shared" si="3"/>
        <v>572416</v>
      </c>
      <c r="D15" s="82">
        <v>35776</v>
      </c>
      <c r="E15" s="82">
        <f>D15</f>
        <v>35776</v>
      </c>
      <c r="F15" s="82">
        <f t="shared" ref="F15:S15" si="8">E15</f>
        <v>35776</v>
      </c>
      <c r="G15" s="82">
        <f t="shared" si="8"/>
        <v>35776</v>
      </c>
      <c r="H15" s="82">
        <f t="shared" si="8"/>
        <v>35776</v>
      </c>
      <c r="I15" s="82">
        <f t="shared" si="8"/>
        <v>35776</v>
      </c>
      <c r="J15" s="82">
        <f t="shared" si="8"/>
        <v>35776</v>
      </c>
      <c r="K15" s="82">
        <f t="shared" si="8"/>
        <v>35776</v>
      </c>
      <c r="L15" s="82">
        <f t="shared" si="8"/>
        <v>35776</v>
      </c>
      <c r="M15" s="405">
        <f t="shared" si="8"/>
        <v>35776</v>
      </c>
      <c r="N15" s="405">
        <f t="shared" si="8"/>
        <v>35776</v>
      </c>
      <c r="O15" s="405">
        <f t="shared" si="8"/>
        <v>35776</v>
      </c>
      <c r="P15" s="69">
        <f t="shared" si="8"/>
        <v>35776</v>
      </c>
      <c r="Q15" s="82">
        <f t="shared" si="8"/>
        <v>35776</v>
      </c>
      <c r="R15" s="82">
        <f t="shared" si="8"/>
        <v>35776</v>
      </c>
      <c r="S15" s="82">
        <f t="shared" si="8"/>
        <v>35776</v>
      </c>
    </row>
    <row r="16" spans="1:26" ht="20.25" customHeight="1" x14ac:dyDescent="0.25">
      <c r="A16" s="79" t="s">
        <v>83</v>
      </c>
      <c r="B16" s="80" t="s">
        <v>84</v>
      </c>
      <c r="C16" s="81">
        <f t="shared" si="3"/>
        <v>0</v>
      </c>
      <c r="D16" s="82">
        <v>0</v>
      </c>
      <c r="E16" s="82">
        <f t="shared" ref="E16:S22" si="9">D16</f>
        <v>0</v>
      </c>
      <c r="F16" s="82">
        <f t="shared" si="9"/>
        <v>0</v>
      </c>
      <c r="G16" s="82">
        <f t="shared" si="9"/>
        <v>0</v>
      </c>
      <c r="H16" s="82">
        <f t="shared" si="9"/>
        <v>0</v>
      </c>
      <c r="I16" s="82">
        <f t="shared" si="9"/>
        <v>0</v>
      </c>
      <c r="J16" s="82">
        <f t="shared" si="9"/>
        <v>0</v>
      </c>
      <c r="K16" s="82">
        <f t="shared" si="9"/>
        <v>0</v>
      </c>
      <c r="L16" s="82">
        <f t="shared" si="9"/>
        <v>0</v>
      </c>
      <c r="M16" s="405">
        <f t="shared" si="9"/>
        <v>0</v>
      </c>
      <c r="N16" s="405">
        <f t="shared" si="9"/>
        <v>0</v>
      </c>
      <c r="O16" s="405">
        <f t="shared" si="9"/>
        <v>0</v>
      </c>
      <c r="P16" s="69">
        <f t="shared" si="9"/>
        <v>0</v>
      </c>
      <c r="Q16" s="82">
        <f t="shared" si="9"/>
        <v>0</v>
      </c>
      <c r="R16" s="82">
        <f t="shared" si="9"/>
        <v>0</v>
      </c>
      <c r="S16" s="82">
        <f t="shared" si="9"/>
        <v>0</v>
      </c>
    </row>
    <row r="17" spans="1:26" x14ac:dyDescent="0.25">
      <c r="A17" s="79" t="s">
        <v>85</v>
      </c>
      <c r="B17" s="80" t="str">
        <f>A17</f>
        <v>Empleados</v>
      </c>
      <c r="C17" s="81">
        <f t="shared" si="3"/>
        <v>1482240</v>
      </c>
      <c r="D17" s="82">
        <v>120000</v>
      </c>
      <c r="E17" s="82">
        <f t="shared" si="9"/>
        <v>120000</v>
      </c>
      <c r="F17" s="82">
        <f t="shared" si="9"/>
        <v>120000</v>
      </c>
      <c r="G17" s="82">
        <f t="shared" si="9"/>
        <v>120000</v>
      </c>
      <c r="H17" s="82">
        <f t="shared" si="9"/>
        <v>120000</v>
      </c>
      <c r="I17" s="82">
        <f t="shared" si="9"/>
        <v>120000</v>
      </c>
      <c r="J17" s="82">
        <f t="shared" si="9"/>
        <v>120000</v>
      </c>
      <c r="K17" s="82">
        <f t="shared" si="9"/>
        <v>120000</v>
      </c>
      <c r="L17" s="82">
        <f>24000*4*0.68</f>
        <v>65280.000000000007</v>
      </c>
      <c r="M17" s="405">
        <f t="shared" si="9"/>
        <v>65280.000000000007</v>
      </c>
      <c r="N17" s="405">
        <f t="shared" si="9"/>
        <v>65280.000000000007</v>
      </c>
      <c r="O17" s="405">
        <f t="shared" si="9"/>
        <v>65280.000000000007</v>
      </c>
      <c r="P17" s="69">
        <f t="shared" si="9"/>
        <v>65280.000000000007</v>
      </c>
      <c r="Q17" s="82">
        <f t="shared" si="9"/>
        <v>65280.000000000007</v>
      </c>
      <c r="R17" s="82">
        <f t="shared" si="9"/>
        <v>65280.000000000007</v>
      </c>
      <c r="S17" s="82">
        <f t="shared" si="9"/>
        <v>65280.000000000007</v>
      </c>
    </row>
    <row r="18" spans="1:26" x14ac:dyDescent="0.25">
      <c r="A18" s="79" t="s">
        <v>86</v>
      </c>
      <c r="B18" s="80" t="str">
        <f>A18</f>
        <v>Juveniles</v>
      </c>
      <c r="C18" s="81">
        <f t="shared" si="3"/>
        <v>320000</v>
      </c>
      <c r="D18" s="82">
        <v>20000</v>
      </c>
      <c r="E18" s="82">
        <f t="shared" si="9"/>
        <v>20000</v>
      </c>
      <c r="F18" s="82">
        <f t="shared" si="9"/>
        <v>20000</v>
      </c>
      <c r="G18" s="82">
        <f t="shared" si="9"/>
        <v>20000</v>
      </c>
      <c r="H18" s="82">
        <f t="shared" si="9"/>
        <v>20000</v>
      </c>
      <c r="I18" s="82">
        <f t="shared" si="9"/>
        <v>20000</v>
      </c>
      <c r="J18" s="82">
        <f t="shared" si="9"/>
        <v>20000</v>
      </c>
      <c r="K18" s="82">
        <f t="shared" si="9"/>
        <v>20000</v>
      </c>
      <c r="L18" s="82">
        <f t="shared" si="9"/>
        <v>20000</v>
      </c>
      <c r="M18" s="405">
        <f t="shared" si="9"/>
        <v>20000</v>
      </c>
      <c r="N18" s="405">
        <f t="shared" si="9"/>
        <v>20000</v>
      </c>
      <c r="O18" s="405">
        <f t="shared" si="9"/>
        <v>20000</v>
      </c>
      <c r="P18" s="69">
        <f t="shared" si="9"/>
        <v>20000</v>
      </c>
      <c r="Q18" s="82">
        <f t="shared" si="9"/>
        <v>20000</v>
      </c>
      <c r="R18" s="82">
        <f t="shared" si="9"/>
        <v>20000</v>
      </c>
      <c r="S18" s="82">
        <f t="shared" si="9"/>
        <v>20000</v>
      </c>
    </row>
    <row r="19" spans="1:26" x14ac:dyDescent="0.25">
      <c r="A19" s="79" t="s">
        <v>87</v>
      </c>
      <c r="B19" s="80" t="s">
        <v>88</v>
      </c>
      <c r="C19" s="81">
        <f t="shared" si="3"/>
        <v>0</v>
      </c>
      <c r="D19" s="82">
        <v>0</v>
      </c>
      <c r="E19" s="82">
        <f t="shared" si="9"/>
        <v>0</v>
      </c>
      <c r="F19" s="82">
        <f t="shared" si="9"/>
        <v>0</v>
      </c>
      <c r="G19" s="82">
        <f t="shared" si="9"/>
        <v>0</v>
      </c>
      <c r="H19" s="82">
        <f t="shared" si="9"/>
        <v>0</v>
      </c>
      <c r="I19" s="82">
        <f t="shared" si="9"/>
        <v>0</v>
      </c>
      <c r="J19" s="82">
        <f t="shared" si="9"/>
        <v>0</v>
      </c>
      <c r="K19" s="82">
        <f t="shared" si="9"/>
        <v>0</v>
      </c>
      <c r="L19" s="82">
        <f t="shared" si="9"/>
        <v>0</v>
      </c>
      <c r="M19" s="404">
        <f t="shared" si="9"/>
        <v>0</v>
      </c>
      <c r="N19" s="405">
        <f t="shared" si="9"/>
        <v>0</v>
      </c>
      <c r="O19" s="405">
        <f t="shared" si="9"/>
        <v>0</v>
      </c>
      <c r="P19" s="69">
        <f t="shared" si="9"/>
        <v>0</v>
      </c>
      <c r="Q19" s="82">
        <f t="shared" si="9"/>
        <v>0</v>
      </c>
      <c r="R19" s="82">
        <f t="shared" si="9"/>
        <v>0</v>
      </c>
      <c r="S19" s="82">
        <f t="shared" si="9"/>
        <v>0</v>
      </c>
    </row>
    <row r="20" spans="1:26" x14ac:dyDescent="0.25">
      <c r="A20" s="83" t="s">
        <v>77</v>
      </c>
      <c r="B20" s="80" t="s">
        <v>67</v>
      </c>
      <c r="C20" s="81">
        <f t="shared" si="3"/>
        <v>2059800</v>
      </c>
      <c r="D20" s="82">
        <v>2059800</v>
      </c>
      <c r="E20" s="82">
        <v>0</v>
      </c>
      <c r="F20" s="82">
        <f t="shared" si="9"/>
        <v>0</v>
      </c>
      <c r="G20" s="82">
        <f t="shared" si="9"/>
        <v>0</v>
      </c>
      <c r="H20" s="82">
        <f t="shared" si="9"/>
        <v>0</v>
      </c>
      <c r="I20" s="82">
        <f t="shared" si="9"/>
        <v>0</v>
      </c>
      <c r="J20" s="82">
        <f t="shared" si="9"/>
        <v>0</v>
      </c>
      <c r="K20" s="82">
        <f t="shared" si="9"/>
        <v>0</v>
      </c>
      <c r="L20" s="82">
        <f t="shared" si="9"/>
        <v>0</v>
      </c>
      <c r="M20" s="404">
        <f t="shared" si="9"/>
        <v>0</v>
      </c>
      <c r="N20" s="405">
        <f t="shared" si="9"/>
        <v>0</v>
      </c>
      <c r="O20" s="405">
        <f t="shared" si="9"/>
        <v>0</v>
      </c>
      <c r="P20" s="69">
        <f t="shared" si="9"/>
        <v>0</v>
      </c>
      <c r="Q20" s="82">
        <f t="shared" si="9"/>
        <v>0</v>
      </c>
      <c r="R20" s="82">
        <f t="shared" si="9"/>
        <v>0</v>
      </c>
      <c r="S20" s="82">
        <f t="shared" si="9"/>
        <v>0</v>
      </c>
    </row>
    <row r="21" spans="1:26" x14ac:dyDescent="0.25">
      <c r="A21" s="83"/>
      <c r="B21" s="80" t="s">
        <v>89</v>
      </c>
      <c r="C21" s="81">
        <f t="shared" si="3"/>
        <v>55200</v>
      </c>
      <c r="D21" s="82">
        <v>0</v>
      </c>
      <c r="E21" s="82">
        <f t="shared" si="9"/>
        <v>0</v>
      </c>
      <c r="F21" s="82">
        <v>3000</v>
      </c>
      <c r="G21" s="82">
        <v>1000</v>
      </c>
      <c r="H21" s="82">
        <v>0</v>
      </c>
      <c r="I21" s="82">
        <f t="shared" si="9"/>
        <v>0</v>
      </c>
      <c r="J21" s="82">
        <f t="shared" si="9"/>
        <v>0</v>
      </c>
      <c r="K21" s="82">
        <f t="shared" si="9"/>
        <v>0</v>
      </c>
      <c r="L21" s="82">
        <v>2000</v>
      </c>
      <c r="M21" s="404">
        <f t="shared" si="9"/>
        <v>2000</v>
      </c>
      <c r="N21" s="405">
        <v>6000</v>
      </c>
      <c r="O21" s="405">
        <v>6000</v>
      </c>
      <c r="P21" s="69">
        <v>5000</v>
      </c>
      <c r="Q21" s="82">
        <f>6000+4200</f>
        <v>10200</v>
      </c>
      <c r="R21" s="82">
        <v>8000</v>
      </c>
      <c r="S21" s="82">
        <v>12000</v>
      </c>
    </row>
    <row r="22" spans="1:26" x14ac:dyDescent="0.25">
      <c r="A22" s="79" t="s">
        <v>90</v>
      </c>
      <c r="B22" s="80" t="str">
        <f>A22</f>
        <v>Intereses</v>
      </c>
      <c r="C22" s="81">
        <f t="shared" si="3"/>
        <v>0</v>
      </c>
      <c r="D22" s="82">
        <v>0</v>
      </c>
      <c r="E22" s="82">
        <f t="shared" si="9"/>
        <v>0</v>
      </c>
      <c r="F22" s="82">
        <f t="shared" si="9"/>
        <v>0</v>
      </c>
      <c r="G22" s="82">
        <f t="shared" si="9"/>
        <v>0</v>
      </c>
      <c r="H22" s="82">
        <f t="shared" si="9"/>
        <v>0</v>
      </c>
      <c r="I22" s="82">
        <f t="shared" si="9"/>
        <v>0</v>
      </c>
      <c r="J22" s="82">
        <f t="shared" si="9"/>
        <v>0</v>
      </c>
      <c r="K22" s="82">
        <f t="shared" si="9"/>
        <v>0</v>
      </c>
      <c r="L22" s="82">
        <f t="shared" si="9"/>
        <v>0</v>
      </c>
      <c r="M22" s="404">
        <f t="shared" si="9"/>
        <v>0</v>
      </c>
      <c r="N22" s="405">
        <f t="shared" si="9"/>
        <v>0</v>
      </c>
      <c r="O22" s="405">
        <f t="shared" si="9"/>
        <v>0</v>
      </c>
      <c r="P22" s="69">
        <f t="shared" si="9"/>
        <v>0</v>
      </c>
      <c r="Q22" s="82">
        <f t="shared" si="9"/>
        <v>0</v>
      </c>
      <c r="R22" s="82">
        <f t="shared" si="9"/>
        <v>0</v>
      </c>
      <c r="S22" s="82">
        <f t="shared" si="9"/>
        <v>0</v>
      </c>
    </row>
    <row r="23" spans="1:26" s="89" customFormat="1" ht="18.75" x14ac:dyDescent="0.3">
      <c r="A23" s="84" t="s">
        <v>91</v>
      </c>
      <c r="B23" s="85"/>
      <c r="C23" s="86">
        <f t="shared" si="3"/>
        <v>5755973</v>
      </c>
      <c r="D23" s="87">
        <f t="shared" ref="D23:S23" si="10">SUM(D14:D22)</f>
        <v>2308186</v>
      </c>
      <c r="E23" s="87">
        <f t="shared" si="10"/>
        <v>248086</v>
      </c>
      <c r="F23" s="87">
        <f t="shared" si="10"/>
        <v>251086</v>
      </c>
      <c r="G23" s="87">
        <f t="shared" si="10"/>
        <v>250546</v>
      </c>
      <c r="H23" s="87">
        <f t="shared" si="10"/>
        <v>252356</v>
      </c>
      <c r="I23" s="87">
        <f t="shared" si="10"/>
        <v>252906</v>
      </c>
      <c r="J23" s="87">
        <f t="shared" si="10"/>
        <v>252906</v>
      </c>
      <c r="K23" s="87">
        <f t="shared" si="10"/>
        <v>253026</v>
      </c>
      <c r="L23" s="87">
        <f t="shared" si="10"/>
        <v>204203</v>
      </c>
      <c r="M23" s="87">
        <f t="shared" si="10"/>
        <v>205746</v>
      </c>
      <c r="N23" s="87">
        <f t="shared" si="10"/>
        <v>209746</v>
      </c>
      <c r="O23" s="87">
        <f t="shared" si="10"/>
        <v>210926</v>
      </c>
      <c r="P23" s="88">
        <f t="shared" si="10"/>
        <v>209926</v>
      </c>
      <c r="Q23" s="87">
        <f t="shared" si="10"/>
        <v>215126</v>
      </c>
      <c r="R23" s="87">
        <f t="shared" si="10"/>
        <v>212926</v>
      </c>
      <c r="S23" s="87">
        <f t="shared" si="10"/>
        <v>218276</v>
      </c>
      <c r="Y23" s="80" t="s">
        <v>81</v>
      </c>
      <c r="Z23" s="90">
        <f>C14/$C$23</f>
        <v>0.22000051077376492</v>
      </c>
    </row>
    <row r="24" spans="1:26" s="65" customFormat="1" ht="18.75" x14ac:dyDescent="0.3">
      <c r="A24" s="91" t="s">
        <v>92</v>
      </c>
      <c r="B24" s="91"/>
      <c r="C24" s="63">
        <f>C5+C13-C23</f>
        <v>5960252</v>
      </c>
      <c r="D24" s="63">
        <f t="shared" ref="D24:S24" si="11">D5+D13-D23</f>
        <v>2335075</v>
      </c>
      <c r="E24" s="63">
        <f t="shared" si="11"/>
        <v>2338947</v>
      </c>
      <c r="F24" s="63">
        <f t="shared" si="11"/>
        <v>3189949</v>
      </c>
      <c r="G24" s="63">
        <f t="shared" si="11"/>
        <v>3138117</v>
      </c>
      <c r="H24" s="63">
        <f t="shared" si="11"/>
        <v>3435083</v>
      </c>
      <c r="I24" s="63">
        <f t="shared" si="11"/>
        <v>3427624</v>
      </c>
      <c r="J24" s="63">
        <f t="shared" si="11"/>
        <v>3726591</v>
      </c>
      <c r="K24" s="63">
        <f t="shared" si="11"/>
        <v>4199781</v>
      </c>
      <c r="L24" s="63">
        <f t="shared" si="11"/>
        <v>4194487</v>
      </c>
      <c r="M24" s="63">
        <f t="shared" si="11"/>
        <v>4184791</v>
      </c>
      <c r="N24" s="63">
        <f t="shared" si="11"/>
        <v>4624596</v>
      </c>
      <c r="O24" s="63">
        <f t="shared" si="11"/>
        <v>4622039</v>
      </c>
      <c r="P24" s="64">
        <f t="shared" si="11"/>
        <v>5102715</v>
      </c>
      <c r="Q24" s="63">
        <f t="shared" si="11"/>
        <v>5107784</v>
      </c>
      <c r="R24" s="63">
        <f t="shared" si="11"/>
        <v>5618515</v>
      </c>
      <c r="S24" s="63">
        <f t="shared" si="11"/>
        <v>5960252</v>
      </c>
      <c r="Y24" s="80" t="s">
        <v>82</v>
      </c>
      <c r="Z24" s="90">
        <f t="shared" ref="Z24:Z31" si="12">C15/$C$23</f>
        <v>9.9447304565188202E-2</v>
      </c>
    </row>
    <row r="25" spans="1:26" s="53" customFormat="1" x14ac:dyDescent="0.25">
      <c r="A25" s="92"/>
      <c r="B25" s="92"/>
      <c r="C25" s="92"/>
      <c r="D25" s="93" t="e">
        <f>D2+7</f>
        <v>#REF!</v>
      </c>
      <c r="E25" s="93" t="e">
        <f t="shared" ref="E25:S25" si="13">D25+7</f>
        <v>#REF!</v>
      </c>
      <c r="F25" s="93" t="e">
        <f t="shared" si="13"/>
        <v>#REF!</v>
      </c>
      <c r="G25" s="93" t="e">
        <f t="shared" si="13"/>
        <v>#REF!</v>
      </c>
      <c r="H25" s="93" t="e">
        <f t="shared" si="13"/>
        <v>#REF!</v>
      </c>
      <c r="I25" s="93" t="e">
        <f t="shared" si="13"/>
        <v>#REF!</v>
      </c>
      <c r="J25" s="93" t="e">
        <f t="shared" si="13"/>
        <v>#REF!</v>
      </c>
      <c r="K25" s="93" t="e">
        <f t="shared" si="13"/>
        <v>#REF!</v>
      </c>
      <c r="L25" s="93" t="e">
        <f t="shared" si="13"/>
        <v>#REF!</v>
      </c>
      <c r="M25" s="93" t="e">
        <f t="shared" si="13"/>
        <v>#REF!</v>
      </c>
      <c r="N25" s="93" t="e">
        <f t="shared" si="13"/>
        <v>#REF!</v>
      </c>
      <c r="O25" s="93" t="e">
        <f t="shared" si="13"/>
        <v>#REF!</v>
      </c>
      <c r="P25" s="93" t="e">
        <f t="shared" si="13"/>
        <v>#REF!</v>
      </c>
      <c r="Q25" s="93" t="e">
        <f t="shared" si="13"/>
        <v>#REF!</v>
      </c>
      <c r="R25" s="93" t="e">
        <f t="shared" si="13"/>
        <v>#REF!</v>
      </c>
      <c r="S25" s="93" t="e">
        <f t="shared" si="13"/>
        <v>#REF!</v>
      </c>
      <c r="Y25" s="80" t="s">
        <v>84</v>
      </c>
      <c r="Z25" s="90">
        <f t="shared" si="12"/>
        <v>0</v>
      </c>
    </row>
    <row r="26" spans="1:26" s="53" customFormat="1" x14ac:dyDescent="0.25">
      <c r="A26" s="666" t="s">
        <v>93</v>
      </c>
      <c r="B26" s="666"/>
      <c r="C26" s="94">
        <f>C6+C7+C11</f>
        <v>6728685</v>
      </c>
      <c r="D26" s="94">
        <f t="shared" ref="D26:S26" si="14">D6+D7+D11</f>
        <v>143261</v>
      </c>
      <c r="E26" s="94">
        <f t="shared" si="14"/>
        <v>251438</v>
      </c>
      <c r="F26" s="94">
        <f t="shared" si="14"/>
        <v>627088</v>
      </c>
      <c r="G26" s="94">
        <f t="shared" si="14"/>
        <v>198714</v>
      </c>
      <c r="H26" s="94">
        <f t="shared" si="14"/>
        <v>548372</v>
      </c>
      <c r="I26" s="94">
        <f t="shared" si="14"/>
        <v>245447</v>
      </c>
      <c r="J26" s="94">
        <f t="shared" si="14"/>
        <v>551873</v>
      </c>
      <c r="K26" s="94">
        <f t="shared" si="14"/>
        <v>726216</v>
      </c>
      <c r="L26" s="94">
        <f t="shared" si="14"/>
        <v>198909</v>
      </c>
      <c r="M26" s="94">
        <f t="shared" si="14"/>
        <v>196050</v>
      </c>
      <c r="N26" s="94">
        <f t="shared" si="14"/>
        <v>649551</v>
      </c>
      <c r="O26" s="94">
        <f t="shared" si="14"/>
        <v>208369</v>
      </c>
      <c r="P26" s="94">
        <f t="shared" si="14"/>
        <v>690602</v>
      </c>
      <c r="Q26" s="94">
        <f t="shared" si="14"/>
        <v>210195</v>
      </c>
      <c r="R26" s="94">
        <f>R6+R7+R11</f>
        <v>722587</v>
      </c>
      <c r="S26" s="94">
        <f t="shared" si="14"/>
        <v>560013</v>
      </c>
      <c r="T26" s="95"/>
      <c r="Y26" s="80" t="s">
        <v>85</v>
      </c>
      <c r="Z26" s="90">
        <f t="shared" si="12"/>
        <v>0.25751336915583167</v>
      </c>
    </row>
    <row r="27" spans="1:26" s="53" customFormat="1" x14ac:dyDescent="0.25">
      <c r="A27" s="667" t="s">
        <v>94</v>
      </c>
      <c r="B27" s="667"/>
      <c r="C27" s="96">
        <f>C14+C15+C17+C18+C21</f>
        <v>3696173</v>
      </c>
      <c r="D27" s="96">
        <f t="shared" ref="D27:S27" si="15">D14+D15+D17+D18+D21</f>
        <v>248386</v>
      </c>
      <c r="E27" s="96">
        <f t="shared" si="15"/>
        <v>248086</v>
      </c>
      <c r="F27" s="96">
        <f t="shared" si="15"/>
        <v>251086</v>
      </c>
      <c r="G27" s="96">
        <f t="shared" si="15"/>
        <v>250546</v>
      </c>
      <c r="H27" s="96">
        <f t="shared" si="15"/>
        <v>252356</v>
      </c>
      <c r="I27" s="96">
        <f t="shared" si="15"/>
        <v>252906</v>
      </c>
      <c r="J27" s="96">
        <f t="shared" si="15"/>
        <v>252906</v>
      </c>
      <c r="K27" s="96">
        <f t="shared" si="15"/>
        <v>253026</v>
      </c>
      <c r="L27" s="96">
        <f t="shared" si="15"/>
        <v>204203</v>
      </c>
      <c r="M27" s="96">
        <f t="shared" si="15"/>
        <v>205746</v>
      </c>
      <c r="N27" s="96">
        <f t="shared" si="15"/>
        <v>209746</v>
      </c>
      <c r="O27" s="96">
        <f t="shared" si="15"/>
        <v>210926</v>
      </c>
      <c r="P27" s="96">
        <f t="shared" si="15"/>
        <v>209926</v>
      </c>
      <c r="Q27" s="96">
        <f t="shared" si="15"/>
        <v>215126</v>
      </c>
      <c r="R27" s="96">
        <f>R14+R15+R17+R18+R21</f>
        <v>212926</v>
      </c>
      <c r="S27" s="96">
        <f t="shared" si="15"/>
        <v>218276</v>
      </c>
      <c r="T27" s="97"/>
      <c r="Y27" s="80" t="s">
        <v>86</v>
      </c>
      <c r="Z27" s="90">
        <f t="shared" si="12"/>
        <v>5.5594423392882487E-2</v>
      </c>
    </row>
    <row r="28" spans="1:26" x14ac:dyDescent="0.25">
      <c r="A28" s="668" t="s">
        <v>95</v>
      </c>
      <c r="B28" s="668"/>
      <c r="C28" s="98">
        <f>C26-C27</f>
        <v>3032512</v>
      </c>
      <c r="D28" s="98">
        <f t="shared" ref="D28:S28" si="16">D26-D27</f>
        <v>-105125</v>
      </c>
      <c r="E28" s="98">
        <f t="shared" si="16"/>
        <v>3352</v>
      </c>
      <c r="F28" s="98">
        <f t="shared" si="16"/>
        <v>376002</v>
      </c>
      <c r="G28" s="98">
        <f t="shared" si="16"/>
        <v>-51832</v>
      </c>
      <c r="H28" s="98">
        <f t="shared" si="16"/>
        <v>296016</v>
      </c>
      <c r="I28" s="98">
        <f t="shared" si="16"/>
        <v>-7459</v>
      </c>
      <c r="J28" s="98">
        <f t="shared" si="16"/>
        <v>298967</v>
      </c>
      <c r="K28" s="98">
        <f t="shared" si="16"/>
        <v>473190</v>
      </c>
      <c r="L28" s="98">
        <f t="shared" si="16"/>
        <v>-5294</v>
      </c>
      <c r="M28" s="98">
        <f t="shared" si="16"/>
        <v>-9696</v>
      </c>
      <c r="N28" s="98">
        <f t="shared" si="16"/>
        <v>439805</v>
      </c>
      <c r="O28" s="98">
        <f t="shared" si="16"/>
        <v>-2557</v>
      </c>
      <c r="P28" s="98">
        <f t="shared" si="16"/>
        <v>480676</v>
      </c>
      <c r="Q28" s="98">
        <f t="shared" si="16"/>
        <v>-4931</v>
      </c>
      <c r="R28" s="98">
        <f>R26-R27</f>
        <v>509661</v>
      </c>
      <c r="S28" s="98">
        <f t="shared" si="16"/>
        <v>341737</v>
      </c>
      <c r="T28" s="99"/>
      <c r="Y28" s="80" t="s">
        <v>88</v>
      </c>
      <c r="Z28" s="90">
        <f t="shared" si="12"/>
        <v>0</v>
      </c>
    </row>
    <row r="29" spans="1:26" x14ac:dyDescent="0.25">
      <c r="A29" s="666" t="s">
        <v>96</v>
      </c>
      <c r="B29" s="666"/>
      <c r="C29" s="94">
        <f>C8+C9+C10+C12</f>
        <v>487540</v>
      </c>
      <c r="D29" s="94">
        <f t="shared" ref="D29:S29" si="17">D8+D9+D10+D12</f>
        <v>0</v>
      </c>
      <c r="E29" s="94">
        <f t="shared" si="17"/>
        <v>520</v>
      </c>
      <c r="F29" s="94">
        <f t="shared" si="17"/>
        <v>475000</v>
      </c>
      <c r="G29" s="94">
        <f t="shared" si="17"/>
        <v>0</v>
      </c>
      <c r="H29" s="94">
        <f t="shared" si="17"/>
        <v>950</v>
      </c>
      <c r="I29" s="94">
        <f t="shared" si="17"/>
        <v>0</v>
      </c>
      <c r="J29" s="94">
        <f t="shared" si="17"/>
        <v>0</v>
      </c>
      <c r="K29" s="94">
        <f t="shared" si="17"/>
        <v>0</v>
      </c>
      <c r="L29" s="94">
        <f t="shared" si="17"/>
        <v>0</v>
      </c>
      <c r="M29" s="94">
        <f t="shared" si="17"/>
        <v>0</v>
      </c>
      <c r="N29" s="94">
        <f t="shared" si="17"/>
        <v>0</v>
      </c>
      <c r="O29" s="94">
        <f t="shared" si="17"/>
        <v>0</v>
      </c>
      <c r="P29" s="94">
        <f t="shared" si="17"/>
        <v>0</v>
      </c>
      <c r="Q29" s="94">
        <f t="shared" si="17"/>
        <v>10000</v>
      </c>
      <c r="R29" s="94">
        <f>R8+R9+R10+R12</f>
        <v>1070</v>
      </c>
      <c r="S29" s="94">
        <f t="shared" si="17"/>
        <v>0</v>
      </c>
      <c r="T29" s="99"/>
      <c r="Y29" s="80" t="s">
        <v>67</v>
      </c>
      <c r="Z29" s="90">
        <f t="shared" si="12"/>
        <v>0.35785435407706045</v>
      </c>
    </row>
    <row r="30" spans="1:26" s="58" customFormat="1" x14ac:dyDescent="0.25">
      <c r="A30" s="667" t="s">
        <v>97</v>
      </c>
      <c r="B30" s="667"/>
      <c r="C30" s="96">
        <f>C16+C19+C20+C22</f>
        <v>2059800</v>
      </c>
      <c r="D30" s="96">
        <f t="shared" ref="D30:S30" si="18">D16+D19+D20+D22</f>
        <v>2059800</v>
      </c>
      <c r="E30" s="96">
        <f t="shared" si="18"/>
        <v>0</v>
      </c>
      <c r="F30" s="96">
        <f t="shared" si="18"/>
        <v>0</v>
      </c>
      <c r="G30" s="96">
        <f t="shared" si="18"/>
        <v>0</v>
      </c>
      <c r="H30" s="96">
        <f t="shared" si="18"/>
        <v>0</v>
      </c>
      <c r="I30" s="96">
        <f t="shared" si="18"/>
        <v>0</v>
      </c>
      <c r="J30" s="96">
        <f t="shared" si="18"/>
        <v>0</v>
      </c>
      <c r="K30" s="96">
        <f t="shared" si="18"/>
        <v>0</v>
      </c>
      <c r="L30" s="96">
        <f t="shared" si="18"/>
        <v>0</v>
      </c>
      <c r="M30" s="96">
        <f t="shared" si="18"/>
        <v>0</v>
      </c>
      <c r="N30" s="96">
        <f t="shared" si="18"/>
        <v>0</v>
      </c>
      <c r="O30" s="96">
        <f t="shared" si="18"/>
        <v>0</v>
      </c>
      <c r="P30" s="96">
        <f t="shared" si="18"/>
        <v>0</v>
      </c>
      <c r="Q30" s="96">
        <f t="shared" si="18"/>
        <v>0</v>
      </c>
      <c r="R30" s="96">
        <f>R16+R19+R20+R22</f>
        <v>0</v>
      </c>
      <c r="S30" s="96">
        <f t="shared" si="18"/>
        <v>0</v>
      </c>
      <c r="Y30" s="80" t="s">
        <v>89</v>
      </c>
      <c r="Z30" s="90">
        <f t="shared" si="12"/>
        <v>9.59003803527223E-3</v>
      </c>
    </row>
    <row r="31" spans="1:26" s="58" customFormat="1" x14ac:dyDescent="0.25">
      <c r="A31" s="668" t="s">
        <v>98</v>
      </c>
      <c r="B31" s="668"/>
      <c r="C31" s="98">
        <f>C29-C30</f>
        <v>-1572260</v>
      </c>
      <c r="D31" s="98">
        <f t="shared" ref="D31:S31" si="19">D29-D30</f>
        <v>-2059800</v>
      </c>
      <c r="E31" s="98">
        <f t="shared" si="19"/>
        <v>520</v>
      </c>
      <c r="F31" s="98">
        <f t="shared" si="19"/>
        <v>475000</v>
      </c>
      <c r="G31" s="98">
        <f t="shared" si="19"/>
        <v>0</v>
      </c>
      <c r="H31" s="98">
        <f t="shared" si="19"/>
        <v>950</v>
      </c>
      <c r="I31" s="98">
        <f t="shared" si="19"/>
        <v>0</v>
      </c>
      <c r="J31" s="98">
        <f t="shared" si="19"/>
        <v>0</v>
      </c>
      <c r="K31" s="98">
        <f t="shared" si="19"/>
        <v>0</v>
      </c>
      <c r="L31" s="98">
        <f t="shared" si="19"/>
        <v>0</v>
      </c>
      <c r="M31" s="98">
        <f t="shared" si="19"/>
        <v>0</v>
      </c>
      <c r="N31" s="98">
        <f t="shared" si="19"/>
        <v>0</v>
      </c>
      <c r="O31" s="98">
        <f t="shared" si="19"/>
        <v>0</v>
      </c>
      <c r="P31" s="98">
        <f t="shared" si="19"/>
        <v>0</v>
      </c>
      <c r="Q31" s="98">
        <f t="shared" si="19"/>
        <v>10000</v>
      </c>
      <c r="R31" s="98">
        <f>R29-R30</f>
        <v>1070</v>
      </c>
      <c r="S31" s="98">
        <f t="shared" si="19"/>
        <v>0</v>
      </c>
      <c r="Y31" s="80" t="s">
        <v>90</v>
      </c>
      <c r="Z31" s="90">
        <f t="shared" si="12"/>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25" customFormat="1" ht="18.75" x14ac:dyDescent="0.3">
      <c r="A33" s="326"/>
      <c r="B33" s="326"/>
      <c r="C33" s="327" t="s">
        <v>100</v>
      </c>
      <c r="D33" s="158">
        <v>21</v>
      </c>
      <c r="E33" s="158">
        <v>21</v>
      </c>
      <c r="F33" s="158">
        <v>21</v>
      </c>
      <c r="G33" s="158">
        <v>21</v>
      </c>
      <c r="H33" s="158">
        <v>21</v>
      </c>
      <c r="I33" s="158">
        <v>21</v>
      </c>
      <c r="J33" s="158">
        <v>21</v>
      </c>
      <c r="K33" s="158">
        <v>21</v>
      </c>
      <c r="L33" s="158">
        <v>21</v>
      </c>
      <c r="M33" s="158"/>
      <c r="N33" s="158"/>
      <c r="O33" s="158">
        <v>21</v>
      </c>
      <c r="P33" s="158">
        <v>21</v>
      </c>
      <c r="Q33" s="158"/>
      <c r="R33" s="158"/>
      <c r="S33" s="158"/>
      <c r="Z33" s="328"/>
    </row>
    <row r="34" spans="1:26" s="58" customFormat="1" ht="18.75" x14ac:dyDescent="0.3">
      <c r="A34" s="57"/>
      <c r="B34" s="670" t="s">
        <v>382</v>
      </c>
      <c r="C34" s="157" t="s">
        <v>176</v>
      </c>
      <c r="D34" s="158">
        <v>673620</v>
      </c>
      <c r="E34" s="158">
        <v>698670</v>
      </c>
      <c r="F34" s="158">
        <v>728380</v>
      </c>
      <c r="G34" s="158">
        <v>752930</v>
      </c>
      <c r="H34" s="158">
        <v>761180</v>
      </c>
      <c r="I34" s="158">
        <v>727290</v>
      </c>
      <c r="J34" s="158">
        <v>711460</v>
      </c>
      <c r="K34" s="158">
        <v>726460</v>
      </c>
      <c r="L34" s="158">
        <v>768240</v>
      </c>
      <c r="M34" s="158"/>
      <c r="N34" s="158"/>
      <c r="O34" s="158">
        <v>784050</v>
      </c>
      <c r="P34" s="158">
        <v>812370</v>
      </c>
      <c r="Q34" s="158"/>
      <c r="R34" s="158"/>
      <c r="S34" s="158"/>
      <c r="Y34" s="659">
        <f>C23</f>
        <v>5755973</v>
      </c>
      <c r="Z34" s="660"/>
    </row>
    <row r="35" spans="1:26" x14ac:dyDescent="0.25">
      <c r="A35" s="57"/>
      <c r="B35" s="670"/>
      <c r="C35" s="157" t="s">
        <v>103</v>
      </c>
      <c r="D35" s="158">
        <v>72010</v>
      </c>
      <c r="E35" s="158">
        <v>72010</v>
      </c>
      <c r="F35" s="158">
        <v>72010</v>
      </c>
      <c r="G35" s="158">
        <v>73470</v>
      </c>
      <c r="H35" s="158">
        <v>75730</v>
      </c>
      <c r="I35" s="158">
        <v>76830</v>
      </c>
      <c r="J35" s="158">
        <v>76830</v>
      </c>
      <c r="K35" s="158">
        <v>76950</v>
      </c>
      <c r="L35" s="158">
        <v>80510</v>
      </c>
      <c r="M35" s="158"/>
      <c r="N35" s="158"/>
      <c r="O35" s="158">
        <v>83570</v>
      </c>
      <c r="P35" s="158">
        <v>83730</v>
      </c>
      <c r="Q35" s="158"/>
      <c r="R35" s="158"/>
      <c r="S35" s="158"/>
    </row>
    <row r="36" spans="1:26" x14ac:dyDescent="0.25">
      <c r="A36" s="57"/>
      <c r="B36" s="670"/>
      <c r="C36" s="157" t="s">
        <v>534</v>
      </c>
      <c r="D36" s="158">
        <v>584220</v>
      </c>
      <c r="E36" s="158">
        <v>607650</v>
      </c>
      <c r="F36" s="158">
        <v>635930</v>
      </c>
      <c r="G36" s="158">
        <v>660070</v>
      </c>
      <c r="H36" s="158">
        <v>672550</v>
      </c>
      <c r="I36" s="158">
        <v>638100</v>
      </c>
      <c r="J36" s="158">
        <v>622650</v>
      </c>
      <c r="K36" s="158">
        <v>637630</v>
      </c>
      <c r="L36" s="158">
        <v>678930</v>
      </c>
      <c r="M36" s="158"/>
      <c r="N36" s="158"/>
      <c r="O36" s="158">
        <v>689960</v>
      </c>
      <c r="P36" s="158">
        <v>716490</v>
      </c>
      <c r="Q36" s="158"/>
      <c r="R36" s="158"/>
      <c r="S36" s="158"/>
    </row>
    <row r="37" spans="1:26" x14ac:dyDescent="0.25">
      <c r="A37" s="57"/>
      <c r="B37" s="670"/>
      <c r="C37" s="157" t="s">
        <v>535</v>
      </c>
      <c r="D37" s="158">
        <v>58710</v>
      </c>
      <c r="E37" s="158">
        <v>58710</v>
      </c>
      <c r="F37" s="158">
        <v>57610</v>
      </c>
      <c r="G37" s="158">
        <v>60170</v>
      </c>
      <c r="H37" s="158">
        <v>62570</v>
      </c>
      <c r="I37" s="158">
        <v>63670</v>
      </c>
      <c r="J37" s="158">
        <v>63670</v>
      </c>
      <c r="K37" s="158">
        <v>63670</v>
      </c>
      <c r="L37" s="158">
        <v>67170</v>
      </c>
      <c r="M37" s="158"/>
      <c r="N37" s="158"/>
      <c r="O37" s="158">
        <v>65690</v>
      </c>
      <c r="P37" s="158">
        <v>65690</v>
      </c>
      <c r="Q37" s="158"/>
      <c r="R37" s="158"/>
      <c r="S37" s="158"/>
    </row>
    <row r="38" spans="1:26" x14ac:dyDescent="0.25">
      <c r="A38" s="57"/>
      <c r="B38" s="670"/>
      <c r="C38" s="157" t="s">
        <v>536</v>
      </c>
      <c r="D38" s="159" t="s">
        <v>540</v>
      </c>
      <c r="E38" s="159" t="s">
        <v>549</v>
      </c>
      <c r="F38" s="159" t="s">
        <v>577</v>
      </c>
      <c r="G38" s="159" t="s">
        <v>578</v>
      </c>
      <c r="H38" s="159" t="s">
        <v>583</v>
      </c>
      <c r="I38" s="159" t="s">
        <v>585</v>
      </c>
      <c r="J38" s="159" t="s">
        <v>608</v>
      </c>
      <c r="K38" s="159" t="s">
        <v>609</v>
      </c>
      <c r="L38" s="159" t="s">
        <v>524</v>
      </c>
      <c r="M38" s="159"/>
      <c r="N38" s="159"/>
      <c r="O38" s="159" t="s">
        <v>638</v>
      </c>
      <c r="P38" s="159" t="s">
        <v>639</v>
      </c>
      <c r="Q38" s="159"/>
      <c r="R38" s="159"/>
      <c r="S38" s="159"/>
    </row>
    <row r="39" spans="1:26" x14ac:dyDescent="0.25">
      <c r="A39" s="57"/>
      <c r="B39" s="670"/>
      <c r="C39" s="157" t="s">
        <v>537</v>
      </c>
      <c r="D39" s="160">
        <v>6.5</v>
      </c>
      <c r="E39" s="160">
        <v>6.75</v>
      </c>
      <c r="F39" s="160">
        <v>6.75</v>
      </c>
      <c r="G39" s="160">
        <v>6.75</v>
      </c>
      <c r="H39" s="160">
        <v>7</v>
      </c>
      <c r="I39" s="160">
        <v>7</v>
      </c>
      <c r="J39" s="160">
        <v>7</v>
      </c>
      <c r="K39" s="160">
        <v>7</v>
      </c>
      <c r="L39" s="160">
        <v>7</v>
      </c>
      <c r="M39" s="160"/>
      <c r="N39" s="160"/>
      <c r="O39" s="160">
        <v>7</v>
      </c>
      <c r="P39" s="160">
        <v>7</v>
      </c>
      <c r="Q39" s="160"/>
      <c r="R39" s="160"/>
      <c r="S39" s="160"/>
    </row>
    <row r="40" spans="1:26" x14ac:dyDescent="0.25">
      <c r="B40" s="670"/>
      <c r="C40" s="157" t="s">
        <v>538</v>
      </c>
      <c r="D40" s="160">
        <v>6.25</v>
      </c>
      <c r="E40" s="160">
        <v>6.25</v>
      </c>
      <c r="F40" s="160">
        <v>6.5</v>
      </c>
      <c r="G40" s="160">
        <v>6.25</v>
      </c>
      <c r="H40" s="160">
        <v>6.25</v>
      </c>
      <c r="I40" s="160">
        <v>6.25</v>
      </c>
      <c r="J40" s="160">
        <v>6</v>
      </c>
      <c r="K40" s="160">
        <v>6.25</v>
      </c>
      <c r="L40" s="160">
        <v>6.25</v>
      </c>
      <c r="M40" s="160"/>
      <c r="N40" s="160"/>
      <c r="O40" s="160">
        <v>6</v>
      </c>
      <c r="P40" s="160">
        <v>6</v>
      </c>
      <c r="Q40" s="160"/>
      <c r="R40" s="160"/>
      <c r="S40" s="160"/>
    </row>
    <row r="41" spans="1:26" x14ac:dyDescent="0.25">
      <c r="B41" s="670"/>
      <c r="C41" s="157" t="s">
        <v>539</v>
      </c>
      <c r="D41" s="160">
        <v>4.5</v>
      </c>
      <c r="E41" s="160">
        <v>4.5</v>
      </c>
      <c r="F41" s="160">
        <v>4.75</v>
      </c>
      <c r="G41" s="160">
        <v>4.75</v>
      </c>
      <c r="H41" s="160">
        <v>4.75</v>
      </c>
      <c r="I41" s="160">
        <v>5</v>
      </c>
      <c r="J41" s="160">
        <v>5</v>
      </c>
      <c r="K41" s="160">
        <v>5</v>
      </c>
      <c r="L41" s="160">
        <v>4.75</v>
      </c>
      <c r="M41" s="160"/>
      <c r="N41" s="160"/>
      <c r="O41" s="160">
        <v>4.75</v>
      </c>
      <c r="P41" s="160">
        <v>4.75</v>
      </c>
      <c r="Q41" s="160"/>
      <c r="R41" s="160"/>
      <c r="S41" s="160"/>
    </row>
    <row r="42" spans="1:26" ht="15" customHeight="1" x14ac:dyDescent="0.25">
      <c r="C42" s="153" t="s">
        <v>383</v>
      </c>
      <c r="D42" s="261">
        <f>D34/D35</f>
        <v>9.354534092487155</v>
      </c>
      <c r="E42" s="261">
        <f>E34/E35</f>
        <v>9.702402444104985</v>
      </c>
      <c r="F42" s="261">
        <f t="shared" ref="F42:S42" si="20">F34/F35</f>
        <v>10.114984029995833</v>
      </c>
      <c r="G42" s="261">
        <f t="shared" si="20"/>
        <v>10.248128487818157</v>
      </c>
      <c r="H42" s="261">
        <f t="shared" si="20"/>
        <v>10.051234649412386</v>
      </c>
      <c r="I42" s="261">
        <f t="shared" si="20"/>
        <v>9.4662241311987501</v>
      </c>
      <c r="J42" s="261">
        <f t="shared" si="20"/>
        <v>9.2601848236365996</v>
      </c>
      <c r="K42" s="261">
        <f t="shared" si="20"/>
        <v>9.4406757634827816</v>
      </c>
      <c r="L42" s="261">
        <f t="shared" si="20"/>
        <v>9.5421686746987948</v>
      </c>
      <c r="M42" s="261" t="e">
        <f t="shared" si="20"/>
        <v>#DIV/0!</v>
      </c>
      <c r="N42" s="261" t="e">
        <f t="shared" si="20"/>
        <v>#DIV/0!</v>
      </c>
      <c r="O42" s="261">
        <f t="shared" si="20"/>
        <v>9.3819552470982401</v>
      </c>
      <c r="P42" s="261">
        <f t="shared" si="20"/>
        <v>9.7022572554639908</v>
      </c>
      <c r="Q42" s="261" t="e">
        <f t="shared" si="20"/>
        <v>#DIV/0!</v>
      </c>
      <c r="R42" s="261" t="e">
        <f t="shared" si="20"/>
        <v>#DIV/0!</v>
      </c>
      <c r="S42" s="261" t="e">
        <f t="shared" si="20"/>
        <v>#DIV/0!</v>
      </c>
    </row>
    <row r="43" spans="1:26" ht="15" customHeight="1" x14ac:dyDescent="0.25">
      <c r="D43" s="9"/>
      <c r="E43" s="407"/>
      <c r="G43" s="661"/>
      <c r="H43" s="661"/>
      <c r="I43" s="661"/>
      <c r="J43" s="661"/>
    </row>
    <row r="44" spans="1:26" x14ac:dyDescent="0.25">
      <c r="C44" s="4" t="s">
        <v>416</v>
      </c>
      <c r="D44" s="9">
        <v>85845</v>
      </c>
      <c r="E44" s="303">
        <v>92875</v>
      </c>
      <c r="F44" s="221">
        <v>97870</v>
      </c>
      <c r="G44" s="408">
        <v>101200</v>
      </c>
      <c r="H44" s="408">
        <v>103420</v>
      </c>
      <c r="I44" s="408">
        <v>104900</v>
      </c>
      <c r="J44" s="408">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41"/>
      <c r="F46" s="341"/>
      <c r="G46" s="341"/>
      <c r="H46" s="341"/>
      <c r="I46" s="341"/>
      <c r="J46" s="341"/>
      <c r="K46" s="341"/>
      <c r="L46" s="341"/>
      <c r="M46" s="341"/>
      <c r="N46" s="341"/>
      <c r="O46" s="341"/>
      <c r="P46" s="341"/>
    </row>
    <row r="47" spans="1:26" x14ac:dyDescent="0.25">
      <c r="D47" s="329"/>
      <c r="G47" s="52"/>
      <c r="H47" s="52"/>
      <c r="I47" s="52"/>
      <c r="J47" s="52"/>
      <c r="K47" s="52"/>
      <c r="L47" s="52"/>
      <c r="M47" s="52"/>
      <c r="N47" s="52"/>
      <c r="O47" s="52"/>
      <c r="P47" s="52"/>
      <c r="Q47" s="52"/>
      <c r="R47" s="52"/>
      <c r="S47" s="52"/>
    </row>
    <row r="48" spans="1:26" x14ac:dyDescent="0.25">
      <c r="G48" s="669"/>
      <c r="H48" s="669"/>
      <c r="I48" s="669"/>
      <c r="J48" s="669"/>
      <c r="M48" s="334"/>
    </row>
    <row r="49" spans="5:16" x14ac:dyDescent="0.25">
      <c r="E49" s="102"/>
      <c r="G49" s="408"/>
      <c r="H49" s="408"/>
      <c r="I49" s="408"/>
      <c r="J49" s="408"/>
    </row>
    <row r="50" spans="5:16" x14ac:dyDescent="0.25">
      <c r="G50" s="669"/>
      <c r="H50" s="669"/>
      <c r="I50" s="669"/>
      <c r="J50" s="669"/>
      <c r="P50" s="334"/>
    </row>
    <row r="51" spans="5:16" ht="15" customHeight="1" x14ac:dyDescent="0.25">
      <c r="G51" s="669"/>
      <c r="H51" s="669"/>
      <c r="I51" s="669"/>
      <c r="J51" s="101"/>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71" t="s">
        <v>525</v>
      </c>
      <c r="C2" s="672"/>
      <c r="D2" s="672"/>
      <c r="E2" s="672"/>
      <c r="F2" s="672"/>
      <c r="G2" s="673"/>
      <c r="I2" s="674" t="s">
        <v>526</v>
      </c>
      <c r="J2" s="675"/>
      <c r="K2" s="675"/>
      <c r="L2" s="675"/>
      <c r="M2" s="675"/>
      <c r="N2" s="675"/>
      <c r="O2" s="675"/>
      <c r="P2" s="675"/>
      <c r="Q2" s="675"/>
      <c r="R2" s="675"/>
      <c r="S2" s="676"/>
    </row>
    <row r="3" spans="2:19" x14ac:dyDescent="0.25">
      <c r="B3" s="677" t="s">
        <v>101</v>
      </c>
      <c r="C3" s="678"/>
      <c r="D3" s="678"/>
      <c r="E3" s="678"/>
      <c r="F3" s="678"/>
      <c r="G3" s="679"/>
      <c r="I3" s="103" t="s">
        <v>102</v>
      </c>
      <c r="J3" s="48" t="s">
        <v>100</v>
      </c>
      <c r="K3" s="48" t="s">
        <v>88</v>
      </c>
      <c r="L3" s="48" t="s">
        <v>103</v>
      </c>
      <c r="M3" s="48" t="s">
        <v>104</v>
      </c>
      <c r="N3" s="48" t="s">
        <v>105</v>
      </c>
      <c r="O3" s="48" t="s">
        <v>106</v>
      </c>
      <c r="P3" s="48" t="s">
        <v>107</v>
      </c>
      <c r="Q3" s="410" t="s">
        <v>108</v>
      </c>
      <c r="R3" s="104" t="s">
        <v>109</v>
      </c>
      <c r="S3" s="104" t="s">
        <v>110</v>
      </c>
    </row>
    <row r="4" spans="2:19" ht="18.75" x14ac:dyDescent="0.3">
      <c r="B4" s="680" t="s">
        <v>111</v>
      </c>
      <c r="C4" s="681"/>
      <c r="D4" s="105"/>
      <c r="E4" s="682" t="s">
        <v>112</v>
      </c>
      <c r="F4" s="683"/>
      <c r="G4" s="105"/>
      <c r="I4" s="345" t="s">
        <v>113</v>
      </c>
      <c r="J4" s="346" t="s">
        <v>456</v>
      </c>
      <c r="K4" s="345">
        <f>1052640+300</f>
        <v>1052940</v>
      </c>
      <c r="L4" s="345">
        <v>0</v>
      </c>
      <c r="M4" s="345">
        <v>0</v>
      </c>
      <c r="N4" s="345">
        <v>0</v>
      </c>
      <c r="O4" s="347">
        <v>-1052940</v>
      </c>
      <c r="P4" s="347">
        <v>0</v>
      </c>
      <c r="Q4" s="348"/>
      <c r="R4" s="349"/>
      <c r="S4" s="349">
        <v>42305</v>
      </c>
    </row>
    <row r="5" spans="2:19" x14ac:dyDescent="0.25">
      <c r="B5" s="109"/>
      <c r="C5" s="110"/>
      <c r="D5" s="184"/>
      <c r="E5" s="109"/>
      <c r="F5" s="110"/>
      <c r="G5" s="111"/>
      <c r="I5" s="345" t="s">
        <v>420</v>
      </c>
      <c r="J5" s="346" t="s">
        <v>579</v>
      </c>
      <c r="K5" s="345">
        <v>0</v>
      </c>
      <c r="L5" s="345">
        <v>0</v>
      </c>
      <c r="M5" s="345">
        <v>500000</v>
      </c>
      <c r="N5" s="345">
        <f>M5*0.05</f>
        <v>25000</v>
      </c>
      <c r="O5" s="347">
        <f t="shared" ref="O5" si="0">IF(M5=0,0,M5-K5)-N5</f>
        <v>475000</v>
      </c>
      <c r="P5" s="347">
        <f t="shared" ref="P5" si="1">IF(M5=0,K5,0)</f>
        <v>0</v>
      </c>
      <c r="Q5" s="348"/>
      <c r="R5" s="349"/>
      <c r="S5" s="349">
        <v>42322</v>
      </c>
    </row>
    <row r="6" spans="2:19" x14ac:dyDescent="0.25">
      <c r="B6" s="112" t="s">
        <v>114</v>
      </c>
      <c r="C6" s="113" t="e">
        <f>SUM(C7:C9)</f>
        <v>#REF!</v>
      </c>
      <c r="D6" s="133" t="e">
        <f>C6/C30</f>
        <v>#REF!</v>
      </c>
      <c r="E6" s="112" t="s">
        <v>115</v>
      </c>
      <c r="F6" s="113" t="e">
        <f>F7+F8+F9</f>
        <v>#REF!</v>
      </c>
      <c r="G6" s="114" t="e">
        <f>F6/$F$30</f>
        <v>#REF!</v>
      </c>
      <c r="I6" s="345" t="s">
        <v>420</v>
      </c>
      <c r="J6" s="346" t="s">
        <v>461</v>
      </c>
      <c r="K6" s="345">
        <v>0</v>
      </c>
      <c r="L6" s="345">
        <v>0</v>
      </c>
      <c r="M6" s="345">
        <v>1000</v>
      </c>
      <c r="N6" s="345">
        <f>M6*0.05</f>
        <v>50</v>
      </c>
      <c r="O6" s="347">
        <f t="shared" ref="O6" si="2">IF(M6=0,0,M6-K6)-N6</f>
        <v>950</v>
      </c>
      <c r="P6" s="347">
        <f t="shared" ref="P6" si="3">IF(M6=0,K6,0)</f>
        <v>0</v>
      </c>
      <c r="Q6" s="348"/>
      <c r="R6" s="349"/>
      <c r="S6" s="349">
        <v>42330</v>
      </c>
    </row>
    <row r="7" spans="2:19" x14ac:dyDescent="0.25">
      <c r="B7" s="115" t="s">
        <v>84</v>
      </c>
      <c r="C7" s="116" t="e">
        <f>#REF!+EconomiaT48!C16</f>
        <v>#REF!</v>
      </c>
      <c r="D7" s="185" t="e">
        <f>C7/C30</f>
        <v>#REF!</v>
      </c>
      <c r="E7" s="186" t="s">
        <v>116</v>
      </c>
      <c r="F7" s="187">
        <v>300000</v>
      </c>
      <c r="G7" s="117" t="e">
        <f>F7/$F$30</f>
        <v>#REF!</v>
      </c>
      <c r="I7" s="345" t="s">
        <v>420</v>
      </c>
      <c r="J7" s="346" t="s">
        <v>640</v>
      </c>
      <c r="K7" s="345">
        <v>0</v>
      </c>
      <c r="L7" s="345">
        <v>0</v>
      </c>
      <c r="M7" s="345">
        <v>1000</v>
      </c>
      <c r="N7" s="345">
        <f>M7*0.05</f>
        <v>50</v>
      </c>
      <c r="O7" s="347">
        <f t="shared" ref="O7" si="4">IF(M7=0,0,M7-K7)-N7</f>
        <v>950</v>
      </c>
      <c r="P7" s="347">
        <f t="shared" ref="P7" si="5">IF(M7=0,K7,0)</f>
        <v>0</v>
      </c>
      <c r="Q7" s="348"/>
      <c r="R7" s="349"/>
      <c r="S7" s="349">
        <v>42404</v>
      </c>
    </row>
    <row r="8" spans="2:19" x14ac:dyDescent="0.25">
      <c r="B8" s="115" t="s">
        <v>67</v>
      </c>
      <c r="C8" s="116" t="e">
        <f>#REF!+EconomiaT48!C20</f>
        <v>#REF!</v>
      </c>
      <c r="D8" s="185" t="e">
        <f>C8/C30</f>
        <v>#REF!</v>
      </c>
      <c r="E8" s="186" t="s">
        <v>238</v>
      </c>
      <c r="F8" s="187" t="e">
        <f>#REF!+#REF!</f>
        <v>#REF!</v>
      </c>
      <c r="G8" s="117" t="e">
        <f>F8/$F$30</f>
        <v>#REF!</v>
      </c>
      <c r="I8" s="413"/>
      <c r="J8" s="413"/>
      <c r="K8" s="413"/>
      <c r="L8" s="413"/>
      <c r="M8" s="413"/>
      <c r="N8" s="413"/>
      <c r="O8" s="413"/>
      <c r="P8" s="413"/>
      <c r="Q8" s="413"/>
      <c r="R8" s="413"/>
      <c r="S8" s="413"/>
    </row>
    <row r="9" spans="2:19" x14ac:dyDescent="0.25">
      <c r="B9" s="118" t="s">
        <v>117</v>
      </c>
      <c r="C9" s="119">
        <v>-2068800</v>
      </c>
      <c r="D9" s="185" t="e">
        <f>C9/C30</f>
        <v>#REF!</v>
      </c>
      <c r="E9" s="186" t="s">
        <v>527</v>
      </c>
      <c r="F9" s="187" t="e">
        <f>#REF!-#REF!+#REF!</f>
        <v>#REF!</v>
      </c>
      <c r="G9" s="117" t="e">
        <f>F9/$F$30</f>
        <v>#REF!</v>
      </c>
      <c r="I9" s="413"/>
      <c r="J9" s="413"/>
      <c r="K9" s="413"/>
      <c r="L9" s="413"/>
      <c r="M9" s="413"/>
      <c r="N9" s="413"/>
      <c r="O9" s="413"/>
      <c r="P9" s="413"/>
      <c r="Q9" s="413"/>
      <c r="R9" s="413"/>
      <c r="S9" s="413"/>
    </row>
    <row r="10" spans="2:19" x14ac:dyDescent="0.25">
      <c r="B10" s="120"/>
      <c r="C10" s="121"/>
      <c r="D10" s="133"/>
      <c r="E10" s="188"/>
      <c r="F10" s="121"/>
      <c r="G10" s="114"/>
      <c r="I10" s="413"/>
      <c r="J10" s="413"/>
      <c r="K10" s="413"/>
      <c r="L10" s="413"/>
      <c r="M10" s="413"/>
      <c r="N10" s="413"/>
      <c r="O10" s="413"/>
      <c r="P10" s="413"/>
      <c r="Q10" s="413"/>
      <c r="R10" s="413"/>
      <c r="S10" s="413"/>
    </row>
    <row r="11" spans="2:19" x14ac:dyDescent="0.25">
      <c r="B11" s="112" t="s">
        <v>100</v>
      </c>
      <c r="C11" s="113">
        <f>SUM(C12:C15)</f>
        <v>0</v>
      </c>
      <c r="D11" s="133" t="e">
        <f>C11/C30</f>
        <v>#REF!</v>
      </c>
      <c r="E11" s="112" t="s">
        <v>528</v>
      </c>
      <c r="F11" s="113">
        <f>SUM(F12:F17)+C9</f>
        <v>2458112</v>
      </c>
      <c r="G11" s="114" t="e">
        <f t="shared" ref="G11:G17" si="6">F11/$F$30</f>
        <v>#REF!</v>
      </c>
      <c r="I11" s="413"/>
      <c r="J11" s="413"/>
      <c r="K11" s="413"/>
      <c r="L11" s="413"/>
      <c r="M11" s="413"/>
      <c r="N11" s="413"/>
      <c r="O11" s="413"/>
      <c r="P11" s="413"/>
      <c r="Q11" s="413"/>
      <c r="R11" s="413"/>
      <c r="S11" s="413"/>
    </row>
    <row r="12" spans="2:19" x14ac:dyDescent="0.25">
      <c r="B12" s="122" t="s">
        <v>118</v>
      </c>
      <c r="C12" s="123">
        <f>SUMIF(I4:I516,"S",$P$4:$P$516)</f>
        <v>0</v>
      </c>
      <c r="D12" s="185" t="e">
        <f>C12/C30</f>
        <v>#REF!</v>
      </c>
      <c r="E12" s="49" t="s">
        <v>119</v>
      </c>
      <c r="F12" s="124">
        <f>SUMIF(I4:I516,"J",$O$4:$O$516)</f>
        <v>-1052940</v>
      </c>
      <c r="G12" s="117" t="e">
        <f t="shared" si="6"/>
        <v>#REF!</v>
      </c>
      <c r="I12" s="413"/>
      <c r="J12" s="413"/>
      <c r="K12" s="413"/>
      <c r="L12" s="413"/>
      <c r="M12" s="413"/>
      <c r="N12" s="413"/>
      <c r="O12" s="413"/>
      <c r="P12" s="413"/>
      <c r="Q12" s="413"/>
      <c r="R12" s="413"/>
      <c r="S12" s="413"/>
    </row>
    <row r="13" spans="2:19" x14ac:dyDescent="0.25">
      <c r="B13" s="122" t="s">
        <v>100</v>
      </c>
      <c r="C13" s="123">
        <f>SUMIF(I4:I516,"J",$P$4:$P$516)</f>
        <v>0</v>
      </c>
      <c r="D13" s="185" t="e">
        <f>C13/C30</f>
        <v>#REF!</v>
      </c>
      <c r="E13" s="49" t="s">
        <v>120</v>
      </c>
      <c r="F13" s="124">
        <f>SUMIF(I4:I516,"S",$O$4:$O$516)</f>
        <v>0</v>
      </c>
      <c r="G13" s="117" t="e">
        <f t="shared" si="6"/>
        <v>#REF!</v>
      </c>
      <c r="I13" s="413"/>
      <c r="J13" s="413"/>
      <c r="K13" s="413"/>
      <c r="L13" s="413"/>
      <c r="M13" s="413"/>
      <c r="N13" s="413"/>
      <c r="O13" s="413"/>
      <c r="P13" s="413"/>
      <c r="Q13" s="413"/>
      <c r="R13" s="413"/>
      <c r="S13" s="413"/>
    </row>
    <row r="14" spans="2:19" x14ac:dyDescent="0.25">
      <c r="B14" s="122" t="s">
        <v>99</v>
      </c>
      <c r="C14" s="123">
        <f>SUMIF(I4:I516,"E",$P$4:$P$516)</f>
        <v>0</v>
      </c>
      <c r="D14" s="185" t="e">
        <f>C14/C30</f>
        <v>#REF!</v>
      </c>
      <c r="E14" s="49" t="s">
        <v>121</v>
      </c>
      <c r="F14" s="124">
        <f>SUMIF(I4:I516,"C",$O$4:$O$516)</f>
        <v>476900</v>
      </c>
      <c r="G14" s="117" t="e">
        <f t="shared" si="6"/>
        <v>#REF!</v>
      </c>
      <c r="I14" s="413"/>
      <c r="J14" s="413"/>
      <c r="K14" s="413"/>
      <c r="L14" s="413"/>
      <c r="M14" s="413"/>
      <c r="N14" s="413"/>
      <c r="O14" s="413"/>
      <c r="P14" s="413"/>
      <c r="Q14" s="413"/>
      <c r="R14" s="413"/>
      <c r="S14" s="413"/>
    </row>
    <row r="15" spans="2:19" x14ac:dyDescent="0.25">
      <c r="B15" s="122" t="s">
        <v>122</v>
      </c>
      <c r="C15" s="123">
        <f>SUMIF(I4:I516,"M",$P$4:$P$516)</f>
        <v>0</v>
      </c>
      <c r="D15" s="185" t="e">
        <f>C15/C30</f>
        <v>#REF!</v>
      </c>
      <c r="E15" s="49" t="s">
        <v>123</v>
      </c>
      <c r="F15" s="124">
        <f>SUMIF(I4:I516,"E",$O$4:$O$516)</f>
        <v>0</v>
      </c>
      <c r="G15" s="117" t="e">
        <f t="shared" si="6"/>
        <v>#REF!</v>
      </c>
      <c r="I15" s="413"/>
      <c r="J15" s="413"/>
      <c r="K15" s="413"/>
      <c r="L15" s="413"/>
      <c r="M15" s="413"/>
      <c r="N15" s="413"/>
      <c r="O15" s="413"/>
      <c r="P15" s="413"/>
      <c r="Q15" s="413"/>
      <c r="R15" s="413"/>
      <c r="S15" s="413"/>
    </row>
    <row r="16" spans="2:19" x14ac:dyDescent="0.25">
      <c r="B16" s="125"/>
      <c r="C16" s="126"/>
      <c r="D16" s="133"/>
      <c r="E16" s="49" t="s">
        <v>124</v>
      </c>
      <c r="F16" s="124">
        <f>SUMIF(I4:I516,"M",$O$4:$O$516)</f>
        <v>0</v>
      </c>
      <c r="G16" s="117" t="e">
        <f t="shared" si="6"/>
        <v>#REF!</v>
      </c>
      <c r="I16" s="413"/>
      <c r="J16" s="413"/>
      <c r="K16" s="413"/>
      <c r="L16" s="413"/>
      <c r="M16" s="413"/>
      <c r="N16" s="413"/>
      <c r="O16" s="413"/>
      <c r="P16" s="413"/>
      <c r="Q16" s="413"/>
      <c r="R16" s="413"/>
      <c r="S16" s="413"/>
    </row>
    <row r="17" spans="2:11" x14ac:dyDescent="0.25">
      <c r="B17" s="112" t="s">
        <v>74</v>
      </c>
      <c r="C17" s="127">
        <f>C18+C19</f>
        <v>476900</v>
      </c>
      <c r="D17" s="133" t="e">
        <f>C17/C30</f>
        <v>#REF!</v>
      </c>
      <c r="E17" s="128" t="s">
        <v>529</v>
      </c>
      <c r="F17" s="129">
        <f>C23-F23+EconomiaT48!C20</f>
        <v>5102952</v>
      </c>
      <c r="G17" s="117" t="e">
        <f t="shared" si="6"/>
        <v>#REF!</v>
      </c>
      <c r="K17" s="102"/>
    </row>
    <row r="18" spans="2:11" x14ac:dyDescent="0.25">
      <c r="B18" s="122" t="s">
        <v>74</v>
      </c>
      <c r="C18" s="123">
        <f>SUM(M4:M516)</f>
        <v>502000</v>
      </c>
      <c r="D18" s="185" t="e">
        <f>C18/C30</f>
        <v>#REF!</v>
      </c>
      <c r="E18" s="120"/>
      <c r="F18" s="121"/>
      <c r="G18" s="130"/>
    </row>
    <row r="19" spans="2:11" x14ac:dyDescent="0.25">
      <c r="B19" s="118" t="s">
        <v>76</v>
      </c>
      <c r="C19" s="119">
        <f>SUM(N4:N516)*-1</f>
        <v>-25100</v>
      </c>
      <c r="D19" s="185" t="e">
        <f>C19/C30</f>
        <v>#REF!</v>
      </c>
      <c r="E19" s="112" t="s">
        <v>125</v>
      </c>
      <c r="F19" s="127">
        <f>F20+F21</f>
        <v>0</v>
      </c>
      <c r="G19" s="114" t="e">
        <f>F19/$F$30</f>
        <v>#REF!</v>
      </c>
    </row>
    <row r="20" spans="2:11" x14ac:dyDescent="0.25">
      <c r="B20" s="125"/>
      <c r="C20" s="126"/>
      <c r="D20" s="185"/>
      <c r="E20" s="189" t="s">
        <v>88</v>
      </c>
      <c r="F20" s="190">
        <f>EconomiaT48!C19</f>
        <v>0</v>
      </c>
      <c r="G20" s="117" t="e">
        <f>F20/$F$30</f>
        <v>#REF!</v>
      </c>
    </row>
    <row r="21" spans="2:11" x14ac:dyDescent="0.25">
      <c r="B21" s="112" t="s">
        <v>530</v>
      </c>
      <c r="C21" s="113">
        <f>EconomiaT48!C5</f>
        <v>4500000</v>
      </c>
      <c r="D21" s="133" t="e">
        <f>C21/C30</f>
        <v>#REF!</v>
      </c>
      <c r="E21" s="118" t="s">
        <v>126</v>
      </c>
      <c r="F21" s="191">
        <f>SUM(L4:L516)*-1</f>
        <v>0</v>
      </c>
      <c r="G21" s="117" t="e">
        <f>F21/$F$30</f>
        <v>#REF!</v>
      </c>
    </row>
    <row r="22" spans="2:11" x14ac:dyDescent="0.25">
      <c r="B22" s="112"/>
      <c r="C22" s="113"/>
      <c r="D22" s="133"/>
      <c r="E22" s="125"/>
      <c r="F22" s="411"/>
      <c r="G22" s="412"/>
    </row>
    <row r="23" spans="2:11" x14ac:dyDescent="0.25">
      <c r="B23" s="112" t="s">
        <v>127</v>
      </c>
      <c r="C23" s="113">
        <f>SUM(C24:C28)</f>
        <v>6739325</v>
      </c>
      <c r="D23" s="133" t="e">
        <f>C23/C30</f>
        <v>#REF!</v>
      </c>
      <c r="E23" s="112" t="s">
        <v>240</v>
      </c>
      <c r="F23" s="113">
        <f>SUM(F24:F29)</f>
        <v>3696173</v>
      </c>
      <c r="G23" s="114" t="e">
        <f t="shared" ref="G23:G29" si="7">F23/$F$30</f>
        <v>#REF!</v>
      </c>
    </row>
    <row r="24" spans="2:11" x14ac:dyDescent="0.25">
      <c r="B24" s="131" t="s">
        <v>69</v>
      </c>
      <c r="C24" s="132">
        <f>EconomiaT48!C11</f>
        <v>84270</v>
      </c>
      <c r="D24" s="185" t="e">
        <f>C24/C30</f>
        <v>#REF!</v>
      </c>
      <c r="E24" s="189" t="s">
        <v>128</v>
      </c>
      <c r="F24" s="192">
        <f>EconomiaT48!C14</f>
        <v>1266317</v>
      </c>
      <c r="G24" s="117" t="e">
        <f t="shared" si="7"/>
        <v>#REF!</v>
      </c>
    </row>
    <row r="25" spans="2:11" x14ac:dyDescent="0.25">
      <c r="B25" s="131" t="s">
        <v>79</v>
      </c>
      <c r="C25" s="132">
        <f>EconomiaT48!C12</f>
        <v>0</v>
      </c>
      <c r="D25" s="185" t="e">
        <f>C25/C30</f>
        <v>#REF!</v>
      </c>
      <c r="E25" s="189" t="s">
        <v>82</v>
      </c>
      <c r="F25" s="192">
        <f>EconomiaT48!C15</f>
        <v>572416</v>
      </c>
      <c r="G25" s="117" t="e">
        <f t="shared" si="7"/>
        <v>#REF!</v>
      </c>
    </row>
    <row r="26" spans="2:11" x14ac:dyDescent="0.25">
      <c r="B26" s="131" t="s">
        <v>71</v>
      </c>
      <c r="C26" s="132">
        <f>EconomiaT48!C6</f>
        <v>3813690</v>
      </c>
      <c r="D26" s="185" t="e">
        <f>C26/C30</f>
        <v>#REF!</v>
      </c>
      <c r="E26" s="189" t="s">
        <v>85</v>
      </c>
      <c r="F26" s="192">
        <f>EconomiaT48!C17</f>
        <v>1482240</v>
      </c>
      <c r="G26" s="117" t="e">
        <f t="shared" si="7"/>
        <v>#REF!</v>
      </c>
    </row>
    <row r="27" spans="2:11" x14ac:dyDescent="0.25">
      <c r="B27" s="131" t="s">
        <v>72</v>
      </c>
      <c r="C27" s="132">
        <f>EconomiaT48!C7</f>
        <v>2830725</v>
      </c>
      <c r="D27" s="185" t="e">
        <f>C27/C30</f>
        <v>#REF!</v>
      </c>
      <c r="E27" s="189" t="s">
        <v>86</v>
      </c>
      <c r="F27" s="192">
        <f>EconomiaT48!C18</f>
        <v>320000</v>
      </c>
      <c r="G27" s="117" t="e">
        <f t="shared" si="7"/>
        <v>#REF!</v>
      </c>
    </row>
    <row r="28" spans="2:11" x14ac:dyDescent="0.25">
      <c r="B28" s="131" t="s">
        <v>76</v>
      </c>
      <c r="C28" s="132">
        <f>EconomiaT48!C10</f>
        <v>10640</v>
      </c>
      <c r="D28" s="185" t="e">
        <f>C28/C30</f>
        <v>#REF!</v>
      </c>
      <c r="E28" s="189" t="s">
        <v>89</v>
      </c>
      <c r="F28" s="192">
        <f>EconomiaT48!C21</f>
        <v>55200</v>
      </c>
      <c r="G28" s="117" t="e">
        <f t="shared" si="7"/>
        <v>#REF!</v>
      </c>
    </row>
    <row r="29" spans="2:11" x14ac:dyDescent="0.25">
      <c r="B29" s="112"/>
      <c r="C29" s="113"/>
      <c r="D29" s="133"/>
      <c r="E29" s="414" t="s">
        <v>90</v>
      </c>
      <c r="F29" s="415">
        <f>EconomiaT48!C22</f>
        <v>0</v>
      </c>
      <c r="G29" s="416" t="e">
        <f t="shared" si="7"/>
        <v>#REF!</v>
      </c>
    </row>
    <row r="30" spans="2:11" ht="18.75" x14ac:dyDescent="0.3">
      <c r="B30" s="135" t="s">
        <v>27</v>
      </c>
      <c r="C30" s="136" t="e">
        <f>C23+C21+C17+C11+C6</f>
        <v>#REF!</v>
      </c>
      <c r="D30" s="417" t="e">
        <f>C30/C30</f>
        <v>#REF!</v>
      </c>
      <c r="E30" s="135" t="s">
        <v>27</v>
      </c>
      <c r="F30" s="136" t="e">
        <f>F23+F19+F11+F6</f>
        <v>#REF!</v>
      </c>
      <c r="G30" s="134" t="e">
        <f>F30/$F$30</f>
        <v>#REF!</v>
      </c>
      <c r="J30" s="102"/>
    </row>
    <row r="31" spans="2:11" x14ac:dyDescent="0.25">
      <c r="C31" s="102"/>
      <c r="D31" s="418"/>
      <c r="E31" s="419" t="s">
        <v>491</v>
      </c>
      <c r="F31" s="420" t="e">
        <f>F30-C30</f>
        <v>#REF!</v>
      </c>
      <c r="G31" s="102"/>
    </row>
    <row r="32" spans="2:11" x14ac:dyDescent="0.25">
      <c r="C32" s="102"/>
      <c r="D32" s="102"/>
      <c r="F32" s="102"/>
      <c r="G32" s="102"/>
      <c r="H32" s="102"/>
    </row>
    <row r="33" spans="2:7" ht="15.75" x14ac:dyDescent="0.25">
      <c r="B33" s="421" t="s">
        <v>531</v>
      </c>
      <c r="C33" s="422">
        <f>EconomiaT48!C24</f>
        <v>5960252</v>
      </c>
      <c r="D33" s="102"/>
      <c r="E33" s="4" t="s">
        <v>532</v>
      </c>
      <c r="F33" s="98">
        <f>C23-F23</f>
        <v>3043152</v>
      </c>
      <c r="G33" s="98"/>
    </row>
    <row r="34" spans="2:7" x14ac:dyDescent="0.25">
      <c r="C34" s="98">
        <f>C33-C21</f>
        <v>1460252</v>
      </c>
      <c r="D34" s="102"/>
      <c r="F34" s="102"/>
      <c r="G34" s="102"/>
    </row>
    <row r="35" spans="2:7" x14ac:dyDescent="0.25">
      <c r="C35" s="102"/>
      <c r="D35" s="102"/>
      <c r="F35" s="102"/>
      <c r="G35" s="102"/>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0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EconomiaT48!S25</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25" customFormat="1" x14ac:dyDescent="0.25">
      <c r="A3" s="299"/>
      <c r="B3" s="299"/>
      <c r="C3" s="299" t="s">
        <v>504</v>
      </c>
      <c r="D3" s="323" t="s">
        <v>28</v>
      </c>
      <c r="E3" s="323" t="s">
        <v>29</v>
      </c>
      <c r="F3" s="323" t="s">
        <v>30</v>
      </c>
      <c r="G3" s="323" t="s">
        <v>31</v>
      </c>
      <c r="H3" s="323" t="s">
        <v>32</v>
      </c>
      <c r="I3" s="323" t="s">
        <v>33</v>
      </c>
      <c r="J3" s="323" t="s">
        <v>34</v>
      </c>
      <c r="K3" s="323" t="s">
        <v>35</v>
      </c>
      <c r="L3" s="323" t="s">
        <v>36</v>
      </c>
      <c r="M3" s="323" t="s">
        <v>37</v>
      </c>
      <c r="N3" s="323" t="s">
        <v>38</v>
      </c>
      <c r="O3" s="323" t="s">
        <v>39</v>
      </c>
      <c r="P3" s="323" t="s">
        <v>40</v>
      </c>
      <c r="Q3" s="323" t="s">
        <v>41</v>
      </c>
      <c r="R3" s="323" t="s">
        <v>42</v>
      </c>
      <c r="S3" s="324" t="s">
        <v>43</v>
      </c>
    </row>
    <row r="4" spans="1:26" s="58" customFormat="1" x14ac:dyDescent="0.25">
      <c r="A4" s="57"/>
      <c r="B4" s="59"/>
      <c r="C4" s="59" t="s">
        <v>69</v>
      </c>
      <c r="D4" s="60">
        <v>2688</v>
      </c>
      <c r="E4" s="60">
        <f t="shared" ref="E4:S4" si="1">D4+(D11/30)</f>
        <v>2695</v>
      </c>
      <c r="F4" s="60">
        <f t="shared" si="1"/>
        <v>2705</v>
      </c>
      <c r="G4" s="60">
        <f t="shared" si="1"/>
        <v>2715</v>
      </c>
      <c r="H4" s="60">
        <f t="shared" si="1"/>
        <v>2724</v>
      </c>
      <c r="I4" s="60">
        <f t="shared" si="1"/>
        <v>2732</v>
      </c>
      <c r="J4" s="60">
        <v>2691</v>
      </c>
      <c r="K4" s="60">
        <f t="shared" si="1"/>
        <v>2691</v>
      </c>
      <c r="L4" s="60">
        <f t="shared" si="1"/>
        <v>2693</v>
      </c>
      <c r="M4" s="60">
        <f t="shared" si="1"/>
        <v>2697</v>
      </c>
      <c r="N4" s="60">
        <f t="shared" si="1"/>
        <v>2701</v>
      </c>
      <c r="O4" s="60">
        <f t="shared" si="1"/>
        <v>2709</v>
      </c>
      <c r="P4" s="60">
        <f t="shared" si="1"/>
        <v>2717</v>
      </c>
      <c r="Q4" s="60">
        <f t="shared" si="1"/>
        <v>2725</v>
      </c>
      <c r="R4" s="60">
        <f t="shared" si="1"/>
        <v>2727</v>
      </c>
      <c r="S4" s="195">
        <f t="shared" si="1"/>
        <v>2735</v>
      </c>
    </row>
    <row r="5" spans="1:26" s="65" customFormat="1" ht="18.75" x14ac:dyDescent="0.3">
      <c r="A5" s="61" t="s">
        <v>70</v>
      </c>
      <c r="B5" s="61"/>
      <c r="C5" s="62">
        <f>EconomiaT48!C24</f>
        <v>5960252</v>
      </c>
      <c r="D5" s="63">
        <f>C5</f>
        <v>5960252</v>
      </c>
      <c r="E5" s="63">
        <f t="shared" ref="E5:Q5" si="2">D24</f>
        <v>5945691</v>
      </c>
      <c r="F5" s="63">
        <f t="shared" si="2"/>
        <v>5933430</v>
      </c>
      <c r="G5" s="63">
        <f t="shared" si="2"/>
        <v>6555846</v>
      </c>
      <c r="H5" s="63">
        <f t="shared" si="2"/>
        <v>6759848</v>
      </c>
      <c r="I5" s="63">
        <f t="shared" si="2"/>
        <v>7063505</v>
      </c>
      <c r="J5" s="63">
        <f t="shared" si="2"/>
        <v>7369146</v>
      </c>
      <c r="K5" s="63">
        <f t="shared" si="2"/>
        <v>8406316</v>
      </c>
      <c r="L5" s="63">
        <f t="shared" si="2"/>
        <v>-2886284</v>
      </c>
      <c r="M5" s="63">
        <f t="shared" si="2"/>
        <v>-2938428</v>
      </c>
      <c r="N5" s="63">
        <f t="shared" si="2"/>
        <v>-3004760</v>
      </c>
      <c r="O5" s="63">
        <f t="shared" si="2"/>
        <v>-2459220</v>
      </c>
      <c r="P5" s="63">
        <f t="shared" si="2"/>
        <v>-2524014</v>
      </c>
      <c r="Q5" s="63">
        <f t="shared" si="2"/>
        <v>-1979543</v>
      </c>
      <c r="R5" s="63">
        <f>Q24</f>
        <v>-1816624</v>
      </c>
      <c r="S5" s="64">
        <f>R24</f>
        <v>-1341616</v>
      </c>
    </row>
    <row r="6" spans="1:26" x14ac:dyDescent="0.25">
      <c r="A6" s="66" t="s">
        <v>71</v>
      </c>
      <c r="B6" s="66" t="s">
        <v>71</v>
      </c>
      <c r="C6" s="67">
        <f t="shared" ref="C6:C23" si="3">SUM(D6:S6)</f>
        <v>5131192</v>
      </c>
      <c r="D6" s="68">
        <v>34650</v>
      </c>
      <c r="E6" s="68">
        <v>34650</v>
      </c>
      <c r="F6" s="68">
        <f>548210+105927</f>
        <v>654137</v>
      </c>
      <c r="G6" s="68">
        <v>176840</v>
      </c>
      <c r="H6" s="68">
        <f>495849+203995</f>
        <v>699844</v>
      </c>
      <c r="I6" s="68">
        <v>327517</v>
      </c>
      <c r="J6" s="68">
        <v>877381</v>
      </c>
      <c r="K6" s="68">
        <f>381818</f>
        <v>381818</v>
      </c>
      <c r="L6" s="68">
        <v>17243</v>
      </c>
      <c r="M6" s="406">
        <v>21921</v>
      </c>
      <c r="N6" s="406">
        <v>633023</v>
      </c>
      <c r="O6" s="406">
        <v>19414</v>
      </c>
      <c r="P6" s="406">
        <f>609647+15477</f>
        <v>625124</v>
      </c>
      <c r="Q6" s="406">
        <v>18667</v>
      </c>
      <c r="R6" s="406">
        <v>566916</v>
      </c>
      <c r="S6" s="69">
        <v>42047</v>
      </c>
      <c r="Y6" s="66" t="s">
        <v>71</v>
      </c>
      <c r="Z6" s="70">
        <f>C6/$C$13</f>
        <v>0.52962031535536958</v>
      </c>
    </row>
    <row r="7" spans="1:26" x14ac:dyDescent="0.25">
      <c r="A7" s="66" t="s">
        <v>72</v>
      </c>
      <c r="B7" s="66" t="s">
        <v>72</v>
      </c>
      <c r="C7" s="67">
        <f t="shared" si="3"/>
        <v>2970900</v>
      </c>
      <c r="D7" s="71">
        <v>134315</v>
      </c>
      <c r="E7" s="71">
        <v>159845</v>
      </c>
      <c r="F7" s="71">
        <v>175015</v>
      </c>
      <c r="G7" s="71">
        <v>183525</v>
      </c>
      <c r="H7" s="71">
        <f>188150</f>
        <v>188150</v>
      </c>
      <c r="I7" s="71">
        <v>190740</v>
      </c>
      <c r="J7" s="71">
        <v>192035</v>
      </c>
      <c r="K7" s="71">
        <v>192405</v>
      </c>
      <c r="L7" s="71">
        <v>192775</v>
      </c>
      <c r="M7" s="501">
        <v>193050</v>
      </c>
      <c r="N7" s="71">
        <v>193700</v>
      </c>
      <c r="O7" s="71">
        <v>194255</v>
      </c>
      <c r="P7" s="71">
        <v>194810</v>
      </c>
      <c r="Q7" s="71">
        <v>195180</v>
      </c>
      <c r="R7" s="71">
        <v>195365</v>
      </c>
      <c r="S7" s="69">
        <v>195735</v>
      </c>
      <c r="Y7" s="66" t="s">
        <v>72</v>
      </c>
      <c r="Z7" s="70">
        <f t="shared" ref="Z7:Z12" si="4">C7/$C$13</f>
        <v>0.30664395229982966</v>
      </c>
    </row>
    <row r="8" spans="1:26" x14ac:dyDescent="0.25">
      <c r="A8" s="66" t="s">
        <v>73</v>
      </c>
      <c r="B8" s="66" t="s">
        <v>74</v>
      </c>
      <c r="C8" s="67">
        <f t="shared" si="3"/>
        <v>0</v>
      </c>
      <c r="D8" s="68">
        <v>0</v>
      </c>
      <c r="E8" s="68">
        <v>0</v>
      </c>
      <c r="F8" s="68">
        <v>0</v>
      </c>
      <c r="G8" s="68">
        <v>0</v>
      </c>
      <c r="H8" s="68">
        <v>0</v>
      </c>
      <c r="I8" s="68">
        <v>0</v>
      </c>
      <c r="J8" s="68">
        <v>0</v>
      </c>
      <c r="K8" s="68">
        <v>0</v>
      </c>
      <c r="L8" s="68">
        <v>0</v>
      </c>
      <c r="M8" s="402">
        <v>0</v>
      </c>
      <c r="N8" s="68">
        <v>0</v>
      </c>
      <c r="O8" s="68">
        <v>0</v>
      </c>
      <c r="P8" s="68">
        <v>0</v>
      </c>
      <c r="Q8" s="68">
        <v>0</v>
      </c>
      <c r="R8" s="68">
        <v>0</v>
      </c>
      <c r="S8" s="69">
        <v>0</v>
      </c>
      <c r="Y8" s="66" t="s">
        <v>74</v>
      </c>
      <c r="Z8" s="70">
        <f t="shared" si="4"/>
        <v>0</v>
      </c>
    </row>
    <row r="9" spans="1:26" x14ac:dyDescent="0.25">
      <c r="A9" s="66"/>
      <c r="B9" s="66" t="s">
        <v>75</v>
      </c>
      <c r="C9" s="67">
        <f t="shared" si="3"/>
        <v>272556</v>
      </c>
      <c r="D9" s="68">
        <v>0</v>
      </c>
      <c r="E9" s="68">
        <v>0</v>
      </c>
      <c r="F9" s="68">
        <v>0</v>
      </c>
      <c r="G9" s="68">
        <v>0</v>
      </c>
      <c r="H9" s="68">
        <v>0</v>
      </c>
      <c r="I9" s="68">
        <v>0</v>
      </c>
      <c r="J9" s="68">
        <v>0</v>
      </c>
      <c r="K9" s="68">
        <v>67830</v>
      </c>
      <c r="L9" s="68">
        <v>12351</v>
      </c>
      <c r="M9" s="402">
        <v>0</v>
      </c>
      <c r="N9" s="68">
        <v>0</v>
      </c>
      <c r="O9" s="68">
        <v>0</v>
      </c>
      <c r="P9" s="68">
        <v>0</v>
      </c>
      <c r="Q9" s="68">
        <v>192375</v>
      </c>
      <c r="R9" s="68">
        <v>0</v>
      </c>
      <c r="S9" s="69">
        <v>0</v>
      </c>
      <c r="Y9" s="66" t="s">
        <v>75</v>
      </c>
      <c r="Z9" s="70">
        <f t="shared" si="4"/>
        <v>2.8132097702054049E-2</v>
      </c>
    </row>
    <row r="10" spans="1:26" x14ac:dyDescent="0.25">
      <c r="A10" s="66" t="s">
        <v>76</v>
      </c>
      <c r="B10" s="66" t="s">
        <v>76</v>
      </c>
      <c r="C10" s="67">
        <f t="shared" si="3"/>
        <v>120557</v>
      </c>
      <c r="D10" s="71">
        <v>26320</v>
      </c>
      <c r="E10" s="71">
        <v>0</v>
      </c>
      <c r="F10" s="71">
        <v>20</v>
      </c>
      <c r="G10" s="71">
        <v>52163</v>
      </c>
      <c r="H10" s="71">
        <v>3034</v>
      </c>
      <c r="I10" s="71">
        <v>0</v>
      </c>
      <c r="J10" s="71">
        <v>0</v>
      </c>
      <c r="K10" s="71">
        <v>0</v>
      </c>
      <c r="L10" s="71">
        <v>0</v>
      </c>
      <c r="M10" s="403">
        <v>0</v>
      </c>
      <c r="N10" s="71">
        <v>0</v>
      </c>
      <c r="O10" s="71">
        <v>0</v>
      </c>
      <c r="P10" s="71">
        <v>0</v>
      </c>
      <c r="Q10" s="71">
        <v>39020</v>
      </c>
      <c r="R10" s="71">
        <v>0</v>
      </c>
      <c r="S10" s="69">
        <v>0</v>
      </c>
      <c r="Y10" s="66" t="s">
        <v>76</v>
      </c>
      <c r="Z10" s="70">
        <f t="shared" si="4"/>
        <v>1.2443392560305147E-2</v>
      </c>
    </row>
    <row r="11" spans="1:26" x14ac:dyDescent="0.25">
      <c r="A11" s="662" t="s">
        <v>77</v>
      </c>
      <c r="B11" s="66" t="s">
        <v>78</v>
      </c>
      <c r="C11" s="67">
        <f t="shared" si="3"/>
        <v>88230</v>
      </c>
      <c r="D11" s="71">
        <v>210</v>
      </c>
      <c r="E11" s="71">
        <v>300</v>
      </c>
      <c r="F11" s="71">
        <v>300</v>
      </c>
      <c r="G11" s="71">
        <v>270</v>
      </c>
      <c r="H11" s="71">
        <v>240</v>
      </c>
      <c r="I11" s="71">
        <v>120</v>
      </c>
      <c r="J11" s="71">
        <v>0</v>
      </c>
      <c r="K11" s="71">
        <v>60</v>
      </c>
      <c r="L11" s="71">
        <v>120</v>
      </c>
      <c r="M11" s="501">
        <v>120</v>
      </c>
      <c r="N11" s="71">
        <v>240</v>
      </c>
      <c r="O11" s="71">
        <v>240</v>
      </c>
      <c r="P11" s="71">
        <v>240</v>
      </c>
      <c r="Q11" s="71">
        <v>60</v>
      </c>
      <c r="R11" s="71">
        <v>240</v>
      </c>
      <c r="S11" s="69">
        <f>85230+240</f>
        <v>85470</v>
      </c>
      <c r="Y11" s="66" t="s">
        <v>78</v>
      </c>
      <c r="Z11" s="70">
        <f t="shared" si="4"/>
        <v>9.1067339565161966E-3</v>
      </c>
    </row>
    <row r="12" spans="1:26" x14ac:dyDescent="0.25">
      <c r="A12" s="663"/>
      <c r="B12" s="66" t="s">
        <v>79</v>
      </c>
      <c r="C12" s="67">
        <f t="shared" si="3"/>
        <v>1105000</v>
      </c>
      <c r="D12" s="71">
        <v>0</v>
      </c>
      <c r="E12" s="71">
        <v>0</v>
      </c>
      <c r="F12" s="71">
        <v>0</v>
      </c>
      <c r="G12" s="71">
        <v>0</v>
      </c>
      <c r="H12" s="71">
        <v>0</v>
      </c>
      <c r="I12" s="71">
        <v>0</v>
      </c>
      <c r="J12" s="71">
        <v>180000</v>
      </c>
      <c r="K12" s="71">
        <v>0</v>
      </c>
      <c r="L12" s="71">
        <v>0</v>
      </c>
      <c r="M12" s="403">
        <v>0</v>
      </c>
      <c r="N12" s="71">
        <v>0</v>
      </c>
      <c r="O12" s="71">
        <v>0</v>
      </c>
      <c r="P12" s="71">
        <v>0</v>
      </c>
      <c r="Q12" s="71">
        <v>0</v>
      </c>
      <c r="R12" s="71">
        <v>0</v>
      </c>
      <c r="S12" s="69">
        <v>925000</v>
      </c>
      <c r="Y12" s="66" t="s">
        <v>79</v>
      </c>
      <c r="Z12" s="70">
        <f t="shared" si="4"/>
        <v>0.11405350812592539</v>
      </c>
    </row>
    <row r="13" spans="1:26" s="77" customFormat="1" ht="18.75" x14ac:dyDescent="0.3">
      <c r="A13" s="72" t="s">
        <v>80</v>
      </c>
      <c r="B13" s="73"/>
      <c r="C13" s="74">
        <f t="shared" si="3"/>
        <v>9688435</v>
      </c>
      <c r="D13" s="75">
        <f t="shared" ref="D13:H13" si="5">SUM(D6:D12)</f>
        <v>195495</v>
      </c>
      <c r="E13" s="75">
        <f t="shared" si="5"/>
        <v>194795</v>
      </c>
      <c r="F13" s="75">
        <f>F12+F11+F10+F9+F8+F7+F6</f>
        <v>829472</v>
      </c>
      <c r="G13" s="75">
        <f t="shared" si="5"/>
        <v>412798</v>
      </c>
      <c r="H13" s="75">
        <f t="shared" si="5"/>
        <v>891268</v>
      </c>
      <c r="I13" s="75">
        <f t="shared" ref="I13:S13" si="6">SUM(I6:I12)</f>
        <v>518377</v>
      </c>
      <c r="J13" s="75">
        <f t="shared" si="6"/>
        <v>1249416</v>
      </c>
      <c r="K13" s="75">
        <f t="shared" si="6"/>
        <v>642113</v>
      </c>
      <c r="L13" s="75">
        <f t="shared" si="6"/>
        <v>222489</v>
      </c>
      <c r="M13" s="75">
        <f t="shared" si="6"/>
        <v>215091</v>
      </c>
      <c r="N13" s="75">
        <f t="shared" si="6"/>
        <v>826963</v>
      </c>
      <c r="O13" s="75">
        <f t="shared" si="6"/>
        <v>213909</v>
      </c>
      <c r="P13" s="75">
        <f t="shared" si="6"/>
        <v>820174</v>
      </c>
      <c r="Q13" s="75">
        <f t="shared" si="6"/>
        <v>445302</v>
      </c>
      <c r="R13" s="75">
        <f t="shared" si="6"/>
        <v>762521</v>
      </c>
      <c r="S13" s="76">
        <f t="shared" si="6"/>
        <v>1248252</v>
      </c>
      <c r="Z13" s="78">
        <f>SUM(Z6:Z12)</f>
        <v>1</v>
      </c>
    </row>
    <row r="14" spans="1:26" ht="18.75" x14ac:dyDescent="0.3">
      <c r="A14" s="79" t="s">
        <v>81</v>
      </c>
      <c r="B14" s="80" t="str">
        <f>A14</f>
        <v>Sueldos</v>
      </c>
      <c r="C14" s="81">
        <f t="shared" si="3"/>
        <v>1893144</v>
      </c>
      <c r="D14" s="82">
        <v>86000</v>
      </c>
      <c r="E14" s="82">
        <v>86000</v>
      </c>
      <c r="F14" s="82">
        <v>86000</v>
      </c>
      <c r="G14" s="82">
        <v>87740</v>
      </c>
      <c r="H14" s="82">
        <v>89070</v>
      </c>
      <c r="I14" s="82">
        <v>89680</v>
      </c>
      <c r="J14" s="82">
        <v>90190</v>
      </c>
      <c r="K14" s="82">
        <v>90780</v>
      </c>
      <c r="L14" s="82">
        <f>144216-400</f>
        <v>143816</v>
      </c>
      <c r="M14" s="405">
        <v>147606</v>
      </c>
      <c r="N14" s="82">
        <v>147606</v>
      </c>
      <c r="O14" s="82">
        <v>147886</v>
      </c>
      <c r="P14" s="82">
        <f t="shared" ref="M14:S15" si="7">O14</f>
        <v>147886</v>
      </c>
      <c r="Q14" s="82">
        <v>148566</v>
      </c>
      <c r="R14" s="82">
        <v>150696</v>
      </c>
      <c r="S14" s="69">
        <v>153622</v>
      </c>
      <c r="Y14" s="664">
        <f>C13</f>
        <v>9688435</v>
      </c>
      <c r="Z14" s="665"/>
    </row>
    <row r="15" spans="1:26" x14ac:dyDescent="0.25">
      <c r="A15" s="79" t="s">
        <v>82</v>
      </c>
      <c r="B15" s="80" t="str">
        <f>A15</f>
        <v xml:space="preserve">Mantenimiento </v>
      </c>
      <c r="C15" s="81">
        <f t="shared" si="3"/>
        <v>606265</v>
      </c>
      <c r="D15" s="82">
        <v>35776</v>
      </c>
      <c r="E15" s="82">
        <v>35776</v>
      </c>
      <c r="F15" s="82">
        <v>35776</v>
      </c>
      <c r="G15" s="82">
        <v>35776</v>
      </c>
      <c r="H15" s="82">
        <v>35776</v>
      </c>
      <c r="I15" s="82">
        <v>35776</v>
      </c>
      <c r="J15" s="82">
        <v>35776</v>
      </c>
      <c r="K15" s="82">
        <v>39537</v>
      </c>
      <c r="L15" s="82">
        <f>K15</f>
        <v>39537</v>
      </c>
      <c r="M15" s="405">
        <f t="shared" si="7"/>
        <v>39537</v>
      </c>
      <c r="N15" s="82">
        <f t="shared" si="7"/>
        <v>39537</v>
      </c>
      <c r="O15" s="82">
        <f t="shared" si="7"/>
        <v>39537</v>
      </c>
      <c r="P15" s="82">
        <f t="shared" si="7"/>
        <v>39537</v>
      </c>
      <c r="Q15" s="82">
        <f t="shared" si="7"/>
        <v>39537</v>
      </c>
      <c r="R15" s="82">
        <f t="shared" si="7"/>
        <v>39537</v>
      </c>
      <c r="S15" s="69">
        <f t="shared" si="7"/>
        <v>39537</v>
      </c>
    </row>
    <row r="16" spans="1:26" ht="20.25" customHeight="1" x14ac:dyDescent="0.25">
      <c r="A16" s="79" t="s">
        <v>83</v>
      </c>
      <c r="B16" s="80" t="s">
        <v>84</v>
      </c>
      <c r="C16" s="81">
        <f t="shared" si="3"/>
        <v>374485</v>
      </c>
      <c r="D16" s="82">
        <v>0</v>
      </c>
      <c r="E16" s="82">
        <v>0</v>
      </c>
      <c r="F16" s="82">
        <v>0</v>
      </c>
      <c r="G16" s="82">
        <v>0</v>
      </c>
      <c r="H16" s="82">
        <v>374485</v>
      </c>
      <c r="I16" s="82">
        <v>0</v>
      </c>
      <c r="J16" s="82">
        <v>0</v>
      </c>
      <c r="K16" s="82">
        <v>0</v>
      </c>
      <c r="L16" s="82">
        <v>0</v>
      </c>
      <c r="M16" s="405">
        <v>0</v>
      </c>
      <c r="N16" s="82">
        <v>0</v>
      </c>
      <c r="O16" s="82">
        <v>0</v>
      </c>
      <c r="P16" s="82">
        <v>0</v>
      </c>
      <c r="Q16" s="82">
        <v>0</v>
      </c>
      <c r="R16" s="82">
        <v>0</v>
      </c>
      <c r="S16" s="69">
        <v>0</v>
      </c>
    </row>
    <row r="17" spans="1:26" x14ac:dyDescent="0.25">
      <c r="A17" s="79" t="s">
        <v>85</v>
      </c>
      <c r="B17" s="80" t="str">
        <f>A17</f>
        <v>Empleados</v>
      </c>
      <c r="C17" s="81">
        <f t="shared" si="3"/>
        <v>1044480</v>
      </c>
      <c r="D17" s="82">
        <v>65280</v>
      </c>
      <c r="E17" s="82">
        <v>65280</v>
      </c>
      <c r="F17" s="82">
        <v>65280</v>
      </c>
      <c r="G17" s="82">
        <v>65280</v>
      </c>
      <c r="H17" s="82">
        <v>65280</v>
      </c>
      <c r="I17" s="82">
        <v>65280</v>
      </c>
      <c r="J17" s="82">
        <v>65280</v>
      </c>
      <c r="K17" s="82">
        <v>65280</v>
      </c>
      <c r="L17" s="82">
        <v>65280</v>
      </c>
      <c r="M17" s="405">
        <v>65280</v>
      </c>
      <c r="N17" s="82">
        <v>65280</v>
      </c>
      <c r="O17" s="82">
        <v>65280</v>
      </c>
      <c r="P17" s="82">
        <v>65280</v>
      </c>
      <c r="Q17" s="82">
        <v>65280</v>
      </c>
      <c r="R17" s="82">
        <v>65280</v>
      </c>
      <c r="S17" s="69">
        <v>65280</v>
      </c>
    </row>
    <row r="18" spans="1:26" x14ac:dyDescent="0.25">
      <c r="A18" s="79" t="s">
        <v>86</v>
      </c>
      <c r="B18" s="80" t="str">
        <f>A18</f>
        <v>Juveniles</v>
      </c>
      <c r="C18" s="81">
        <f t="shared" si="3"/>
        <v>320000</v>
      </c>
      <c r="D18" s="82">
        <v>20000</v>
      </c>
      <c r="E18" s="82">
        <v>20000</v>
      </c>
      <c r="F18" s="82">
        <v>20000</v>
      </c>
      <c r="G18" s="82">
        <v>20000</v>
      </c>
      <c r="H18" s="82">
        <v>20000</v>
      </c>
      <c r="I18" s="82">
        <v>20000</v>
      </c>
      <c r="J18" s="82">
        <v>20000</v>
      </c>
      <c r="K18" s="82">
        <v>20000</v>
      </c>
      <c r="L18" s="82">
        <v>20000</v>
      </c>
      <c r="M18" s="405">
        <v>20000</v>
      </c>
      <c r="N18" s="82">
        <v>20000</v>
      </c>
      <c r="O18" s="82">
        <v>20000</v>
      </c>
      <c r="P18" s="82">
        <v>20000</v>
      </c>
      <c r="Q18" s="82">
        <v>20000</v>
      </c>
      <c r="R18" s="82">
        <v>20000</v>
      </c>
      <c r="S18" s="69">
        <v>20000</v>
      </c>
    </row>
    <row r="19" spans="1:26" x14ac:dyDescent="0.25">
      <c r="A19" s="79" t="s">
        <v>87</v>
      </c>
      <c r="B19" s="80" t="s">
        <v>88</v>
      </c>
      <c r="C19" s="81">
        <f t="shared" si="3"/>
        <v>11716116</v>
      </c>
      <c r="D19" s="82">
        <v>0</v>
      </c>
      <c r="E19" s="82">
        <v>0</v>
      </c>
      <c r="F19" s="82">
        <v>0</v>
      </c>
      <c r="G19" s="82">
        <v>0</v>
      </c>
      <c r="H19" s="82">
        <v>0</v>
      </c>
      <c r="I19" s="82">
        <v>0</v>
      </c>
      <c r="J19" s="82">
        <v>0</v>
      </c>
      <c r="K19" s="82">
        <v>11716116</v>
      </c>
      <c r="L19" s="82">
        <v>0</v>
      </c>
      <c r="M19" s="405">
        <v>0</v>
      </c>
      <c r="N19" s="82">
        <v>0</v>
      </c>
      <c r="O19" s="82">
        <v>0</v>
      </c>
      <c r="P19" s="82">
        <v>0</v>
      </c>
      <c r="Q19" s="82">
        <v>0</v>
      </c>
      <c r="R19" s="82">
        <v>0</v>
      </c>
      <c r="S19" s="69">
        <v>0</v>
      </c>
    </row>
    <row r="20" spans="1:26" x14ac:dyDescent="0.25">
      <c r="A20" s="83" t="s">
        <v>77</v>
      </c>
      <c r="B20" s="80" t="s">
        <v>67</v>
      </c>
      <c r="C20" s="81">
        <f t="shared" si="3"/>
        <v>0</v>
      </c>
      <c r="D20" s="82">
        <v>0</v>
      </c>
      <c r="E20" s="82">
        <v>0</v>
      </c>
      <c r="F20" s="82">
        <v>0</v>
      </c>
      <c r="G20" s="82">
        <v>0</v>
      </c>
      <c r="H20" s="82">
        <v>0</v>
      </c>
      <c r="I20" s="82">
        <v>0</v>
      </c>
      <c r="J20" s="82">
        <v>0</v>
      </c>
      <c r="K20" s="82">
        <v>0</v>
      </c>
      <c r="L20" s="82">
        <v>0</v>
      </c>
      <c r="M20" s="405">
        <v>0</v>
      </c>
      <c r="N20" s="82">
        <v>0</v>
      </c>
      <c r="O20" s="82">
        <v>0</v>
      </c>
      <c r="P20" s="82">
        <v>0</v>
      </c>
      <c r="Q20" s="82">
        <v>0</v>
      </c>
      <c r="R20" s="82">
        <v>0</v>
      </c>
      <c r="S20" s="69">
        <v>0</v>
      </c>
    </row>
    <row r="21" spans="1:26" x14ac:dyDescent="0.25">
      <c r="A21" s="83"/>
      <c r="B21" s="80" t="s">
        <v>89</v>
      </c>
      <c r="C21" s="81">
        <f t="shared" si="3"/>
        <v>78000</v>
      </c>
      <c r="D21" s="82">
        <v>3000</v>
      </c>
      <c r="E21" s="82">
        <v>0</v>
      </c>
      <c r="F21" s="82">
        <v>0</v>
      </c>
      <c r="G21" s="82">
        <v>0</v>
      </c>
      <c r="H21" s="82">
        <v>3000</v>
      </c>
      <c r="I21" s="82">
        <v>2000</v>
      </c>
      <c r="J21" s="82">
        <v>1000</v>
      </c>
      <c r="K21" s="82">
        <v>3000</v>
      </c>
      <c r="L21" s="82">
        <v>6000</v>
      </c>
      <c r="M21" s="405">
        <v>9000</v>
      </c>
      <c r="N21" s="82">
        <v>9000</v>
      </c>
      <c r="O21" s="82">
        <v>6000</v>
      </c>
      <c r="P21" s="82">
        <v>3000</v>
      </c>
      <c r="Q21" s="82">
        <v>9000</v>
      </c>
      <c r="R21" s="82">
        <v>12000</v>
      </c>
      <c r="S21" s="69">
        <v>12000</v>
      </c>
    </row>
    <row r="22" spans="1:26" x14ac:dyDescent="0.25">
      <c r="A22" s="79" t="s">
        <v>90</v>
      </c>
      <c r="B22" s="80" t="str">
        <f>A22</f>
        <v>Intereses</v>
      </c>
      <c r="C22" s="81">
        <f t="shared" si="3"/>
        <v>0</v>
      </c>
      <c r="D22" s="82">
        <v>0</v>
      </c>
      <c r="E22" s="82">
        <v>0</v>
      </c>
      <c r="F22" s="82">
        <v>0</v>
      </c>
      <c r="G22" s="82">
        <v>0</v>
      </c>
      <c r="H22" s="82">
        <v>0</v>
      </c>
      <c r="I22" s="82">
        <v>0</v>
      </c>
      <c r="J22" s="82">
        <v>0</v>
      </c>
      <c r="K22" s="82">
        <v>0</v>
      </c>
      <c r="L22" s="82">
        <v>0</v>
      </c>
      <c r="M22" s="405">
        <v>0</v>
      </c>
      <c r="N22" s="82">
        <v>0</v>
      </c>
      <c r="O22" s="82">
        <v>0</v>
      </c>
      <c r="P22" s="82">
        <v>0</v>
      </c>
      <c r="Q22" s="82">
        <v>0</v>
      </c>
      <c r="R22" s="82">
        <v>0</v>
      </c>
      <c r="S22" s="69">
        <v>0</v>
      </c>
    </row>
    <row r="23" spans="1:26" s="89" customFormat="1" ht="18.75" x14ac:dyDescent="0.3">
      <c r="A23" s="84" t="s">
        <v>91</v>
      </c>
      <c r="B23" s="85"/>
      <c r="C23" s="86">
        <f t="shared" si="3"/>
        <v>16032490</v>
      </c>
      <c r="D23" s="87">
        <f t="shared" ref="D23:S23" si="8">SUM(D14:D22)</f>
        <v>210056</v>
      </c>
      <c r="E23" s="87">
        <f t="shared" si="8"/>
        <v>207056</v>
      </c>
      <c r="F23" s="87">
        <f t="shared" si="8"/>
        <v>207056</v>
      </c>
      <c r="G23" s="87">
        <f t="shared" si="8"/>
        <v>208796</v>
      </c>
      <c r="H23" s="87">
        <f t="shared" si="8"/>
        <v>587611</v>
      </c>
      <c r="I23" s="87">
        <f t="shared" si="8"/>
        <v>212736</v>
      </c>
      <c r="J23" s="87">
        <f t="shared" si="8"/>
        <v>212246</v>
      </c>
      <c r="K23" s="87">
        <f t="shared" si="8"/>
        <v>11934713</v>
      </c>
      <c r="L23" s="87">
        <f t="shared" si="8"/>
        <v>274633</v>
      </c>
      <c r="M23" s="87">
        <f t="shared" si="8"/>
        <v>281423</v>
      </c>
      <c r="N23" s="87">
        <f t="shared" si="8"/>
        <v>281423</v>
      </c>
      <c r="O23" s="87">
        <f t="shared" si="8"/>
        <v>278703</v>
      </c>
      <c r="P23" s="87">
        <f t="shared" si="8"/>
        <v>275703</v>
      </c>
      <c r="Q23" s="87">
        <f t="shared" si="8"/>
        <v>282383</v>
      </c>
      <c r="R23" s="87">
        <f t="shared" si="8"/>
        <v>287513</v>
      </c>
      <c r="S23" s="88">
        <f t="shared" si="8"/>
        <v>290439</v>
      </c>
      <c r="Y23" s="80" t="s">
        <v>81</v>
      </c>
      <c r="Z23" s="90">
        <f>C14/$C$23</f>
        <v>0.11808172030670221</v>
      </c>
    </row>
    <row r="24" spans="1:26" s="65" customFormat="1" ht="18.75" x14ac:dyDescent="0.3">
      <c r="A24" s="91" t="s">
        <v>92</v>
      </c>
      <c r="B24" s="91"/>
      <c r="C24" s="63">
        <f>C5+C13-C23</f>
        <v>-383803</v>
      </c>
      <c r="D24" s="63">
        <f t="shared" ref="D24:S24" si="9">D5+D13-D23</f>
        <v>5945691</v>
      </c>
      <c r="E24" s="63">
        <f t="shared" si="9"/>
        <v>5933430</v>
      </c>
      <c r="F24" s="63">
        <f t="shared" si="9"/>
        <v>6555846</v>
      </c>
      <c r="G24" s="63">
        <f t="shared" si="9"/>
        <v>6759848</v>
      </c>
      <c r="H24" s="63">
        <f t="shared" si="9"/>
        <v>7063505</v>
      </c>
      <c r="I24" s="63">
        <f t="shared" si="9"/>
        <v>7369146</v>
      </c>
      <c r="J24" s="63">
        <f t="shared" si="9"/>
        <v>8406316</v>
      </c>
      <c r="K24" s="63">
        <f t="shared" si="9"/>
        <v>-2886284</v>
      </c>
      <c r="L24" s="63">
        <f t="shared" si="9"/>
        <v>-2938428</v>
      </c>
      <c r="M24" s="63">
        <f t="shared" si="9"/>
        <v>-3004760</v>
      </c>
      <c r="N24" s="63">
        <f t="shared" si="9"/>
        <v>-2459220</v>
      </c>
      <c r="O24" s="63">
        <f t="shared" si="9"/>
        <v>-2524014</v>
      </c>
      <c r="P24" s="63">
        <f t="shared" si="9"/>
        <v>-1979543</v>
      </c>
      <c r="Q24" s="63">
        <f t="shared" si="9"/>
        <v>-1816624</v>
      </c>
      <c r="R24" s="63">
        <f t="shared" si="9"/>
        <v>-1341616</v>
      </c>
      <c r="S24" s="64">
        <f t="shared" si="9"/>
        <v>-383803</v>
      </c>
      <c r="Y24" s="80" t="s">
        <v>82</v>
      </c>
      <c r="Z24" s="90">
        <f t="shared" ref="Z24:Z31" si="10">C15/$C$23</f>
        <v>3.7814774872773974E-2</v>
      </c>
    </row>
    <row r="25" spans="1:26" s="53" customFormat="1" x14ac:dyDescent="0.25">
      <c r="A25" s="92"/>
      <c r="B25" s="92"/>
      <c r="C25" s="92"/>
      <c r="D25" s="93" t="e">
        <f>D2+7</f>
        <v>#REF!</v>
      </c>
      <c r="E25" s="93" t="e">
        <f t="shared" ref="E25:S25" si="11">D25+7</f>
        <v>#REF!</v>
      </c>
      <c r="F25" s="93" t="e">
        <f t="shared" si="11"/>
        <v>#REF!</v>
      </c>
      <c r="G25" s="93" t="e">
        <f t="shared" si="11"/>
        <v>#REF!</v>
      </c>
      <c r="H25" s="93" t="e">
        <f t="shared" si="11"/>
        <v>#REF!</v>
      </c>
      <c r="I25" s="93" t="e">
        <f t="shared" si="11"/>
        <v>#REF!</v>
      </c>
      <c r="J25" s="93" t="e">
        <f t="shared" si="11"/>
        <v>#REF!</v>
      </c>
      <c r="K25" s="93" t="e">
        <f t="shared" si="11"/>
        <v>#REF!</v>
      </c>
      <c r="L25" s="93" t="e">
        <f t="shared" si="11"/>
        <v>#REF!</v>
      </c>
      <c r="M25" s="93" t="e">
        <f t="shared" si="11"/>
        <v>#REF!</v>
      </c>
      <c r="N25" s="93" t="e">
        <f t="shared" si="11"/>
        <v>#REF!</v>
      </c>
      <c r="O25" s="93" t="e">
        <f t="shared" si="11"/>
        <v>#REF!</v>
      </c>
      <c r="P25" s="93" t="e">
        <f t="shared" si="11"/>
        <v>#REF!</v>
      </c>
      <c r="Q25" s="93" t="e">
        <f t="shared" si="11"/>
        <v>#REF!</v>
      </c>
      <c r="R25" s="93" t="e">
        <f t="shared" si="11"/>
        <v>#REF!</v>
      </c>
      <c r="S25" s="93" t="e">
        <f t="shared" si="11"/>
        <v>#REF!</v>
      </c>
      <c r="Y25" s="80" t="s">
        <v>84</v>
      </c>
      <c r="Z25" s="90">
        <f t="shared" si="10"/>
        <v>2.3357881402077906E-2</v>
      </c>
    </row>
    <row r="26" spans="1:26" s="53" customFormat="1" x14ac:dyDescent="0.25">
      <c r="A26" s="666" t="s">
        <v>93</v>
      </c>
      <c r="B26" s="666"/>
      <c r="C26" s="94">
        <f>C6+C7+C11</f>
        <v>8190322</v>
      </c>
      <c r="D26" s="94">
        <f t="shared" ref="D26:S26" si="12">D6+D7+D11</f>
        <v>169175</v>
      </c>
      <c r="E26" s="94">
        <f t="shared" si="12"/>
        <v>194795</v>
      </c>
      <c r="F26" s="94">
        <f t="shared" si="12"/>
        <v>829452</v>
      </c>
      <c r="G26" s="94">
        <f t="shared" si="12"/>
        <v>360635</v>
      </c>
      <c r="H26" s="94">
        <f t="shared" si="12"/>
        <v>888234</v>
      </c>
      <c r="I26" s="94">
        <f t="shared" si="12"/>
        <v>518377</v>
      </c>
      <c r="J26" s="94">
        <f t="shared" si="12"/>
        <v>1069416</v>
      </c>
      <c r="K26" s="94">
        <f t="shared" si="12"/>
        <v>574283</v>
      </c>
      <c r="L26" s="94">
        <f t="shared" si="12"/>
        <v>210138</v>
      </c>
      <c r="M26" s="94">
        <f t="shared" si="12"/>
        <v>215091</v>
      </c>
      <c r="N26" s="94">
        <f t="shared" si="12"/>
        <v>826963</v>
      </c>
      <c r="O26" s="94">
        <f t="shared" si="12"/>
        <v>213909</v>
      </c>
      <c r="P26" s="94">
        <f t="shared" si="12"/>
        <v>820174</v>
      </c>
      <c r="Q26" s="94">
        <f t="shared" si="12"/>
        <v>213907</v>
      </c>
      <c r="R26" s="94">
        <f>R6+R7+R11</f>
        <v>762521</v>
      </c>
      <c r="S26" s="94">
        <f t="shared" si="12"/>
        <v>323252</v>
      </c>
      <c r="T26" s="95"/>
      <c r="Y26" s="80" t="s">
        <v>85</v>
      </c>
      <c r="Z26" s="90">
        <f t="shared" si="10"/>
        <v>6.5147709432533563E-2</v>
      </c>
    </row>
    <row r="27" spans="1:26" s="53" customFormat="1" x14ac:dyDescent="0.25">
      <c r="A27" s="667" t="s">
        <v>94</v>
      </c>
      <c r="B27" s="667"/>
      <c r="C27" s="96">
        <f>C14+C15+C17+C18+C21</f>
        <v>3941889</v>
      </c>
      <c r="D27" s="96">
        <f t="shared" ref="D27:S27" si="13">D14+D15+D17+D18+D21</f>
        <v>210056</v>
      </c>
      <c r="E27" s="96">
        <f t="shared" si="13"/>
        <v>207056</v>
      </c>
      <c r="F27" s="96">
        <f t="shared" si="13"/>
        <v>207056</v>
      </c>
      <c r="G27" s="96">
        <f t="shared" si="13"/>
        <v>208796</v>
      </c>
      <c r="H27" s="96">
        <f t="shared" si="13"/>
        <v>213126</v>
      </c>
      <c r="I27" s="96">
        <f t="shared" si="13"/>
        <v>212736</v>
      </c>
      <c r="J27" s="96">
        <f t="shared" si="13"/>
        <v>212246</v>
      </c>
      <c r="K27" s="96">
        <f t="shared" si="13"/>
        <v>218597</v>
      </c>
      <c r="L27" s="96">
        <f t="shared" si="13"/>
        <v>274633</v>
      </c>
      <c r="M27" s="96">
        <f t="shared" si="13"/>
        <v>281423</v>
      </c>
      <c r="N27" s="96">
        <f t="shared" si="13"/>
        <v>281423</v>
      </c>
      <c r="O27" s="96">
        <f t="shared" si="13"/>
        <v>278703</v>
      </c>
      <c r="P27" s="96">
        <f t="shared" si="13"/>
        <v>275703</v>
      </c>
      <c r="Q27" s="96">
        <f t="shared" si="13"/>
        <v>282383</v>
      </c>
      <c r="R27" s="96">
        <f>R14+R15+R17+R18+R21</f>
        <v>287513</v>
      </c>
      <c r="S27" s="96">
        <f t="shared" si="13"/>
        <v>290439</v>
      </c>
      <c r="T27" s="97"/>
      <c r="Y27" s="80" t="s">
        <v>86</v>
      </c>
      <c r="Z27" s="90">
        <f t="shared" si="10"/>
        <v>1.9959469801634058E-2</v>
      </c>
    </row>
    <row r="28" spans="1:26" x14ac:dyDescent="0.25">
      <c r="A28" s="668" t="s">
        <v>95</v>
      </c>
      <c r="B28" s="668"/>
      <c r="C28" s="98">
        <f>C26-C27</f>
        <v>4248433</v>
      </c>
      <c r="D28" s="98">
        <f t="shared" ref="D28:S28" si="14">D26-D27</f>
        <v>-40881</v>
      </c>
      <c r="E28" s="98">
        <f t="shared" si="14"/>
        <v>-12261</v>
      </c>
      <c r="F28" s="98">
        <f t="shared" si="14"/>
        <v>622396</v>
      </c>
      <c r="G28" s="98">
        <f t="shared" si="14"/>
        <v>151839</v>
      </c>
      <c r="H28" s="98">
        <f t="shared" si="14"/>
        <v>675108</v>
      </c>
      <c r="I28" s="98">
        <f t="shared" si="14"/>
        <v>305641</v>
      </c>
      <c r="J28" s="98">
        <f t="shared" si="14"/>
        <v>857170</v>
      </c>
      <c r="K28" s="98">
        <f t="shared" si="14"/>
        <v>355686</v>
      </c>
      <c r="L28" s="98">
        <f t="shared" si="14"/>
        <v>-64495</v>
      </c>
      <c r="M28" s="98">
        <f t="shared" si="14"/>
        <v>-66332</v>
      </c>
      <c r="N28" s="98">
        <f t="shared" si="14"/>
        <v>545540</v>
      </c>
      <c r="O28" s="98">
        <f t="shared" si="14"/>
        <v>-64794</v>
      </c>
      <c r="P28" s="98">
        <f t="shared" si="14"/>
        <v>544471</v>
      </c>
      <c r="Q28" s="98">
        <f t="shared" si="14"/>
        <v>-68476</v>
      </c>
      <c r="R28" s="98">
        <f>R26-R27</f>
        <v>475008</v>
      </c>
      <c r="S28" s="98">
        <f t="shared" si="14"/>
        <v>32813</v>
      </c>
      <c r="T28" s="99"/>
      <c r="Y28" s="80" t="s">
        <v>88</v>
      </c>
      <c r="Z28" s="90">
        <f t="shared" si="10"/>
        <v>0.73077332342013002</v>
      </c>
    </row>
    <row r="29" spans="1:26" x14ac:dyDescent="0.25">
      <c r="A29" s="666" t="s">
        <v>96</v>
      </c>
      <c r="B29" s="666"/>
      <c r="C29" s="94">
        <f>C8+C9+C10+C12</f>
        <v>1498113</v>
      </c>
      <c r="D29" s="94">
        <f t="shared" ref="D29:S29" si="15">D8+D9+D10+D12</f>
        <v>26320</v>
      </c>
      <c r="E29" s="94">
        <f t="shared" si="15"/>
        <v>0</v>
      </c>
      <c r="F29" s="94">
        <f t="shared" si="15"/>
        <v>20</v>
      </c>
      <c r="G29" s="94">
        <f t="shared" si="15"/>
        <v>52163</v>
      </c>
      <c r="H29" s="94">
        <f t="shared" si="15"/>
        <v>3034</v>
      </c>
      <c r="I29" s="94">
        <f t="shared" si="15"/>
        <v>0</v>
      </c>
      <c r="J29" s="94">
        <f t="shared" si="15"/>
        <v>180000</v>
      </c>
      <c r="K29" s="94">
        <f t="shared" si="15"/>
        <v>67830</v>
      </c>
      <c r="L29" s="94">
        <f t="shared" si="15"/>
        <v>12351</v>
      </c>
      <c r="M29" s="94">
        <f t="shared" si="15"/>
        <v>0</v>
      </c>
      <c r="N29" s="94">
        <f t="shared" si="15"/>
        <v>0</v>
      </c>
      <c r="O29" s="94">
        <f t="shared" si="15"/>
        <v>0</v>
      </c>
      <c r="P29" s="94">
        <f t="shared" si="15"/>
        <v>0</v>
      </c>
      <c r="Q29" s="94">
        <f t="shared" si="15"/>
        <v>231395</v>
      </c>
      <c r="R29" s="94">
        <f>R8+R9+R10+R12</f>
        <v>0</v>
      </c>
      <c r="S29" s="94">
        <f t="shared" si="15"/>
        <v>925000</v>
      </c>
      <c r="T29" s="99"/>
      <c r="Y29" s="80" t="s">
        <v>67</v>
      </c>
      <c r="Z29" s="90">
        <f t="shared" si="10"/>
        <v>0</v>
      </c>
    </row>
    <row r="30" spans="1:26" s="58" customFormat="1" x14ac:dyDescent="0.25">
      <c r="A30" s="667" t="s">
        <v>97</v>
      </c>
      <c r="B30" s="667"/>
      <c r="C30" s="96">
        <f>C16+C19+C20+C22</f>
        <v>12090601</v>
      </c>
      <c r="D30" s="96">
        <f t="shared" ref="D30:S30" si="16">D16+D19+D20+D22</f>
        <v>0</v>
      </c>
      <c r="E30" s="96">
        <f t="shared" si="16"/>
        <v>0</v>
      </c>
      <c r="F30" s="96">
        <f t="shared" si="16"/>
        <v>0</v>
      </c>
      <c r="G30" s="96">
        <f t="shared" si="16"/>
        <v>0</v>
      </c>
      <c r="H30" s="96">
        <f t="shared" si="16"/>
        <v>374485</v>
      </c>
      <c r="I30" s="96">
        <f t="shared" si="16"/>
        <v>0</v>
      </c>
      <c r="J30" s="96">
        <f t="shared" si="16"/>
        <v>0</v>
      </c>
      <c r="K30" s="96">
        <f t="shared" si="16"/>
        <v>11716116</v>
      </c>
      <c r="L30" s="96">
        <f t="shared" si="16"/>
        <v>0</v>
      </c>
      <c r="M30" s="96">
        <f t="shared" si="16"/>
        <v>0</v>
      </c>
      <c r="N30" s="96">
        <f t="shared" si="16"/>
        <v>0</v>
      </c>
      <c r="O30" s="96">
        <f t="shared" si="16"/>
        <v>0</v>
      </c>
      <c r="P30" s="96">
        <f t="shared" si="16"/>
        <v>0</v>
      </c>
      <c r="Q30" s="96">
        <f t="shared" si="16"/>
        <v>0</v>
      </c>
      <c r="R30" s="96">
        <f>R16+R19+R20+R22</f>
        <v>0</v>
      </c>
      <c r="S30" s="96">
        <f t="shared" si="16"/>
        <v>0</v>
      </c>
      <c r="Y30" s="80" t="s">
        <v>89</v>
      </c>
      <c r="Z30" s="90">
        <f t="shared" si="10"/>
        <v>4.8651207641483016E-3</v>
      </c>
    </row>
    <row r="31" spans="1:26" s="58" customFormat="1" x14ac:dyDescent="0.25">
      <c r="A31" s="668" t="s">
        <v>98</v>
      </c>
      <c r="B31" s="668"/>
      <c r="C31" s="98">
        <f>C29-C30</f>
        <v>-10592488</v>
      </c>
      <c r="D31" s="98">
        <f t="shared" ref="D31:S31" si="17">D29-D30</f>
        <v>26320</v>
      </c>
      <c r="E31" s="98">
        <f t="shared" si="17"/>
        <v>0</v>
      </c>
      <c r="F31" s="98">
        <f t="shared" si="17"/>
        <v>20</v>
      </c>
      <c r="G31" s="98">
        <f t="shared" si="17"/>
        <v>52163</v>
      </c>
      <c r="H31" s="98">
        <f t="shared" si="17"/>
        <v>-371451</v>
      </c>
      <c r="I31" s="98">
        <f t="shared" si="17"/>
        <v>0</v>
      </c>
      <c r="J31" s="98">
        <f t="shared" si="17"/>
        <v>180000</v>
      </c>
      <c r="K31" s="98">
        <f t="shared" si="17"/>
        <v>-11648286</v>
      </c>
      <c r="L31" s="98">
        <f t="shared" si="17"/>
        <v>12351</v>
      </c>
      <c r="M31" s="98">
        <f t="shared" si="17"/>
        <v>0</v>
      </c>
      <c r="N31" s="98">
        <f t="shared" si="17"/>
        <v>0</v>
      </c>
      <c r="O31" s="98">
        <f t="shared" si="17"/>
        <v>0</v>
      </c>
      <c r="P31" s="98">
        <f t="shared" si="17"/>
        <v>0</v>
      </c>
      <c r="Q31" s="98">
        <f t="shared" si="17"/>
        <v>231395</v>
      </c>
      <c r="R31" s="98">
        <f>R29-R30</f>
        <v>0</v>
      </c>
      <c r="S31" s="98">
        <f t="shared" si="17"/>
        <v>925000</v>
      </c>
      <c r="Y31" s="80" t="s">
        <v>90</v>
      </c>
      <c r="Z31" s="90">
        <f t="shared" si="10"/>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25" customFormat="1" ht="18.75" x14ac:dyDescent="0.3">
      <c r="A33" s="326"/>
      <c r="B33" s="326"/>
      <c r="C33" s="327" t="s">
        <v>100</v>
      </c>
      <c r="D33" s="158">
        <v>21</v>
      </c>
      <c r="E33" s="158">
        <v>21</v>
      </c>
      <c r="F33" s="158">
        <v>21</v>
      </c>
      <c r="G33" s="158"/>
      <c r="H33" s="158">
        <v>21</v>
      </c>
      <c r="I33" s="158"/>
      <c r="J33" s="158">
        <v>22</v>
      </c>
      <c r="K33" s="158">
        <v>22</v>
      </c>
      <c r="L33" s="158">
        <v>22</v>
      </c>
      <c r="M33" s="158"/>
      <c r="N33" s="158"/>
      <c r="O33" s="158">
        <v>21</v>
      </c>
      <c r="P33" s="158">
        <v>21</v>
      </c>
      <c r="Q33" s="158"/>
      <c r="R33" s="158">
        <v>21</v>
      </c>
      <c r="S33" s="158">
        <v>21</v>
      </c>
      <c r="Z33" s="328"/>
    </row>
    <row r="34" spans="1:26" s="58" customFormat="1" ht="18.75" x14ac:dyDescent="0.3">
      <c r="A34" s="57"/>
      <c r="B34" s="670" t="s">
        <v>382</v>
      </c>
      <c r="C34" s="157" t="s">
        <v>176</v>
      </c>
      <c r="D34" s="158">
        <v>822630</v>
      </c>
      <c r="E34" s="158">
        <v>857970</v>
      </c>
      <c r="F34" s="158">
        <v>858890</v>
      </c>
      <c r="G34" s="158"/>
      <c r="H34" s="158">
        <v>924780</v>
      </c>
      <c r="I34" s="158"/>
      <c r="J34" s="158">
        <v>945480</v>
      </c>
      <c r="K34" s="158">
        <v>942560</v>
      </c>
      <c r="L34" s="158">
        <v>1056530</v>
      </c>
      <c r="M34" s="158"/>
      <c r="N34" s="158"/>
      <c r="O34" s="158">
        <v>1100960</v>
      </c>
      <c r="P34" s="158">
        <v>1132050</v>
      </c>
      <c r="Q34" s="158"/>
      <c r="R34" s="158">
        <v>1149100</v>
      </c>
      <c r="S34" s="158">
        <v>1165160</v>
      </c>
      <c r="Y34" s="659">
        <f>C23</f>
        <v>16032490</v>
      </c>
      <c r="Z34" s="660"/>
    </row>
    <row r="35" spans="1:26" x14ac:dyDescent="0.25">
      <c r="A35" s="57"/>
      <c r="B35" s="670"/>
      <c r="C35" s="157" t="s">
        <v>103</v>
      </c>
      <c r="D35" s="158">
        <v>85970</v>
      </c>
      <c r="E35" s="158">
        <v>85700</v>
      </c>
      <c r="F35" s="158">
        <v>85700</v>
      </c>
      <c r="G35" s="158"/>
      <c r="H35" s="158">
        <v>88740</v>
      </c>
      <c r="I35" s="158"/>
      <c r="J35" s="158">
        <v>89890</v>
      </c>
      <c r="K35" s="158">
        <v>90810</v>
      </c>
      <c r="L35" s="158">
        <v>145806</v>
      </c>
      <c r="M35" s="158"/>
      <c r="N35" s="158"/>
      <c r="O35" s="158">
        <v>147586</v>
      </c>
      <c r="P35" s="158">
        <v>148266</v>
      </c>
      <c r="Q35" s="158"/>
      <c r="R35" s="158">
        <v>150396</v>
      </c>
      <c r="S35" s="158">
        <v>153322</v>
      </c>
    </row>
    <row r="36" spans="1:26" x14ac:dyDescent="0.25">
      <c r="A36" s="57"/>
      <c r="B36" s="670"/>
      <c r="C36" s="157" t="s">
        <v>534</v>
      </c>
      <c r="D36" s="158">
        <v>722970</v>
      </c>
      <c r="E36" s="158">
        <v>754480</v>
      </c>
      <c r="F36" s="158">
        <v>754760</v>
      </c>
      <c r="G36" s="158"/>
      <c r="H36" s="158">
        <v>818520</v>
      </c>
      <c r="I36" s="158"/>
      <c r="J36" s="158">
        <v>836020</v>
      </c>
      <c r="K36" s="158">
        <v>836190</v>
      </c>
      <c r="L36" s="158">
        <v>935210</v>
      </c>
      <c r="M36" s="158"/>
      <c r="N36" s="158"/>
      <c r="O36" s="158">
        <v>970750</v>
      </c>
      <c r="P36" s="158">
        <v>1001650</v>
      </c>
      <c r="Q36" s="158"/>
      <c r="R36" s="158">
        <v>1014120</v>
      </c>
      <c r="S36" s="158">
        <v>1026070</v>
      </c>
    </row>
    <row r="37" spans="1:26" x14ac:dyDescent="0.25">
      <c r="A37" s="57"/>
      <c r="B37" s="670"/>
      <c r="C37" s="157" t="s">
        <v>535</v>
      </c>
      <c r="D37" s="158">
        <v>72350</v>
      </c>
      <c r="E37" s="158">
        <v>67710</v>
      </c>
      <c r="F37" s="158">
        <v>67710</v>
      </c>
      <c r="G37" s="158"/>
      <c r="H37" s="158">
        <v>70730</v>
      </c>
      <c r="I37" s="158"/>
      <c r="J37" s="158">
        <v>71370</v>
      </c>
      <c r="K37" s="158">
        <v>71370</v>
      </c>
      <c r="L37" s="158">
        <v>125136</v>
      </c>
      <c r="M37" s="158"/>
      <c r="N37" s="158"/>
      <c r="O37" s="158">
        <v>126776</v>
      </c>
      <c r="P37" s="158">
        <v>126776</v>
      </c>
      <c r="Q37" s="158"/>
      <c r="R37" s="158">
        <v>129076</v>
      </c>
      <c r="S37" s="158">
        <v>132232</v>
      </c>
    </row>
    <row r="38" spans="1:26" x14ac:dyDescent="0.25">
      <c r="A38" s="57"/>
      <c r="B38" s="670"/>
      <c r="C38" s="157" t="s">
        <v>536</v>
      </c>
      <c r="D38" s="159" t="s">
        <v>644</v>
      </c>
      <c r="E38" s="159" t="s">
        <v>645</v>
      </c>
      <c r="F38" s="159" t="s">
        <v>646</v>
      </c>
      <c r="G38" s="159"/>
      <c r="H38" s="159" t="s">
        <v>647</v>
      </c>
      <c r="I38" s="159"/>
      <c r="J38" s="159" t="s">
        <v>650</v>
      </c>
      <c r="K38" s="159" t="s">
        <v>652</v>
      </c>
      <c r="L38" s="159" t="s">
        <v>655</v>
      </c>
      <c r="M38" s="159"/>
      <c r="N38" s="159"/>
      <c r="O38" s="159" t="s">
        <v>659</v>
      </c>
      <c r="P38" s="159" t="s">
        <v>660</v>
      </c>
      <c r="Q38" s="159"/>
      <c r="R38" s="159" t="s">
        <v>661</v>
      </c>
      <c r="S38" s="159" t="s">
        <v>663</v>
      </c>
    </row>
    <row r="39" spans="1:26" x14ac:dyDescent="0.25">
      <c r="A39" s="57"/>
      <c r="B39" s="670"/>
      <c r="C39" s="157" t="s">
        <v>537</v>
      </c>
      <c r="D39" s="160">
        <v>7</v>
      </c>
      <c r="E39" s="160">
        <v>7</v>
      </c>
      <c r="F39" s="160">
        <v>7</v>
      </c>
      <c r="G39" s="160"/>
      <c r="H39" s="160">
        <v>7</v>
      </c>
      <c r="I39" s="160"/>
      <c r="J39" s="160">
        <v>7</v>
      </c>
      <c r="K39" s="160">
        <v>7</v>
      </c>
      <c r="L39" s="160">
        <v>7</v>
      </c>
      <c r="M39" s="160"/>
      <c r="N39" s="160"/>
      <c r="O39" s="160">
        <v>7</v>
      </c>
      <c r="P39" s="160">
        <v>7</v>
      </c>
      <c r="Q39" s="160"/>
      <c r="R39" s="160">
        <v>7</v>
      </c>
      <c r="S39" s="160">
        <v>7</v>
      </c>
    </row>
    <row r="40" spans="1:26" x14ac:dyDescent="0.25">
      <c r="B40" s="670"/>
      <c r="C40" s="157" t="s">
        <v>538</v>
      </c>
      <c r="D40" s="160">
        <v>6</v>
      </c>
      <c r="E40" s="160">
        <v>6</v>
      </c>
      <c r="F40" s="160">
        <v>6</v>
      </c>
      <c r="G40" s="160"/>
      <c r="H40" s="160">
        <v>6.5</v>
      </c>
      <c r="I40" s="160"/>
      <c r="J40" s="160">
        <v>6.75</v>
      </c>
      <c r="K40" s="160">
        <v>6.5</v>
      </c>
      <c r="L40" s="160">
        <v>6.5</v>
      </c>
      <c r="M40" s="160"/>
      <c r="N40" s="160"/>
      <c r="O40" s="160">
        <v>6.5</v>
      </c>
      <c r="P40" s="160">
        <v>6.75</v>
      </c>
      <c r="Q40" s="160"/>
      <c r="R40" s="160">
        <v>6.25</v>
      </c>
      <c r="S40" s="160">
        <v>6.25</v>
      </c>
    </row>
    <row r="41" spans="1:26" x14ac:dyDescent="0.25">
      <c r="B41" s="670"/>
      <c r="C41" s="157" t="s">
        <v>539</v>
      </c>
      <c r="D41" s="160">
        <v>5.25</v>
      </c>
      <c r="E41" s="160">
        <v>5</v>
      </c>
      <c r="F41" s="160">
        <v>5</v>
      </c>
      <c r="G41" s="160"/>
      <c r="H41" s="160">
        <v>5.25</v>
      </c>
      <c r="I41" s="160"/>
      <c r="J41" s="160">
        <v>5.5</v>
      </c>
      <c r="K41" s="160">
        <v>5.5</v>
      </c>
      <c r="L41" s="160">
        <v>6.5</v>
      </c>
      <c r="M41" s="160"/>
      <c r="N41" s="160"/>
      <c r="O41" s="160">
        <v>6.5</v>
      </c>
      <c r="P41" s="160">
        <v>6.5</v>
      </c>
      <c r="Q41" s="160"/>
      <c r="R41" s="160">
        <v>6.75</v>
      </c>
      <c r="S41" s="160">
        <v>6.75</v>
      </c>
    </row>
    <row r="42" spans="1:26" ht="15" customHeight="1" x14ac:dyDescent="0.25">
      <c r="C42" s="153" t="s">
        <v>383</v>
      </c>
      <c r="D42" s="261">
        <f>D34/D35</f>
        <v>9.5688030708386638</v>
      </c>
      <c r="E42" s="261">
        <f>E34/E35</f>
        <v>10.011318553092183</v>
      </c>
      <c r="F42" s="261">
        <f t="shared" ref="F42:S42" si="18">F34/F35</f>
        <v>10.022053675612602</v>
      </c>
      <c r="G42" s="261" t="e">
        <f t="shared" si="18"/>
        <v>#DIV/0!</v>
      </c>
      <c r="H42" s="261">
        <f t="shared" si="18"/>
        <v>10.421230561189994</v>
      </c>
      <c r="I42" s="261" t="e">
        <f t="shared" si="18"/>
        <v>#DIV/0!</v>
      </c>
      <c r="J42" s="261">
        <f t="shared" si="18"/>
        <v>10.518188897541439</v>
      </c>
      <c r="K42" s="261">
        <f t="shared" si="18"/>
        <v>10.379473626252615</v>
      </c>
      <c r="L42" s="261">
        <f t="shared" si="18"/>
        <v>7.246135275640234</v>
      </c>
      <c r="M42" s="261" t="e">
        <f t="shared" si="18"/>
        <v>#DIV/0!</v>
      </c>
      <c r="N42" s="261" t="e">
        <f t="shared" si="18"/>
        <v>#DIV/0!</v>
      </c>
      <c r="O42" s="261">
        <f t="shared" si="18"/>
        <v>7.4597861585787273</v>
      </c>
      <c r="P42" s="261">
        <f t="shared" si="18"/>
        <v>7.6352636477682001</v>
      </c>
      <c r="Q42" s="261" t="e">
        <f t="shared" si="18"/>
        <v>#DIV/0!</v>
      </c>
      <c r="R42" s="261">
        <f t="shared" si="18"/>
        <v>7.6404957578659003</v>
      </c>
      <c r="S42" s="261">
        <f t="shared" si="18"/>
        <v>7.5994312623106923</v>
      </c>
    </row>
    <row r="43" spans="1:26" ht="15" customHeight="1" x14ac:dyDescent="0.25">
      <c r="D43" s="9"/>
      <c r="E43" s="502"/>
      <c r="G43" s="661"/>
      <c r="H43" s="661"/>
      <c r="I43" s="661"/>
      <c r="J43" s="661"/>
    </row>
    <row r="44" spans="1:26" x14ac:dyDescent="0.25">
      <c r="E44" s="341"/>
      <c r="F44" s="341"/>
      <c r="G44" s="341"/>
      <c r="H44" s="341"/>
      <c r="I44" s="341"/>
      <c r="J44" s="341"/>
      <c r="K44" s="341"/>
      <c r="L44" s="341"/>
      <c r="M44" s="341"/>
      <c r="N44" s="341"/>
      <c r="O44" s="341"/>
      <c r="P44" s="341"/>
    </row>
    <row r="45" spans="1:26" x14ac:dyDescent="0.25">
      <c r="D45" s="329"/>
      <c r="G45" s="52"/>
      <c r="H45" s="52"/>
      <c r="I45" s="52"/>
      <c r="J45" s="52"/>
      <c r="K45" s="52"/>
      <c r="L45" s="52"/>
      <c r="M45" s="52"/>
      <c r="N45" s="52"/>
      <c r="O45" s="52"/>
      <c r="P45" s="52"/>
      <c r="Q45" s="52"/>
      <c r="R45" s="52"/>
      <c r="S45" s="52"/>
    </row>
    <row r="46" spans="1:26" x14ac:dyDescent="0.25">
      <c r="G46" s="669"/>
      <c r="H46" s="669"/>
      <c r="I46" s="669"/>
      <c r="J46" s="669"/>
      <c r="M46" s="334"/>
    </row>
    <row r="47" spans="1:26" x14ac:dyDescent="0.25">
      <c r="E47" s="102"/>
      <c r="G47" s="503"/>
      <c r="H47" s="503"/>
      <c r="I47" s="503"/>
      <c r="J47" s="503"/>
    </row>
    <row r="48" spans="1:26" x14ac:dyDescent="0.25">
      <c r="G48" s="669"/>
      <c r="H48" s="669"/>
      <c r="I48" s="669"/>
      <c r="J48" s="669"/>
      <c r="P48" s="334"/>
    </row>
    <row r="49" spans="7:10" ht="15" customHeight="1" x14ac:dyDescent="0.25">
      <c r="G49" s="669"/>
      <c r="H49" s="669"/>
      <c r="I49" s="669"/>
      <c r="J49" s="101"/>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71" t="s">
        <v>641</v>
      </c>
      <c r="C2" s="672"/>
      <c r="D2" s="672"/>
      <c r="E2" s="672"/>
      <c r="F2" s="672"/>
      <c r="G2" s="673"/>
      <c r="I2" s="674" t="s">
        <v>642</v>
      </c>
      <c r="J2" s="675"/>
      <c r="K2" s="675"/>
      <c r="L2" s="675"/>
      <c r="M2" s="675"/>
      <c r="N2" s="675"/>
      <c r="O2" s="675"/>
      <c r="P2" s="675"/>
      <c r="Q2" s="675"/>
      <c r="R2" s="675"/>
      <c r="S2" s="676"/>
    </row>
    <row r="3" spans="2:19" x14ac:dyDescent="0.25">
      <c r="B3" s="677" t="s">
        <v>101</v>
      </c>
      <c r="C3" s="678"/>
      <c r="D3" s="678"/>
      <c r="E3" s="678"/>
      <c r="F3" s="678"/>
      <c r="G3" s="679"/>
      <c r="I3" s="103" t="s">
        <v>102</v>
      </c>
      <c r="J3" s="48" t="s">
        <v>100</v>
      </c>
      <c r="K3" s="48" t="s">
        <v>88</v>
      </c>
      <c r="L3" s="48" t="s">
        <v>103</v>
      </c>
      <c r="M3" s="48" t="s">
        <v>104</v>
      </c>
      <c r="N3" s="48" t="s">
        <v>105</v>
      </c>
      <c r="O3" s="48" t="s">
        <v>106</v>
      </c>
      <c r="P3" s="48" t="s">
        <v>107</v>
      </c>
      <c r="Q3" s="410" t="s">
        <v>108</v>
      </c>
      <c r="R3" s="104" t="s">
        <v>109</v>
      </c>
      <c r="S3" s="104" t="s">
        <v>110</v>
      </c>
    </row>
    <row r="4" spans="2:19" ht="18.75" x14ac:dyDescent="0.3">
      <c r="B4" s="680" t="s">
        <v>111</v>
      </c>
      <c r="C4" s="681"/>
      <c r="D4" s="105"/>
      <c r="E4" s="682" t="s">
        <v>112</v>
      </c>
      <c r="F4" s="683"/>
      <c r="G4" s="105"/>
      <c r="I4" s="345" t="s">
        <v>420</v>
      </c>
      <c r="J4" s="346" t="s">
        <v>657</v>
      </c>
      <c r="K4" s="345">
        <v>0</v>
      </c>
      <c r="L4" s="345">
        <v>0</v>
      </c>
      <c r="M4" s="345">
        <v>71400</v>
      </c>
      <c r="N4" s="345">
        <f>M4*0.05</f>
        <v>3570</v>
      </c>
      <c r="O4" s="347">
        <f t="shared" ref="O4" si="0">IF(M4=0,0,M4-K4)-N4</f>
        <v>67830</v>
      </c>
      <c r="P4" s="347">
        <f t="shared" ref="P4" si="1">IF(M4=0,K4,0)</f>
        <v>0</v>
      </c>
      <c r="Q4" s="348"/>
      <c r="R4" s="349"/>
      <c r="S4" s="349">
        <v>42467</v>
      </c>
    </row>
    <row r="5" spans="2:19" x14ac:dyDescent="0.25">
      <c r="B5" s="109"/>
      <c r="C5" s="110"/>
      <c r="D5" s="184"/>
      <c r="E5" s="109"/>
      <c r="F5" s="110"/>
      <c r="G5" s="111"/>
      <c r="I5" s="345" t="s">
        <v>420</v>
      </c>
      <c r="J5" s="346" t="s">
        <v>658</v>
      </c>
      <c r="K5" s="345">
        <v>0</v>
      </c>
      <c r="L5" s="345">
        <v>0</v>
      </c>
      <c r="M5" s="345">
        <v>13001</v>
      </c>
      <c r="N5" s="345">
        <v>650</v>
      </c>
      <c r="O5" s="347">
        <f t="shared" ref="O5" si="2">IF(M5=0,0,M5-K5)-N5</f>
        <v>12351</v>
      </c>
      <c r="P5" s="347">
        <f t="shared" ref="P5" si="3">IF(M5=0,K5,0)</f>
        <v>0</v>
      </c>
      <c r="Q5" s="348"/>
      <c r="R5" s="349"/>
      <c r="S5" s="349">
        <v>42471</v>
      </c>
    </row>
    <row r="6" spans="2:19" x14ac:dyDescent="0.25">
      <c r="B6" s="112" t="s">
        <v>114</v>
      </c>
      <c r="C6" s="113" t="e">
        <f>SUM(C7:C9)</f>
        <v>#REF!</v>
      </c>
      <c r="D6" s="133" t="e">
        <f>C6/C34</f>
        <v>#REF!</v>
      </c>
      <c r="E6" s="112" t="s">
        <v>115</v>
      </c>
      <c r="F6" s="113" t="e">
        <f>F7+F8+F9</f>
        <v>#REF!</v>
      </c>
      <c r="G6" s="114" t="e">
        <f>F6/$F$34</f>
        <v>#REF!</v>
      </c>
      <c r="I6" s="511" t="s">
        <v>113</v>
      </c>
      <c r="J6" s="106" t="s">
        <v>654</v>
      </c>
      <c r="K6" s="511">
        <v>11662680</v>
      </c>
      <c r="L6" s="511">
        <v>53436</v>
      </c>
      <c r="M6" s="511">
        <v>0</v>
      </c>
      <c r="N6" s="511">
        <v>0</v>
      </c>
      <c r="O6" s="107">
        <f t="shared" ref="O6" si="4">IF(M6=0,0,M6-K6)-N6</f>
        <v>0</v>
      </c>
      <c r="P6" s="107">
        <f t="shared" ref="P6" si="5">IF(M6=0,K6,0)</f>
        <v>11662680</v>
      </c>
      <c r="Q6" s="512"/>
      <c r="R6" s="108">
        <v>42468</v>
      </c>
      <c r="S6" s="108"/>
    </row>
    <row r="7" spans="2:19" x14ac:dyDescent="0.25">
      <c r="B7" s="115" t="s">
        <v>84</v>
      </c>
      <c r="C7" s="116" t="e">
        <f>'A-P_T48'!C7+EconomiaT49!C16</f>
        <v>#REF!</v>
      </c>
      <c r="D7" s="185" t="e">
        <f>C7/C34</f>
        <v>#REF!</v>
      </c>
      <c r="E7" s="186" t="s">
        <v>116</v>
      </c>
      <c r="F7" s="187">
        <v>300000</v>
      </c>
      <c r="G7" s="117" t="e">
        <f>F7/$F$34</f>
        <v>#REF!</v>
      </c>
      <c r="I7" s="413"/>
      <c r="J7" s="413"/>
      <c r="K7" s="413"/>
      <c r="L7" s="413"/>
      <c r="M7" s="413"/>
      <c r="N7" s="413"/>
      <c r="O7" s="413"/>
      <c r="P7" s="413"/>
      <c r="Q7" s="413"/>
      <c r="R7" s="413"/>
      <c r="S7" s="413"/>
    </row>
    <row r="8" spans="2:19" x14ac:dyDescent="0.25">
      <c r="B8" s="115" t="s">
        <v>67</v>
      </c>
      <c r="C8" s="116" t="e">
        <f>'A-P_T48'!C8+EconomiaT49!C20+'A-P_T48'!C9</f>
        <v>#REF!</v>
      </c>
      <c r="D8" s="185" t="e">
        <f>C8/C34</f>
        <v>#REF!</v>
      </c>
      <c r="E8" s="186" t="s">
        <v>238</v>
      </c>
      <c r="F8" s="187" t="e">
        <f>'A-P_T48'!F9+'A-P_T48'!F8</f>
        <v>#REF!</v>
      </c>
      <c r="G8" s="117" t="e">
        <f>F8/$F$34</f>
        <v>#REF!</v>
      </c>
      <c r="I8" s="413"/>
      <c r="J8" s="413"/>
      <c r="K8" s="413"/>
      <c r="L8" s="413"/>
      <c r="M8" s="413"/>
      <c r="N8" s="413"/>
      <c r="O8" s="413"/>
      <c r="P8" s="413"/>
      <c r="Q8" s="413"/>
      <c r="R8" s="413"/>
      <c r="S8" s="413"/>
    </row>
    <row r="9" spans="2:19" x14ac:dyDescent="0.25">
      <c r="B9" s="118" t="s">
        <v>117</v>
      </c>
      <c r="C9" s="119">
        <v>0</v>
      </c>
      <c r="D9" s="185" t="e">
        <f>C9/C34</f>
        <v>#REF!</v>
      </c>
      <c r="E9" s="186" t="s">
        <v>643</v>
      </c>
      <c r="F9" s="187">
        <f>'A-P_T48'!F11-2059800</f>
        <v>398312</v>
      </c>
      <c r="G9" s="117" t="e">
        <f>F9/$F$34</f>
        <v>#REF!</v>
      </c>
      <c r="I9" s="413"/>
      <c r="J9" s="413"/>
      <c r="K9" s="413"/>
      <c r="L9" s="413"/>
      <c r="M9" s="413"/>
      <c r="N9" s="413"/>
      <c r="O9" s="413"/>
      <c r="P9" s="413"/>
      <c r="Q9" s="413"/>
      <c r="R9" s="413"/>
      <c r="S9" s="413"/>
    </row>
    <row r="10" spans="2:19" x14ac:dyDescent="0.25">
      <c r="B10" s="120"/>
      <c r="C10" s="121"/>
      <c r="D10" s="133"/>
      <c r="E10" s="188"/>
      <c r="F10" s="121"/>
      <c r="G10" s="114"/>
      <c r="I10" s="413"/>
      <c r="J10" s="413"/>
      <c r="K10" s="413"/>
      <c r="L10" s="413"/>
      <c r="M10" s="413"/>
      <c r="N10" s="413"/>
      <c r="O10" s="413"/>
      <c r="P10" s="413"/>
      <c r="Q10" s="413"/>
      <c r="R10" s="413"/>
      <c r="S10" s="413"/>
    </row>
    <row r="11" spans="2:19" x14ac:dyDescent="0.25">
      <c r="B11" s="112" t="s">
        <v>100</v>
      </c>
      <c r="C11" s="113">
        <f>SUM(C12:C15)</f>
        <v>11662680</v>
      </c>
      <c r="D11" s="133" t="e">
        <f>C11/C34</f>
        <v>#REF!</v>
      </c>
      <c r="E11" s="112" t="s">
        <v>528</v>
      </c>
      <c r="F11" s="113">
        <f>SUM(F12:F17)</f>
        <v>5554171</v>
      </c>
      <c r="G11" s="114" t="e">
        <f t="shared" ref="G11:G17" si="6">F11/$F$34</f>
        <v>#REF!</v>
      </c>
      <c r="I11" s="413"/>
      <c r="J11" s="413"/>
      <c r="K11" s="413"/>
      <c r="L11" s="413"/>
      <c r="M11" s="413"/>
      <c r="N11" s="413"/>
      <c r="O11" s="413"/>
      <c r="P11" s="413"/>
      <c r="Q11" s="413"/>
      <c r="R11" s="413"/>
      <c r="S11" s="413"/>
    </row>
    <row r="12" spans="2:19" x14ac:dyDescent="0.25">
      <c r="B12" s="122" t="s">
        <v>118</v>
      </c>
      <c r="C12" s="123">
        <f>SUMIF(I4:I520,"S",$P$4:$P$520)</f>
        <v>0</v>
      </c>
      <c r="D12" s="185" t="e">
        <f>C12/C34</f>
        <v>#REF!</v>
      </c>
      <c r="E12" s="49" t="s">
        <v>119</v>
      </c>
      <c r="F12" s="124">
        <f>SUMIF(I4:I520,"J",$O$4:$O$520)</f>
        <v>0</v>
      </c>
      <c r="G12" s="117" t="e">
        <f t="shared" si="6"/>
        <v>#REF!</v>
      </c>
      <c r="I12" s="413"/>
      <c r="J12" s="413"/>
      <c r="K12" s="413"/>
      <c r="L12" s="413"/>
      <c r="M12" s="413"/>
      <c r="N12" s="413"/>
      <c r="O12" s="413"/>
      <c r="P12" s="413"/>
      <c r="Q12" s="413"/>
      <c r="R12" s="413"/>
      <c r="S12" s="413"/>
    </row>
    <row r="13" spans="2:19" x14ac:dyDescent="0.25">
      <c r="B13" s="122" t="s">
        <v>100</v>
      </c>
      <c r="C13" s="123">
        <f>SUMIF(I4:I520,"J",$P$4:$P$520)</f>
        <v>11662680</v>
      </c>
      <c r="D13" s="185" t="e">
        <f>C13/C34</f>
        <v>#REF!</v>
      </c>
      <c r="E13" s="49" t="s">
        <v>120</v>
      </c>
      <c r="F13" s="124">
        <f>SUMIF(I4:I520,"S",$O$4:$O$520)</f>
        <v>0</v>
      </c>
      <c r="G13" s="117" t="e">
        <f t="shared" si="6"/>
        <v>#REF!</v>
      </c>
      <c r="I13" s="413"/>
      <c r="J13" s="413"/>
      <c r="K13" s="413"/>
      <c r="L13" s="413"/>
      <c r="M13" s="413"/>
      <c r="N13" s="413"/>
      <c r="O13" s="413"/>
      <c r="P13" s="413"/>
      <c r="Q13" s="413"/>
      <c r="R13" s="413"/>
      <c r="S13" s="413"/>
    </row>
    <row r="14" spans="2:19" x14ac:dyDescent="0.25">
      <c r="B14" s="122" t="s">
        <v>99</v>
      </c>
      <c r="C14" s="123">
        <f>SUMIF(I4:I520,"E",$P$4:$P$520)</f>
        <v>0</v>
      </c>
      <c r="D14" s="185" t="e">
        <f>C14/C34</f>
        <v>#REF!</v>
      </c>
      <c r="E14" s="49" t="s">
        <v>121</v>
      </c>
      <c r="F14" s="124">
        <f>SUMIF(I4:I520,"C",$O$4:$O$520)</f>
        <v>80181</v>
      </c>
      <c r="G14" s="117" t="e">
        <f t="shared" si="6"/>
        <v>#REF!</v>
      </c>
      <c r="I14" s="413"/>
      <c r="J14" s="413"/>
      <c r="K14" s="413"/>
      <c r="L14" s="413"/>
      <c r="M14" s="413"/>
      <c r="N14" s="413"/>
      <c r="O14" s="413"/>
      <c r="P14" s="413"/>
      <c r="Q14" s="413"/>
      <c r="R14" s="413"/>
      <c r="S14" s="413"/>
    </row>
    <row r="15" spans="2:19" x14ac:dyDescent="0.25">
      <c r="B15" s="122" t="s">
        <v>122</v>
      </c>
      <c r="C15" s="123">
        <f>SUMIF(I4:I520,"M",$P$4:$P$520)</f>
        <v>0</v>
      </c>
      <c r="D15" s="185" t="e">
        <f>C15/C34</f>
        <v>#REF!</v>
      </c>
      <c r="E15" s="49" t="s">
        <v>123</v>
      </c>
      <c r="F15" s="124">
        <f>SUMIF(I4:I520,"E",$O$4:$O$520)</f>
        <v>0</v>
      </c>
      <c r="G15" s="117" t="e">
        <f t="shared" si="6"/>
        <v>#REF!</v>
      </c>
      <c r="I15" s="413"/>
      <c r="J15" s="413"/>
      <c r="K15" s="413"/>
      <c r="L15" s="413"/>
      <c r="M15" s="413"/>
      <c r="N15" s="413"/>
      <c r="O15" s="413"/>
      <c r="P15" s="413"/>
      <c r="Q15" s="413"/>
      <c r="R15" s="413"/>
      <c r="S15" s="413"/>
    </row>
    <row r="16" spans="2:19" x14ac:dyDescent="0.25">
      <c r="B16" s="125"/>
      <c r="C16" s="126"/>
      <c r="D16" s="133"/>
      <c r="E16" s="49" t="s">
        <v>124</v>
      </c>
      <c r="F16" s="124">
        <f>SUMIF(I4:I520,"M",$O$4:$O$520)</f>
        <v>0</v>
      </c>
      <c r="G16" s="117" t="e">
        <f t="shared" si="6"/>
        <v>#REF!</v>
      </c>
      <c r="I16" s="413"/>
      <c r="J16" s="413"/>
      <c r="K16" s="413"/>
      <c r="L16" s="413"/>
      <c r="M16" s="413"/>
      <c r="N16" s="413"/>
      <c r="O16" s="413"/>
      <c r="P16" s="413"/>
      <c r="Q16" s="413"/>
      <c r="R16" s="413"/>
      <c r="S16" s="413"/>
    </row>
    <row r="17" spans="2:11" x14ac:dyDescent="0.25">
      <c r="B17" s="112" t="s">
        <v>74</v>
      </c>
      <c r="C17" s="127">
        <f>C18+C19</f>
        <v>80181</v>
      </c>
      <c r="D17" s="133" t="e">
        <f>C17/C34</f>
        <v>#REF!</v>
      </c>
      <c r="E17" s="128" t="s">
        <v>529</v>
      </c>
      <c r="F17" s="129">
        <f>C27-F27+C9</f>
        <v>5473990</v>
      </c>
      <c r="G17" s="117" t="e">
        <f t="shared" si="6"/>
        <v>#REF!</v>
      </c>
      <c r="K17" s="102"/>
    </row>
    <row r="18" spans="2:11" x14ac:dyDescent="0.25">
      <c r="B18" s="122" t="s">
        <v>74</v>
      </c>
      <c r="C18" s="123">
        <f>SUM(M4:M520)</f>
        <v>84401</v>
      </c>
      <c r="D18" s="185" t="e">
        <f>C18/C34</f>
        <v>#REF!</v>
      </c>
      <c r="E18" s="120"/>
      <c r="F18" s="121"/>
      <c r="G18" s="130"/>
    </row>
    <row r="19" spans="2:11" x14ac:dyDescent="0.25">
      <c r="B19" s="118" t="s">
        <v>76</v>
      </c>
      <c r="C19" s="119">
        <f>SUM(N4:N520)*-1</f>
        <v>-4220</v>
      </c>
      <c r="D19" s="185" t="e">
        <f>C19/C34</f>
        <v>#REF!</v>
      </c>
      <c r="E19" s="112" t="s">
        <v>125</v>
      </c>
      <c r="F19" s="127">
        <f>F20+F21</f>
        <v>11662680</v>
      </c>
      <c r="G19" s="114" t="e">
        <f>F19/$F$34</f>
        <v>#REF!</v>
      </c>
    </row>
    <row r="20" spans="2:11" x14ac:dyDescent="0.25">
      <c r="B20" s="125"/>
      <c r="C20" s="126"/>
      <c r="D20" s="185"/>
      <c r="E20" s="189" t="s">
        <v>88</v>
      </c>
      <c r="F20" s="190">
        <f>EconomiaT49!C19</f>
        <v>11716116</v>
      </c>
      <c r="G20" s="117" t="e">
        <f>F20/$F$34</f>
        <v>#REF!</v>
      </c>
    </row>
    <row r="21" spans="2:11" x14ac:dyDescent="0.25">
      <c r="B21" s="112" t="s">
        <v>530</v>
      </c>
      <c r="C21" s="113">
        <f>EconomiaT49!C5</f>
        <v>5960252</v>
      </c>
      <c r="D21" s="133" t="e">
        <f>C21/C34</f>
        <v>#REF!</v>
      </c>
      <c r="E21" s="118" t="s">
        <v>126</v>
      </c>
      <c r="F21" s="191">
        <f>SUM(L4:L520)*-1</f>
        <v>-53436</v>
      </c>
      <c r="G21" s="117" t="e">
        <f>F21/$F$34</f>
        <v>#REF!</v>
      </c>
    </row>
    <row r="22" spans="2:11" x14ac:dyDescent="0.25">
      <c r="B22" s="112"/>
      <c r="C22" s="113"/>
      <c r="D22" s="133"/>
      <c r="E22" s="125"/>
      <c r="F22" s="411"/>
      <c r="G22" s="412"/>
    </row>
    <row r="23" spans="2:11" x14ac:dyDescent="0.25">
      <c r="B23" s="112"/>
      <c r="C23" s="113"/>
      <c r="D23" s="133"/>
      <c r="E23" s="112" t="s">
        <v>239</v>
      </c>
      <c r="F23" s="113">
        <f>SUM(F24:F25)</f>
        <v>374485</v>
      </c>
      <c r="G23" s="114" t="e">
        <f>F23/$F$34</f>
        <v>#REF!</v>
      </c>
    </row>
    <row r="24" spans="2:11" x14ac:dyDescent="0.25">
      <c r="B24" s="112"/>
      <c r="C24" s="113"/>
      <c r="D24" s="133"/>
      <c r="E24" s="189" t="s">
        <v>84</v>
      </c>
      <c r="F24" s="192">
        <f>EconomiaT49!C16</f>
        <v>374485</v>
      </c>
      <c r="G24" s="117" t="e">
        <f>F24/$F$34</f>
        <v>#REF!</v>
      </c>
    </row>
    <row r="25" spans="2:11" x14ac:dyDescent="0.25">
      <c r="B25" s="112"/>
      <c r="C25" s="113"/>
      <c r="D25" s="133"/>
      <c r="E25" s="189" t="s">
        <v>67</v>
      </c>
      <c r="F25" s="192">
        <f>EconomiaT49!C20</f>
        <v>0</v>
      </c>
      <c r="G25" s="117" t="e">
        <f>F25/$F$34</f>
        <v>#REF!</v>
      </c>
    </row>
    <row r="26" spans="2:11" x14ac:dyDescent="0.25">
      <c r="B26" s="513"/>
      <c r="C26" s="514"/>
      <c r="D26" s="515"/>
      <c r="E26" s="516"/>
      <c r="F26" s="517"/>
      <c r="G26" s="518"/>
    </row>
    <row r="27" spans="2:11" x14ac:dyDescent="0.25">
      <c r="B27" s="112" t="s">
        <v>127</v>
      </c>
      <c r="C27" s="113">
        <f>SUM(C28:C32)</f>
        <v>9415879</v>
      </c>
      <c r="D27" s="133" t="e">
        <f>C27/C34</f>
        <v>#REF!</v>
      </c>
      <c r="E27" s="112" t="s">
        <v>240</v>
      </c>
      <c r="F27" s="113">
        <f>SUM(F28:F33)</f>
        <v>3941889</v>
      </c>
      <c r="G27" s="114" t="e">
        <f t="shared" ref="G27:G33" si="7">F27/$F$34</f>
        <v>#REF!</v>
      </c>
    </row>
    <row r="28" spans="2:11" x14ac:dyDescent="0.25">
      <c r="B28" s="131" t="s">
        <v>69</v>
      </c>
      <c r="C28" s="132">
        <f>EconomiaT49!C11</f>
        <v>88230</v>
      </c>
      <c r="D28" s="185" t="e">
        <f>C28/C34</f>
        <v>#REF!</v>
      </c>
      <c r="E28" s="189" t="s">
        <v>128</v>
      </c>
      <c r="F28" s="192">
        <f>EconomiaT49!C14</f>
        <v>1893144</v>
      </c>
      <c r="G28" s="117" t="e">
        <f t="shared" si="7"/>
        <v>#REF!</v>
      </c>
    </row>
    <row r="29" spans="2:11" x14ac:dyDescent="0.25">
      <c r="B29" s="131" t="s">
        <v>79</v>
      </c>
      <c r="C29" s="132">
        <f>EconomiaT49!C12</f>
        <v>1105000</v>
      </c>
      <c r="D29" s="185" t="e">
        <f>C29/C34</f>
        <v>#REF!</v>
      </c>
      <c r="E29" s="189" t="s">
        <v>82</v>
      </c>
      <c r="F29" s="192">
        <f>EconomiaT49!C15</f>
        <v>606265</v>
      </c>
      <c r="G29" s="117" t="e">
        <f t="shared" si="7"/>
        <v>#REF!</v>
      </c>
    </row>
    <row r="30" spans="2:11" x14ac:dyDescent="0.25">
      <c r="B30" s="131" t="s">
        <v>71</v>
      </c>
      <c r="C30" s="132">
        <f>EconomiaT49!C6</f>
        <v>5131192</v>
      </c>
      <c r="D30" s="185" t="e">
        <f>C30/C34</f>
        <v>#REF!</v>
      </c>
      <c r="E30" s="189" t="s">
        <v>85</v>
      </c>
      <c r="F30" s="192">
        <f>EconomiaT49!C17</f>
        <v>1044480</v>
      </c>
      <c r="G30" s="117" t="e">
        <f t="shared" si="7"/>
        <v>#REF!</v>
      </c>
    </row>
    <row r="31" spans="2:11" x14ac:dyDescent="0.25">
      <c r="B31" s="131" t="s">
        <v>72</v>
      </c>
      <c r="C31" s="132">
        <f>EconomiaT49!C7</f>
        <v>2970900</v>
      </c>
      <c r="D31" s="185" t="e">
        <f>C31/C34</f>
        <v>#REF!</v>
      </c>
      <c r="E31" s="189" t="s">
        <v>86</v>
      </c>
      <c r="F31" s="192">
        <f>EconomiaT49!C18</f>
        <v>320000</v>
      </c>
      <c r="G31" s="117" t="e">
        <f t="shared" si="7"/>
        <v>#REF!</v>
      </c>
    </row>
    <row r="32" spans="2:11" x14ac:dyDescent="0.25">
      <c r="B32" s="131" t="s">
        <v>76</v>
      </c>
      <c r="C32" s="132">
        <f>EconomiaT49!C10</f>
        <v>120557</v>
      </c>
      <c r="D32" s="185" t="e">
        <f>C32/C34</f>
        <v>#REF!</v>
      </c>
      <c r="E32" s="189" t="s">
        <v>89</v>
      </c>
      <c r="F32" s="192">
        <f>EconomiaT49!C21</f>
        <v>78000</v>
      </c>
      <c r="G32" s="117" t="e">
        <f t="shared" si="7"/>
        <v>#REF!</v>
      </c>
    </row>
    <row r="33" spans="2:10" x14ac:dyDescent="0.25">
      <c r="B33" s="112"/>
      <c r="C33" s="113"/>
      <c r="D33" s="133"/>
      <c r="E33" s="414" t="s">
        <v>90</v>
      </c>
      <c r="F33" s="415">
        <f>EconomiaT49!C22</f>
        <v>0</v>
      </c>
      <c r="G33" s="416" t="e">
        <f t="shared" si="7"/>
        <v>#REF!</v>
      </c>
    </row>
    <row r="34" spans="2:10" ht="18.75" x14ac:dyDescent="0.3">
      <c r="B34" s="135" t="s">
        <v>27</v>
      </c>
      <c r="C34" s="136" t="e">
        <f>C27+C21+C17+C11+C6</f>
        <v>#REF!</v>
      </c>
      <c r="D34" s="417" t="e">
        <f>C34/C34</f>
        <v>#REF!</v>
      </c>
      <c r="E34" s="135" t="s">
        <v>27</v>
      </c>
      <c r="F34" s="136" t="e">
        <f>F27+F19+F11+F6+F23</f>
        <v>#REF!</v>
      </c>
      <c r="G34" s="134" t="e">
        <f>F34/$F$34</f>
        <v>#REF!</v>
      </c>
      <c r="J34" s="102"/>
    </row>
    <row r="35" spans="2:10" x14ac:dyDescent="0.25">
      <c r="C35" s="102"/>
      <c r="D35" s="418"/>
      <c r="E35" s="419" t="s">
        <v>491</v>
      </c>
      <c r="F35" s="420" t="e">
        <f>F34-C34</f>
        <v>#REF!</v>
      </c>
      <c r="G35" s="102"/>
    </row>
    <row r="36" spans="2:10" x14ac:dyDescent="0.25">
      <c r="C36" s="102"/>
      <c r="D36" s="102"/>
      <c r="F36" s="102"/>
      <c r="G36" s="102"/>
      <c r="H36" s="102"/>
    </row>
    <row r="37" spans="2:10" ht="15.75" x14ac:dyDescent="0.25">
      <c r="B37" s="421" t="s">
        <v>531</v>
      </c>
      <c r="C37" s="422">
        <f>EconomiaT48!C24</f>
        <v>5960252</v>
      </c>
      <c r="D37" s="102"/>
      <c r="E37" s="4" t="s">
        <v>532</v>
      </c>
      <c r="F37" s="98">
        <f>C27-F27</f>
        <v>5473990</v>
      </c>
      <c r="G37" s="98"/>
    </row>
    <row r="38" spans="2:10" x14ac:dyDescent="0.25">
      <c r="C38" s="98">
        <f>C37-C21</f>
        <v>0</v>
      </c>
      <c r="D38" s="102"/>
      <c r="F38" s="102"/>
      <c r="G38" s="102"/>
    </row>
    <row r="39" spans="2:10" x14ac:dyDescent="0.25">
      <c r="C39" s="102"/>
      <c r="D39" s="102"/>
      <c r="F39" s="102"/>
      <c r="G39" s="102"/>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3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EconomiaT49!S25</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25" customFormat="1" x14ac:dyDescent="0.25">
      <c r="A3" s="299"/>
      <c r="B3" s="299"/>
      <c r="C3" s="299" t="s">
        <v>504</v>
      </c>
      <c r="D3" s="323" t="s">
        <v>28</v>
      </c>
      <c r="E3" s="323" t="s">
        <v>29</v>
      </c>
      <c r="F3" s="323" t="s">
        <v>30</v>
      </c>
      <c r="G3" s="323" t="s">
        <v>31</v>
      </c>
      <c r="H3" s="323" t="s">
        <v>32</v>
      </c>
      <c r="I3" s="323" t="s">
        <v>33</v>
      </c>
      <c r="J3" s="323" t="s">
        <v>34</v>
      </c>
      <c r="K3" s="323" t="s">
        <v>35</v>
      </c>
      <c r="L3" s="323" t="s">
        <v>36</v>
      </c>
      <c r="M3" s="323" t="s">
        <v>37</v>
      </c>
      <c r="N3" s="323" t="s">
        <v>38</v>
      </c>
      <c r="O3" s="323" t="s">
        <v>39</v>
      </c>
      <c r="P3" s="323" t="s">
        <v>40</v>
      </c>
      <c r="Q3" s="323" t="s">
        <v>41</v>
      </c>
      <c r="R3" s="323" t="s">
        <v>42</v>
      </c>
      <c r="S3" s="324" t="s">
        <v>43</v>
      </c>
    </row>
    <row r="4" spans="1:26" s="58" customFormat="1" x14ac:dyDescent="0.25">
      <c r="A4" s="57"/>
      <c r="B4" s="59"/>
      <c r="C4" s="59" t="s">
        <v>69</v>
      </c>
      <c r="D4" s="60">
        <v>2849</v>
      </c>
      <c r="E4" s="60">
        <f t="shared" ref="E4:S4" si="1">D4+(D11/30)</f>
        <v>2853</v>
      </c>
      <c r="F4" s="60">
        <f t="shared" si="1"/>
        <v>2861</v>
      </c>
      <c r="G4" s="60">
        <f t="shared" si="1"/>
        <v>2869</v>
      </c>
      <c r="H4" s="60">
        <f t="shared" si="1"/>
        <v>2873</v>
      </c>
      <c r="I4" s="60">
        <f t="shared" si="1"/>
        <v>2877</v>
      </c>
      <c r="J4" s="60">
        <f t="shared" ref="J4" si="2">I4+(I11/30)</f>
        <v>2884</v>
      </c>
      <c r="K4" s="60">
        <f t="shared" ref="K4" si="3">J4+(J11/30)</f>
        <v>2889</v>
      </c>
      <c r="L4" s="60">
        <f t="shared" ref="L4" si="4">K4+(K11/30)</f>
        <v>2891</v>
      </c>
      <c r="M4" s="60">
        <f t="shared" ref="M4" si="5">L4+(L11/30)</f>
        <v>2897</v>
      </c>
      <c r="N4" s="60">
        <f t="shared" ref="N4" si="6">M4+(M11/30)</f>
        <v>2903</v>
      </c>
      <c r="O4" s="60">
        <f t="shared" ref="O4" si="7">N4+(N11/30)</f>
        <v>2904</v>
      </c>
      <c r="P4" s="60">
        <f t="shared" ref="P4" si="8">O4+(O11/30)</f>
        <v>2904</v>
      </c>
      <c r="Q4" s="60">
        <f t="shared" ref="Q4" si="9">P4+(P11/30)</f>
        <v>2905</v>
      </c>
      <c r="R4" s="60">
        <f t="shared" ref="R4" si="10">Q4+(Q11/30)</f>
        <v>2912</v>
      </c>
      <c r="S4" s="195">
        <f t="shared" si="1"/>
        <v>2918</v>
      </c>
    </row>
    <row r="5" spans="1:26" s="65" customFormat="1" ht="18.75" x14ac:dyDescent="0.3">
      <c r="A5" s="61" t="s">
        <v>70</v>
      </c>
      <c r="B5" s="61"/>
      <c r="C5" s="62">
        <f>EconomiaT49!C24</f>
        <v>-383803</v>
      </c>
      <c r="D5" s="63">
        <f>C5</f>
        <v>-383803</v>
      </c>
      <c r="E5" s="63">
        <f t="shared" ref="E5:Q5" si="11">D24</f>
        <v>-437797</v>
      </c>
      <c r="F5" s="63">
        <f t="shared" si="11"/>
        <v>-942083</v>
      </c>
      <c r="G5" s="63">
        <f t="shared" si="11"/>
        <v>-367424</v>
      </c>
      <c r="H5" s="63">
        <f t="shared" si="11"/>
        <v>-272077</v>
      </c>
      <c r="I5" s="63">
        <f t="shared" si="11"/>
        <v>264462</v>
      </c>
      <c r="J5" s="63">
        <f t="shared" si="11"/>
        <v>978434</v>
      </c>
      <c r="K5" s="63">
        <f t="shared" si="11"/>
        <v>1487831</v>
      </c>
      <c r="L5" s="63">
        <f t="shared" si="11"/>
        <v>2546319</v>
      </c>
      <c r="M5" s="63">
        <f t="shared" si="11"/>
        <v>3288287</v>
      </c>
      <c r="N5" s="63">
        <f t="shared" si="11"/>
        <v>3753864</v>
      </c>
      <c r="O5" s="63">
        <f t="shared" si="11"/>
        <v>3716393</v>
      </c>
      <c r="P5" s="63">
        <f t="shared" si="11"/>
        <v>3737630</v>
      </c>
      <c r="Q5" s="63">
        <f t="shared" si="11"/>
        <v>4134025</v>
      </c>
      <c r="R5" s="63">
        <f>Q24</f>
        <v>4045914</v>
      </c>
      <c r="S5" s="64">
        <f>R24</f>
        <v>2716871</v>
      </c>
    </row>
    <row r="6" spans="1:26" x14ac:dyDescent="0.25">
      <c r="A6" s="66" t="s">
        <v>71</v>
      </c>
      <c r="B6" s="66" t="s">
        <v>71</v>
      </c>
      <c r="C6" s="67">
        <f t="shared" ref="C6:C23" si="12">SUM(D6:S6)</f>
        <v>6222531</v>
      </c>
      <c r="D6" s="68">
        <v>34650</v>
      </c>
      <c r="E6" s="68">
        <v>53998</v>
      </c>
      <c r="F6" s="68">
        <v>674608</v>
      </c>
      <c r="G6" s="68">
        <v>189581</v>
      </c>
      <c r="H6" s="68">
        <v>637879</v>
      </c>
      <c r="I6" s="68">
        <v>754027</v>
      </c>
      <c r="J6" s="68">
        <v>359672</v>
      </c>
      <c r="K6" s="68">
        <v>1076131</v>
      </c>
      <c r="L6" s="68">
        <v>602458</v>
      </c>
      <c r="M6" s="406">
        <f>25483+550584</f>
        <v>576067</v>
      </c>
      <c r="N6" s="406">
        <f>14126+59043</f>
        <v>73169</v>
      </c>
      <c r="O6" s="406">
        <v>21707</v>
      </c>
      <c r="P6" s="406">
        <f>22579+394156</f>
        <v>416735</v>
      </c>
      <c r="Q6" s="406">
        <v>21824</v>
      </c>
      <c r="R6" s="406">
        <f>681438+23776</f>
        <v>705214</v>
      </c>
      <c r="S6" s="69">
        <v>24811</v>
      </c>
      <c r="Y6" s="66" t="s">
        <v>71</v>
      </c>
      <c r="Z6" s="70">
        <f>C6/$C$13</f>
        <v>0.5685946521026749</v>
      </c>
    </row>
    <row r="7" spans="1:26" x14ac:dyDescent="0.25">
      <c r="A7" s="66" t="s">
        <v>72</v>
      </c>
      <c r="B7" s="66" t="s">
        <v>72</v>
      </c>
      <c r="C7" s="67">
        <f t="shared" si="12"/>
        <v>3046995</v>
      </c>
      <c r="D7" s="71">
        <v>138385</v>
      </c>
      <c r="E7" s="71">
        <v>164470</v>
      </c>
      <c r="F7" s="71">
        <v>180010</v>
      </c>
      <c r="G7" s="71">
        <v>188705</v>
      </c>
      <c r="H7" s="71">
        <v>193330</v>
      </c>
      <c r="I7" s="71">
        <v>195735</v>
      </c>
      <c r="J7" s="71">
        <v>197215</v>
      </c>
      <c r="K7" s="71">
        <v>198140</v>
      </c>
      <c r="L7" s="71">
        <v>198540</v>
      </c>
      <c r="M7" s="71">
        <f t="shared" ref="M7:P7" si="13">L7</f>
        <v>198540</v>
      </c>
      <c r="N7" s="71">
        <f t="shared" si="13"/>
        <v>198540</v>
      </c>
      <c r="O7" s="71">
        <f t="shared" si="13"/>
        <v>198540</v>
      </c>
      <c r="P7" s="71">
        <f t="shared" si="13"/>
        <v>198540</v>
      </c>
      <c r="Q7" s="71">
        <v>199065</v>
      </c>
      <c r="R7" s="71">
        <v>199435</v>
      </c>
      <c r="S7" s="69">
        <v>199805</v>
      </c>
      <c r="Y7" s="66" t="s">
        <v>72</v>
      </c>
      <c r="Z7" s="70">
        <f t="shared" ref="Z7:Z12" si="14">C7/$C$13</f>
        <v>0.27842449671742736</v>
      </c>
    </row>
    <row r="8" spans="1:26" x14ac:dyDescent="0.25">
      <c r="A8" s="66" t="s">
        <v>73</v>
      </c>
      <c r="B8" s="66" t="s">
        <v>74</v>
      </c>
      <c r="C8" s="67">
        <f t="shared" si="12"/>
        <v>0</v>
      </c>
      <c r="D8" s="68">
        <v>0</v>
      </c>
      <c r="E8" s="68">
        <v>0</v>
      </c>
      <c r="F8" s="68">
        <v>0</v>
      </c>
      <c r="G8" s="68">
        <v>0</v>
      </c>
      <c r="H8" s="68">
        <v>0</v>
      </c>
      <c r="I8" s="68">
        <v>0</v>
      </c>
      <c r="J8" s="68">
        <v>0</v>
      </c>
      <c r="K8" s="68">
        <v>0</v>
      </c>
      <c r="L8" s="68">
        <v>0</v>
      </c>
      <c r="M8" s="68">
        <v>0</v>
      </c>
      <c r="N8" s="68">
        <v>0</v>
      </c>
      <c r="O8" s="68">
        <v>0</v>
      </c>
      <c r="P8" s="68">
        <v>0</v>
      </c>
      <c r="Q8" s="68">
        <v>0</v>
      </c>
      <c r="R8" s="68">
        <v>0</v>
      </c>
      <c r="S8" s="69">
        <v>0</v>
      </c>
      <c r="Y8" s="66" t="s">
        <v>74</v>
      </c>
      <c r="Z8" s="70">
        <f t="shared" si="14"/>
        <v>0</v>
      </c>
    </row>
    <row r="9" spans="1:26" x14ac:dyDescent="0.25">
      <c r="A9" s="66"/>
      <c r="B9" s="66" t="s">
        <v>75</v>
      </c>
      <c r="C9" s="67">
        <f t="shared" si="12"/>
        <v>585827</v>
      </c>
      <c r="D9" s="68">
        <v>56050</v>
      </c>
      <c r="E9" s="68">
        <v>0</v>
      </c>
      <c r="F9" s="68">
        <v>0</v>
      </c>
      <c r="G9" s="68">
        <v>0</v>
      </c>
      <c r="H9" s="68">
        <v>0</v>
      </c>
      <c r="I9" s="68">
        <v>1900</v>
      </c>
      <c r="J9" s="68">
        <v>247950</v>
      </c>
      <c r="K9" s="68">
        <v>80427</v>
      </c>
      <c r="L9" s="68">
        <v>0</v>
      </c>
      <c r="M9" s="68">
        <v>0</v>
      </c>
      <c r="N9" s="68">
        <v>0</v>
      </c>
      <c r="O9" s="68">
        <v>110200</v>
      </c>
      <c r="P9" s="68">
        <f>79800+9500</f>
        <v>89300</v>
      </c>
      <c r="Q9" s="68">
        <v>0</v>
      </c>
      <c r="R9" s="68">
        <v>0</v>
      </c>
      <c r="S9" s="69">
        <v>0</v>
      </c>
      <c r="Y9" s="66" t="s">
        <v>75</v>
      </c>
      <c r="Z9" s="70">
        <f t="shared" si="14"/>
        <v>5.3530966620713299E-2</v>
      </c>
    </row>
    <row r="10" spans="1:26" x14ac:dyDescent="0.25">
      <c r="A10" s="66" t="s">
        <v>76</v>
      </c>
      <c r="B10" s="66" t="s">
        <v>76</v>
      </c>
      <c r="C10" s="67">
        <f t="shared" si="12"/>
        <v>73830</v>
      </c>
      <c r="D10" s="71">
        <v>0</v>
      </c>
      <c r="E10" s="71">
        <v>0</v>
      </c>
      <c r="F10" s="71">
        <v>0</v>
      </c>
      <c r="G10" s="71">
        <v>0</v>
      </c>
      <c r="H10" s="71">
        <v>0</v>
      </c>
      <c r="I10" s="71">
        <v>54960</v>
      </c>
      <c r="J10" s="71">
        <v>0</v>
      </c>
      <c r="K10" s="71">
        <v>0</v>
      </c>
      <c r="L10" s="71">
        <v>0</v>
      </c>
      <c r="M10" s="71">
        <v>0</v>
      </c>
      <c r="N10" s="71">
        <v>0</v>
      </c>
      <c r="O10" s="71">
        <v>0</v>
      </c>
      <c r="P10" s="71">
        <v>0</v>
      </c>
      <c r="Q10" s="71">
        <v>0</v>
      </c>
      <c r="R10" s="71">
        <v>0</v>
      </c>
      <c r="S10" s="69">
        <v>18870</v>
      </c>
      <c r="Y10" s="66" t="s">
        <v>76</v>
      </c>
      <c r="Z10" s="70">
        <f t="shared" si="14"/>
        <v>6.7463453640874572E-3</v>
      </c>
    </row>
    <row r="11" spans="1:26" x14ac:dyDescent="0.25">
      <c r="A11" s="662" t="s">
        <v>77</v>
      </c>
      <c r="B11" s="66" t="s">
        <v>78</v>
      </c>
      <c r="C11" s="67">
        <f t="shared" si="12"/>
        <v>89520</v>
      </c>
      <c r="D11" s="71">
        <v>120</v>
      </c>
      <c r="E11" s="71">
        <v>240</v>
      </c>
      <c r="F11" s="71">
        <v>240</v>
      </c>
      <c r="G11" s="71">
        <v>120</v>
      </c>
      <c r="H11" s="71">
        <v>120</v>
      </c>
      <c r="I11" s="71">
        <v>210</v>
      </c>
      <c r="J11" s="71">
        <v>150</v>
      </c>
      <c r="K11" s="71">
        <v>60</v>
      </c>
      <c r="L11" s="71">
        <v>180</v>
      </c>
      <c r="M11" s="71">
        <v>180</v>
      </c>
      <c r="N11" s="71">
        <v>30</v>
      </c>
      <c r="O11" s="71">
        <v>0</v>
      </c>
      <c r="P11" s="71">
        <v>30</v>
      </c>
      <c r="Q11" s="71">
        <v>210</v>
      </c>
      <c r="R11" s="71">
        <v>180</v>
      </c>
      <c r="S11" s="69">
        <f>87270+90+90</f>
        <v>87450</v>
      </c>
      <c r="Y11" s="66" t="s">
        <v>78</v>
      </c>
      <c r="Z11" s="70">
        <f t="shared" si="14"/>
        <v>8.1800465527984458E-3</v>
      </c>
    </row>
    <row r="12" spans="1:26" x14ac:dyDescent="0.25">
      <c r="A12" s="663"/>
      <c r="B12" s="66" t="s">
        <v>79</v>
      </c>
      <c r="C12" s="67">
        <f t="shared" si="12"/>
        <v>925000</v>
      </c>
      <c r="D12" s="71">
        <v>0</v>
      </c>
      <c r="E12" s="71">
        <v>0</v>
      </c>
      <c r="F12" s="71">
        <v>0</v>
      </c>
      <c r="G12" s="71">
        <v>0</v>
      </c>
      <c r="H12" s="71">
        <v>0</v>
      </c>
      <c r="I12" s="71">
        <v>0</v>
      </c>
      <c r="J12" s="71">
        <v>0</v>
      </c>
      <c r="K12" s="71">
        <v>0</v>
      </c>
      <c r="L12" s="71">
        <v>250000</v>
      </c>
      <c r="M12" s="71">
        <v>0</v>
      </c>
      <c r="N12" s="71">
        <v>0</v>
      </c>
      <c r="O12" s="71">
        <v>0</v>
      </c>
      <c r="P12" s="71">
        <v>0</v>
      </c>
      <c r="Q12" s="71">
        <v>0</v>
      </c>
      <c r="R12" s="71">
        <v>0</v>
      </c>
      <c r="S12" s="69">
        <v>675000</v>
      </c>
      <c r="Y12" s="66" t="s">
        <v>79</v>
      </c>
      <c r="Z12" s="70">
        <f t="shared" si="14"/>
        <v>8.4523492642298498E-2</v>
      </c>
    </row>
    <row r="13" spans="1:26" s="77" customFormat="1" ht="18.75" x14ac:dyDescent="0.3">
      <c r="A13" s="72" t="s">
        <v>80</v>
      </c>
      <c r="B13" s="73"/>
      <c r="C13" s="74">
        <f t="shared" si="12"/>
        <v>10943703</v>
      </c>
      <c r="D13" s="75">
        <f t="shared" ref="D13:H13" si="15">SUM(D6:D12)</f>
        <v>229205</v>
      </c>
      <c r="E13" s="75">
        <f t="shared" si="15"/>
        <v>218708</v>
      </c>
      <c r="F13" s="75">
        <f>F12+F11+F10+F9+F8+F7+F6</f>
        <v>854858</v>
      </c>
      <c r="G13" s="75">
        <f t="shared" si="15"/>
        <v>378406</v>
      </c>
      <c r="H13" s="75">
        <f t="shared" si="15"/>
        <v>831329</v>
      </c>
      <c r="I13" s="75">
        <f t="shared" ref="I13:S13" si="16">SUM(I6:I12)</f>
        <v>1006832</v>
      </c>
      <c r="J13" s="75">
        <f t="shared" si="16"/>
        <v>804987</v>
      </c>
      <c r="K13" s="75">
        <f t="shared" si="16"/>
        <v>1354758</v>
      </c>
      <c r="L13" s="75">
        <f t="shared" si="16"/>
        <v>1051178</v>
      </c>
      <c r="M13" s="75">
        <f t="shared" si="16"/>
        <v>774787</v>
      </c>
      <c r="N13" s="75">
        <f t="shared" si="16"/>
        <v>271739</v>
      </c>
      <c r="O13" s="75">
        <f t="shared" si="16"/>
        <v>330447</v>
      </c>
      <c r="P13" s="75">
        <f t="shared" si="16"/>
        <v>704605</v>
      </c>
      <c r="Q13" s="75">
        <f t="shared" si="16"/>
        <v>221099</v>
      </c>
      <c r="R13" s="75">
        <f t="shared" si="16"/>
        <v>904829</v>
      </c>
      <c r="S13" s="76">
        <f t="shared" si="16"/>
        <v>1005936</v>
      </c>
      <c r="Z13" s="78">
        <f>SUM(Z6:Z12)</f>
        <v>1</v>
      </c>
    </row>
    <row r="14" spans="1:26" ht="18.75" x14ac:dyDescent="0.3">
      <c r="A14" s="79" t="s">
        <v>81</v>
      </c>
      <c r="B14" s="80" t="str">
        <f>A14</f>
        <v>Sueldos</v>
      </c>
      <c r="C14" s="81">
        <f t="shared" si="12"/>
        <v>2646284</v>
      </c>
      <c r="D14" s="82">
        <v>155382</v>
      </c>
      <c r="E14" s="82">
        <f>D14</f>
        <v>155382</v>
      </c>
      <c r="F14" s="82">
        <f t="shared" ref="F14" si="17">E14</f>
        <v>155382</v>
      </c>
      <c r="G14" s="82">
        <v>158242</v>
      </c>
      <c r="H14" s="82">
        <v>161502</v>
      </c>
      <c r="I14" s="82">
        <v>163572</v>
      </c>
      <c r="J14" s="82">
        <v>163302</v>
      </c>
      <c r="K14" s="82">
        <v>163982</v>
      </c>
      <c r="L14" s="82">
        <v>170922</v>
      </c>
      <c r="M14" s="82">
        <v>170922</v>
      </c>
      <c r="N14" s="82">
        <v>170922</v>
      </c>
      <c r="O14" s="82">
        <v>170922</v>
      </c>
      <c r="P14" s="82">
        <v>170922</v>
      </c>
      <c r="Q14" s="82">
        <v>170922</v>
      </c>
      <c r="R14" s="82">
        <v>173212</v>
      </c>
      <c r="S14" s="69">
        <v>170794</v>
      </c>
      <c r="Y14" s="664">
        <f>C13</f>
        <v>10943703</v>
      </c>
      <c r="Z14" s="665"/>
    </row>
    <row r="15" spans="1:26" x14ac:dyDescent="0.25">
      <c r="A15" s="79" t="s">
        <v>82</v>
      </c>
      <c r="B15" s="80" t="str">
        <f>A15</f>
        <v xml:space="preserve">Mantenimiento </v>
      </c>
      <c r="C15" s="81">
        <f t="shared" si="12"/>
        <v>686244</v>
      </c>
      <c r="D15" s="82">
        <f>EconomiaT49!S15</f>
        <v>39537</v>
      </c>
      <c r="E15" s="82">
        <f t="shared" ref="E15:S22" si="18">D15</f>
        <v>39537</v>
      </c>
      <c r="F15" s="82">
        <f t="shared" si="18"/>
        <v>39537</v>
      </c>
      <c r="G15" s="82">
        <f t="shared" si="18"/>
        <v>39537</v>
      </c>
      <c r="H15" s="82">
        <v>44008</v>
      </c>
      <c r="I15" s="82">
        <f t="shared" si="18"/>
        <v>44008</v>
      </c>
      <c r="J15" s="82">
        <f t="shared" si="18"/>
        <v>44008</v>
      </c>
      <c r="K15" s="82">
        <f t="shared" si="18"/>
        <v>44008</v>
      </c>
      <c r="L15" s="82">
        <f t="shared" si="18"/>
        <v>44008</v>
      </c>
      <c r="M15" s="82">
        <f t="shared" si="18"/>
        <v>44008</v>
      </c>
      <c r="N15" s="82">
        <f t="shared" si="18"/>
        <v>44008</v>
      </c>
      <c r="O15" s="82">
        <f t="shared" si="18"/>
        <v>44008</v>
      </c>
      <c r="P15" s="82">
        <f t="shared" si="18"/>
        <v>44008</v>
      </c>
      <c r="Q15" s="82">
        <f t="shared" si="18"/>
        <v>44008</v>
      </c>
      <c r="R15" s="82">
        <f t="shared" si="18"/>
        <v>44008</v>
      </c>
      <c r="S15" s="69">
        <f t="shared" si="18"/>
        <v>44008</v>
      </c>
    </row>
    <row r="16" spans="1:26" ht="20.25" customHeight="1" x14ac:dyDescent="0.25">
      <c r="A16" s="79" t="s">
        <v>83</v>
      </c>
      <c r="B16" s="80" t="s">
        <v>84</v>
      </c>
      <c r="C16" s="81">
        <f t="shared" si="12"/>
        <v>442795</v>
      </c>
      <c r="D16" s="82">
        <f>EconomiaT49!S16</f>
        <v>0</v>
      </c>
      <c r="E16" s="82">
        <v>442795</v>
      </c>
      <c r="F16" s="82">
        <v>0</v>
      </c>
      <c r="G16" s="82">
        <f t="shared" si="18"/>
        <v>0</v>
      </c>
      <c r="H16" s="82">
        <f t="shared" si="18"/>
        <v>0</v>
      </c>
      <c r="I16" s="82">
        <f t="shared" si="18"/>
        <v>0</v>
      </c>
      <c r="J16" s="82">
        <f t="shared" si="18"/>
        <v>0</v>
      </c>
      <c r="K16" s="82">
        <f t="shared" si="18"/>
        <v>0</v>
      </c>
      <c r="L16" s="82">
        <f t="shared" si="18"/>
        <v>0</v>
      </c>
      <c r="M16" s="82">
        <f t="shared" si="18"/>
        <v>0</v>
      </c>
      <c r="N16" s="82">
        <f t="shared" si="18"/>
        <v>0</v>
      </c>
      <c r="O16" s="82">
        <f t="shared" si="18"/>
        <v>0</v>
      </c>
      <c r="P16" s="82">
        <f t="shared" si="18"/>
        <v>0</v>
      </c>
      <c r="Q16" s="82">
        <f t="shared" si="18"/>
        <v>0</v>
      </c>
      <c r="R16" s="82">
        <f t="shared" si="18"/>
        <v>0</v>
      </c>
      <c r="S16" s="69">
        <f t="shared" si="18"/>
        <v>0</v>
      </c>
    </row>
    <row r="17" spans="1:26" x14ac:dyDescent="0.25">
      <c r="A17" s="79" t="s">
        <v>85</v>
      </c>
      <c r="B17" s="80" t="str">
        <f>A17</f>
        <v>Empleados</v>
      </c>
      <c r="C17" s="81">
        <f t="shared" si="12"/>
        <v>1044480</v>
      </c>
      <c r="D17" s="82">
        <f>EconomiaT49!S17</f>
        <v>65280</v>
      </c>
      <c r="E17" s="82">
        <f t="shared" si="18"/>
        <v>65280</v>
      </c>
      <c r="F17" s="82">
        <f t="shared" si="18"/>
        <v>65280</v>
      </c>
      <c r="G17" s="82">
        <f t="shared" si="18"/>
        <v>65280</v>
      </c>
      <c r="H17" s="82">
        <f t="shared" si="18"/>
        <v>65280</v>
      </c>
      <c r="I17" s="82">
        <f t="shared" si="18"/>
        <v>65280</v>
      </c>
      <c r="J17" s="82">
        <f t="shared" si="18"/>
        <v>65280</v>
      </c>
      <c r="K17" s="82">
        <f t="shared" si="18"/>
        <v>65280</v>
      </c>
      <c r="L17" s="82">
        <f t="shared" si="18"/>
        <v>65280</v>
      </c>
      <c r="M17" s="82">
        <f t="shared" si="18"/>
        <v>65280</v>
      </c>
      <c r="N17" s="82">
        <f t="shared" si="18"/>
        <v>65280</v>
      </c>
      <c r="O17" s="82">
        <f t="shared" si="18"/>
        <v>65280</v>
      </c>
      <c r="P17" s="82">
        <f t="shared" si="18"/>
        <v>65280</v>
      </c>
      <c r="Q17" s="82">
        <f t="shared" si="18"/>
        <v>65280</v>
      </c>
      <c r="R17" s="82">
        <f t="shared" si="18"/>
        <v>65280</v>
      </c>
      <c r="S17" s="69">
        <f t="shared" si="18"/>
        <v>65280</v>
      </c>
    </row>
    <row r="18" spans="1:26" x14ac:dyDescent="0.25">
      <c r="A18" s="79" t="s">
        <v>86</v>
      </c>
      <c r="B18" s="80" t="str">
        <f>A18</f>
        <v>Juveniles</v>
      </c>
      <c r="C18" s="81">
        <f t="shared" si="12"/>
        <v>320000</v>
      </c>
      <c r="D18" s="82">
        <f>EconomiaT49!S18</f>
        <v>20000</v>
      </c>
      <c r="E18" s="82">
        <f t="shared" si="18"/>
        <v>20000</v>
      </c>
      <c r="F18" s="82">
        <f t="shared" si="18"/>
        <v>20000</v>
      </c>
      <c r="G18" s="82">
        <f t="shared" si="18"/>
        <v>20000</v>
      </c>
      <c r="H18" s="82">
        <f t="shared" si="18"/>
        <v>20000</v>
      </c>
      <c r="I18" s="82">
        <f t="shared" si="18"/>
        <v>20000</v>
      </c>
      <c r="J18" s="82">
        <f t="shared" si="18"/>
        <v>20000</v>
      </c>
      <c r="K18" s="82">
        <f t="shared" si="18"/>
        <v>20000</v>
      </c>
      <c r="L18" s="82">
        <f t="shared" si="18"/>
        <v>20000</v>
      </c>
      <c r="M18" s="82">
        <f t="shared" si="18"/>
        <v>20000</v>
      </c>
      <c r="N18" s="82">
        <f t="shared" si="18"/>
        <v>20000</v>
      </c>
      <c r="O18" s="82">
        <f t="shared" si="18"/>
        <v>20000</v>
      </c>
      <c r="P18" s="82">
        <f t="shared" si="18"/>
        <v>20000</v>
      </c>
      <c r="Q18" s="82">
        <f t="shared" si="18"/>
        <v>20000</v>
      </c>
      <c r="R18" s="82">
        <f t="shared" si="18"/>
        <v>20000</v>
      </c>
      <c r="S18" s="69">
        <f t="shared" si="18"/>
        <v>20000</v>
      </c>
    </row>
    <row r="19" spans="1:26" x14ac:dyDescent="0.25">
      <c r="A19" s="79" t="s">
        <v>87</v>
      </c>
      <c r="B19" s="80" t="s">
        <v>88</v>
      </c>
      <c r="C19" s="81">
        <f t="shared" si="12"/>
        <v>0</v>
      </c>
      <c r="D19" s="82">
        <f>EconomiaT49!S19</f>
        <v>0</v>
      </c>
      <c r="E19" s="82">
        <f t="shared" si="18"/>
        <v>0</v>
      </c>
      <c r="F19" s="82">
        <f t="shared" si="18"/>
        <v>0</v>
      </c>
      <c r="G19" s="82">
        <f t="shared" si="18"/>
        <v>0</v>
      </c>
      <c r="H19" s="82">
        <f t="shared" si="18"/>
        <v>0</v>
      </c>
      <c r="I19" s="82">
        <f t="shared" si="18"/>
        <v>0</v>
      </c>
      <c r="J19" s="82">
        <f t="shared" si="18"/>
        <v>0</v>
      </c>
      <c r="K19" s="82">
        <f t="shared" si="18"/>
        <v>0</v>
      </c>
      <c r="L19" s="82">
        <f t="shared" si="18"/>
        <v>0</v>
      </c>
      <c r="M19" s="82">
        <f t="shared" si="18"/>
        <v>0</v>
      </c>
      <c r="N19" s="82">
        <f t="shared" si="18"/>
        <v>0</v>
      </c>
      <c r="O19" s="82">
        <f t="shared" si="18"/>
        <v>0</v>
      </c>
      <c r="P19" s="82">
        <f t="shared" si="18"/>
        <v>0</v>
      </c>
      <c r="Q19" s="82">
        <f t="shared" si="18"/>
        <v>0</v>
      </c>
      <c r="R19" s="82">
        <f t="shared" si="18"/>
        <v>0</v>
      </c>
      <c r="S19" s="69">
        <f t="shared" si="18"/>
        <v>0</v>
      </c>
    </row>
    <row r="20" spans="1:26" x14ac:dyDescent="0.25">
      <c r="A20" s="83" t="s">
        <v>77</v>
      </c>
      <c r="B20" s="80" t="s">
        <v>67</v>
      </c>
      <c r="C20" s="81">
        <f t="shared" si="12"/>
        <v>1916372</v>
      </c>
      <c r="D20" s="82">
        <f>EconomiaT49!S20</f>
        <v>0</v>
      </c>
      <c r="E20" s="82">
        <f t="shared" si="18"/>
        <v>0</v>
      </c>
      <c r="F20" s="82">
        <f t="shared" si="18"/>
        <v>0</v>
      </c>
      <c r="G20" s="82">
        <f t="shared" si="18"/>
        <v>0</v>
      </c>
      <c r="H20" s="82">
        <f t="shared" si="18"/>
        <v>0</v>
      </c>
      <c r="I20" s="82">
        <f t="shared" si="18"/>
        <v>0</v>
      </c>
      <c r="J20" s="82">
        <f t="shared" si="18"/>
        <v>0</v>
      </c>
      <c r="K20" s="82">
        <f t="shared" si="18"/>
        <v>0</v>
      </c>
      <c r="L20" s="82">
        <f t="shared" si="18"/>
        <v>0</v>
      </c>
      <c r="M20" s="82">
        <f t="shared" si="18"/>
        <v>0</v>
      </c>
      <c r="N20" s="82">
        <f t="shared" si="18"/>
        <v>0</v>
      </c>
      <c r="O20" s="82">
        <f t="shared" si="18"/>
        <v>0</v>
      </c>
      <c r="P20" s="82">
        <f t="shared" si="18"/>
        <v>0</v>
      </c>
      <c r="Q20" s="82">
        <f t="shared" si="18"/>
        <v>0</v>
      </c>
      <c r="R20" s="82">
        <v>1916372</v>
      </c>
      <c r="S20" s="69">
        <v>0</v>
      </c>
    </row>
    <row r="21" spans="1:26" x14ac:dyDescent="0.25">
      <c r="A21" s="83"/>
      <c r="B21" s="80" t="s">
        <v>89</v>
      </c>
      <c r="C21" s="81">
        <f t="shared" si="12"/>
        <v>87000</v>
      </c>
      <c r="D21" s="82">
        <v>3000</v>
      </c>
      <c r="E21" s="82">
        <v>0</v>
      </c>
      <c r="F21" s="82">
        <v>0</v>
      </c>
      <c r="G21" s="82">
        <v>0</v>
      </c>
      <c r="H21" s="82">
        <v>4000</v>
      </c>
      <c r="I21" s="82">
        <v>0</v>
      </c>
      <c r="J21" s="82">
        <v>3000</v>
      </c>
      <c r="K21" s="82">
        <f t="shared" si="18"/>
        <v>3000</v>
      </c>
      <c r="L21" s="82">
        <v>9000</v>
      </c>
      <c r="M21" s="82">
        <v>9000</v>
      </c>
      <c r="N21" s="82">
        <f t="shared" si="18"/>
        <v>9000</v>
      </c>
      <c r="O21" s="82">
        <v>9000</v>
      </c>
      <c r="P21" s="82">
        <f>2000+6000</f>
        <v>8000</v>
      </c>
      <c r="Q21" s="82">
        <v>9000</v>
      </c>
      <c r="R21" s="82">
        <v>15000</v>
      </c>
      <c r="S21" s="69">
        <v>6000</v>
      </c>
    </row>
    <row r="22" spans="1:26" x14ac:dyDescent="0.25">
      <c r="A22" s="79" t="s">
        <v>90</v>
      </c>
      <c r="B22" s="80" t="str">
        <f>A22</f>
        <v>Intereses</v>
      </c>
      <c r="C22" s="81">
        <f t="shared" si="12"/>
        <v>0</v>
      </c>
      <c r="D22" s="82">
        <f>EconomiaT49!S22</f>
        <v>0</v>
      </c>
      <c r="E22" s="82">
        <f t="shared" si="18"/>
        <v>0</v>
      </c>
      <c r="F22" s="82">
        <f t="shared" si="18"/>
        <v>0</v>
      </c>
      <c r="G22" s="82">
        <f t="shared" si="18"/>
        <v>0</v>
      </c>
      <c r="H22" s="82">
        <f t="shared" si="18"/>
        <v>0</v>
      </c>
      <c r="I22" s="82">
        <f t="shared" si="18"/>
        <v>0</v>
      </c>
      <c r="J22" s="82">
        <f t="shared" si="18"/>
        <v>0</v>
      </c>
      <c r="K22" s="82">
        <f t="shared" si="18"/>
        <v>0</v>
      </c>
      <c r="L22" s="82">
        <f t="shared" si="18"/>
        <v>0</v>
      </c>
      <c r="M22" s="82">
        <f t="shared" si="18"/>
        <v>0</v>
      </c>
      <c r="N22" s="82">
        <f t="shared" si="18"/>
        <v>0</v>
      </c>
      <c r="O22" s="82">
        <f t="shared" si="18"/>
        <v>0</v>
      </c>
      <c r="P22" s="82">
        <f t="shared" si="18"/>
        <v>0</v>
      </c>
      <c r="Q22" s="82">
        <f t="shared" si="18"/>
        <v>0</v>
      </c>
      <c r="R22" s="82">
        <f t="shared" si="18"/>
        <v>0</v>
      </c>
      <c r="S22" s="69">
        <f t="shared" si="18"/>
        <v>0</v>
      </c>
    </row>
    <row r="23" spans="1:26" s="89" customFormat="1" ht="18.75" x14ac:dyDescent="0.3">
      <c r="A23" s="84" t="s">
        <v>91</v>
      </c>
      <c r="B23" s="85"/>
      <c r="C23" s="86">
        <f t="shared" si="12"/>
        <v>7143175</v>
      </c>
      <c r="D23" s="87">
        <f t="shared" ref="D23:S23" si="19">SUM(D14:D22)</f>
        <v>283199</v>
      </c>
      <c r="E23" s="87">
        <f t="shared" si="19"/>
        <v>722994</v>
      </c>
      <c r="F23" s="87">
        <f t="shared" si="19"/>
        <v>280199</v>
      </c>
      <c r="G23" s="87">
        <f t="shared" si="19"/>
        <v>283059</v>
      </c>
      <c r="H23" s="87">
        <f t="shared" si="19"/>
        <v>294790</v>
      </c>
      <c r="I23" s="87">
        <f t="shared" si="19"/>
        <v>292860</v>
      </c>
      <c r="J23" s="87">
        <f t="shared" si="19"/>
        <v>295590</v>
      </c>
      <c r="K23" s="87">
        <f t="shared" si="19"/>
        <v>296270</v>
      </c>
      <c r="L23" s="87">
        <f t="shared" si="19"/>
        <v>309210</v>
      </c>
      <c r="M23" s="87">
        <f t="shared" si="19"/>
        <v>309210</v>
      </c>
      <c r="N23" s="87">
        <f t="shared" si="19"/>
        <v>309210</v>
      </c>
      <c r="O23" s="87">
        <f t="shared" si="19"/>
        <v>309210</v>
      </c>
      <c r="P23" s="87">
        <f t="shared" si="19"/>
        <v>308210</v>
      </c>
      <c r="Q23" s="87">
        <f t="shared" si="19"/>
        <v>309210</v>
      </c>
      <c r="R23" s="87">
        <f t="shared" si="19"/>
        <v>2233872</v>
      </c>
      <c r="S23" s="88">
        <f t="shared" si="19"/>
        <v>306082</v>
      </c>
      <c r="Y23" s="80" t="s">
        <v>81</v>
      </c>
      <c r="Z23" s="90">
        <f>C14/$C$23</f>
        <v>0.37046327438428989</v>
      </c>
    </row>
    <row r="24" spans="1:26" s="65" customFormat="1" ht="18.75" x14ac:dyDescent="0.3">
      <c r="A24" s="91" t="s">
        <v>92</v>
      </c>
      <c r="B24" s="91"/>
      <c r="C24" s="63">
        <f>C5+C13-C23</f>
        <v>3416725</v>
      </c>
      <c r="D24" s="63">
        <f t="shared" ref="D24:S24" si="20">D5+D13-D23</f>
        <v>-437797</v>
      </c>
      <c r="E24" s="63">
        <f t="shared" si="20"/>
        <v>-942083</v>
      </c>
      <c r="F24" s="63">
        <f t="shared" si="20"/>
        <v>-367424</v>
      </c>
      <c r="G24" s="63">
        <f t="shared" si="20"/>
        <v>-272077</v>
      </c>
      <c r="H24" s="63">
        <f t="shared" si="20"/>
        <v>264462</v>
      </c>
      <c r="I24" s="63">
        <f t="shared" si="20"/>
        <v>978434</v>
      </c>
      <c r="J24" s="63">
        <f t="shared" si="20"/>
        <v>1487831</v>
      </c>
      <c r="K24" s="63">
        <f t="shared" si="20"/>
        <v>2546319</v>
      </c>
      <c r="L24" s="63">
        <f t="shared" si="20"/>
        <v>3288287</v>
      </c>
      <c r="M24" s="63">
        <f t="shared" si="20"/>
        <v>3753864</v>
      </c>
      <c r="N24" s="63">
        <f t="shared" si="20"/>
        <v>3716393</v>
      </c>
      <c r="O24" s="63">
        <f t="shared" si="20"/>
        <v>3737630</v>
      </c>
      <c r="P24" s="63">
        <f t="shared" si="20"/>
        <v>4134025</v>
      </c>
      <c r="Q24" s="63">
        <f t="shared" si="20"/>
        <v>4045914</v>
      </c>
      <c r="R24" s="63">
        <f t="shared" si="20"/>
        <v>2716871</v>
      </c>
      <c r="S24" s="64">
        <f t="shared" si="20"/>
        <v>3416725</v>
      </c>
      <c r="Y24" s="80" t="s">
        <v>82</v>
      </c>
      <c r="Z24" s="90">
        <f t="shared" ref="Z24:Z31" si="21">C15/$C$23</f>
        <v>9.6069884890122387E-2</v>
      </c>
    </row>
    <row r="25" spans="1:26" s="53" customFormat="1" x14ac:dyDescent="0.25">
      <c r="A25" s="92"/>
      <c r="B25" s="92"/>
      <c r="C25" s="92"/>
      <c r="D25" s="93" t="e">
        <f>D2+7</f>
        <v>#REF!</v>
      </c>
      <c r="E25" s="93" t="e">
        <f t="shared" ref="E25:S25" si="22">D25+7</f>
        <v>#REF!</v>
      </c>
      <c r="F25" s="93" t="e">
        <f t="shared" si="22"/>
        <v>#REF!</v>
      </c>
      <c r="G25" s="93" t="e">
        <f t="shared" si="22"/>
        <v>#REF!</v>
      </c>
      <c r="H25" s="93" t="e">
        <f t="shared" si="22"/>
        <v>#REF!</v>
      </c>
      <c r="I25" s="93" t="e">
        <f t="shared" si="22"/>
        <v>#REF!</v>
      </c>
      <c r="J25" s="93" t="e">
        <f t="shared" si="22"/>
        <v>#REF!</v>
      </c>
      <c r="K25" s="93" t="e">
        <f t="shared" si="22"/>
        <v>#REF!</v>
      </c>
      <c r="L25" s="93" t="e">
        <f t="shared" si="22"/>
        <v>#REF!</v>
      </c>
      <c r="M25" s="93" t="e">
        <f t="shared" si="22"/>
        <v>#REF!</v>
      </c>
      <c r="N25" s="93" t="e">
        <f t="shared" si="22"/>
        <v>#REF!</v>
      </c>
      <c r="O25" s="93" t="e">
        <f t="shared" si="22"/>
        <v>#REF!</v>
      </c>
      <c r="P25" s="93" t="e">
        <f t="shared" si="22"/>
        <v>#REF!</v>
      </c>
      <c r="Q25" s="93" t="e">
        <f t="shared" si="22"/>
        <v>#REF!</v>
      </c>
      <c r="R25" s="93" t="e">
        <f t="shared" si="22"/>
        <v>#REF!</v>
      </c>
      <c r="S25" s="93" t="e">
        <f t="shared" si="22"/>
        <v>#REF!</v>
      </c>
      <c r="Y25" s="80" t="s">
        <v>84</v>
      </c>
      <c r="Z25" s="90">
        <f t="shared" si="21"/>
        <v>6.1988541509902809E-2</v>
      </c>
    </row>
    <row r="26" spans="1:26" s="53" customFormat="1" x14ac:dyDescent="0.25">
      <c r="A26" s="666" t="s">
        <v>93</v>
      </c>
      <c r="B26" s="666"/>
      <c r="C26" s="94">
        <f>C6+C7+C11</f>
        <v>9359046</v>
      </c>
      <c r="D26" s="94">
        <f t="shared" ref="D26:S26" si="23">D6+D7+D11</f>
        <v>173155</v>
      </c>
      <c r="E26" s="94">
        <f t="shared" si="23"/>
        <v>218708</v>
      </c>
      <c r="F26" s="94">
        <f t="shared" si="23"/>
        <v>854858</v>
      </c>
      <c r="G26" s="94">
        <f t="shared" si="23"/>
        <v>378406</v>
      </c>
      <c r="H26" s="94">
        <f t="shared" si="23"/>
        <v>831329</v>
      </c>
      <c r="I26" s="94">
        <f t="shared" si="23"/>
        <v>949972</v>
      </c>
      <c r="J26" s="94">
        <f t="shared" si="23"/>
        <v>557037</v>
      </c>
      <c r="K26" s="94">
        <f t="shared" si="23"/>
        <v>1274331</v>
      </c>
      <c r="L26" s="94">
        <f t="shared" si="23"/>
        <v>801178</v>
      </c>
      <c r="M26" s="94">
        <f t="shared" si="23"/>
        <v>774787</v>
      </c>
      <c r="N26" s="94">
        <f t="shared" si="23"/>
        <v>271739</v>
      </c>
      <c r="O26" s="94">
        <f t="shared" si="23"/>
        <v>220247</v>
      </c>
      <c r="P26" s="94">
        <f t="shared" si="23"/>
        <v>615305</v>
      </c>
      <c r="Q26" s="94">
        <f t="shared" si="23"/>
        <v>221099</v>
      </c>
      <c r="R26" s="94">
        <f>R6+R7+R11</f>
        <v>904829</v>
      </c>
      <c r="S26" s="94">
        <f t="shared" si="23"/>
        <v>312066</v>
      </c>
      <c r="T26" s="95"/>
      <c r="Y26" s="80" t="s">
        <v>85</v>
      </c>
      <c r="Z26" s="90">
        <f t="shared" si="21"/>
        <v>0.14622069317915354</v>
      </c>
    </row>
    <row r="27" spans="1:26" s="53" customFormat="1" x14ac:dyDescent="0.25">
      <c r="A27" s="667" t="s">
        <v>94</v>
      </c>
      <c r="B27" s="667"/>
      <c r="C27" s="96">
        <f>C14+C15+C17+C18+C21</f>
        <v>4784008</v>
      </c>
      <c r="D27" s="96">
        <f t="shared" ref="D27:S27" si="24">D14+D15+D17+D18+D21</f>
        <v>283199</v>
      </c>
      <c r="E27" s="96">
        <f t="shared" si="24"/>
        <v>280199</v>
      </c>
      <c r="F27" s="96">
        <f t="shared" si="24"/>
        <v>280199</v>
      </c>
      <c r="G27" s="96">
        <f t="shared" si="24"/>
        <v>283059</v>
      </c>
      <c r="H27" s="96">
        <f t="shared" si="24"/>
        <v>294790</v>
      </c>
      <c r="I27" s="96">
        <f t="shared" si="24"/>
        <v>292860</v>
      </c>
      <c r="J27" s="96">
        <f t="shared" si="24"/>
        <v>295590</v>
      </c>
      <c r="K27" s="96">
        <f t="shared" si="24"/>
        <v>296270</v>
      </c>
      <c r="L27" s="96">
        <f t="shared" si="24"/>
        <v>309210</v>
      </c>
      <c r="M27" s="96">
        <f t="shared" si="24"/>
        <v>309210</v>
      </c>
      <c r="N27" s="96">
        <f t="shared" si="24"/>
        <v>309210</v>
      </c>
      <c r="O27" s="96">
        <f t="shared" si="24"/>
        <v>309210</v>
      </c>
      <c r="P27" s="96">
        <f t="shared" si="24"/>
        <v>308210</v>
      </c>
      <c r="Q27" s="96">
        <f t="shared" si="24"/>
        <v>309210</v>
      </c>
      <c r="R27" s="96">
        <f>R14+R15+R17+R18+R21</f>
        <v>317500</v>
      </c>
      <c r="S27" s="96">
        <f t="shared" si="24"/>
        <v>306082</v>
      </c>
      <c r="T27" s="97"/>
      <c r="Y27" s="80" t="s">
        <v>86</v>
      </c>
      <c r="Z27" s="90">
        <f t="shared" si="21"/>
        <v>4.4798006488711253E-2</v>
      </c>
    </row>
    <row r="28" spans="1:26" x14ac:dyDescent="0.25">
      <c r="A28" s="668" t="s">
        <v>95</v>
      </c>
      <c r="B28" s="668"/>
      <c r="C28" s="98">
        <f>C26-C27</f>
        <v>4575038</v>
      </c>
      <c r="D28" s="98">
        <f t="shared" ref="D28:S28" si="25">D26-D27</f>
        <v>-110044</v>
      </c>
      <c r="E28" s="98">
        <f t="shared" si="25"/>
        <v>-61491</v>
      </c>
      <c r="F28" s="98">
        <f t="shared" si="25"/>
        <v>574659</v>
      </c>
      <c r="G28" s="98">
        <f t="shared" si="25"/>
        <v>95347</v>
      </c>
      <c r="H28" s="98">
        <f t="shared" si="25"/>
        <v>536539</v>
      </c>
      <c r="I28" s="98">
        <f t="shared" si="25"/>
        <v>657112</v>
      </c>
      <c r="J28" s="98">
        <f t="shared" si="25"/>
        <v>261447</v>
      </c>
      <c r="K28" s="98">
        <f t="shared" si="25"/>
        <v>978061</v>
      </c>
      <c r="L28" s="98">
        <f t="shared" si="25"/>
        <v>491968</v>
      </c>
      <c r="M28" s="98">
        <f t="shared" si="25"/>
        <v>465577</v>
      </c>
      <c r="N28" s="98">
        <f t="shared" si="25"/>
        <v>-37471</v>
      </c>
      <c r="O28" s="98">
        <f t="shared" si="25"/>
        <v>-88963</v>
      </c>
      <c r="P28" s="98">
        <f t="shared" si="25"/>
        <v>307095</v>
      </c>
      <c r="Q28" s="98">
        <f t="shared" si="25"/>
        <v>-88111</v>
      </c>
      <c r="R28" s="98">
        <f>R26-R27</f>
        <v>587329</v>
      </c>
      <c r="S28" s="98">
        <f t="shared" si="25"/>
        <v>5984</v>
      </c>
      <c r="T28" s="99"/>
      <c r="Y28" s="80" t="s">
        <v>88</v>
      </c>
      <c r="Z28" s="90">
        <f t="shared" si="21"/>
        <v>0</v>
      </c>
    </row>
    <row r="29" spans="1:26" x14ac:dyDescent="0.25">
      <c r="A29" s="666" t="s">
        <v>96</v>
      </c>
      <c r="B29" s="666"/>
      <c r="C29" s="94">
        <f>C8+C9+C10+C12</f>
        <v>1584657</v>
      </c>
      <c r="D29" s="94">
        <f t="shared" ref="D29:S29" si="26">D8+D9+D10+D12</f>
        <v>56050</v>
      </c>
      <c r="E29" s="94">
        <f t="shared" si="26"/>
        <v>0</v>
      </c>
      <c r="F29" s="94">
        <f t="shared" si="26"/>
        <v>0</v>
      </c>
      <c r="G29" s="94">
        <f t="shared" si="26"/>
        <v>0</v>
      </c>
      <c r="H29" s="94">
        <f t="shared" si="26"/>
        <v>0</v>
      </c>
      <c r="I29" s="94">
        <f t="shared" si="26"/>
        <v>56860</v>
      </c>
      <c r="J29" s="94">
        <f t="shared" si="26"/>
        <v>247950</v>
      </c>
      <c r="K29" s="94">
        <f t="shared" si="26"/>
        <v>80427</v>
      </c>
      <c r="L29" s="94">
        <f t="shared" si="26"/>
        <v>250000</v>
      </c>
      <c r="M29" s="94">
        <f t="shared" si="26"/>
        <v>0</v>
      </c>
      <c r="N29" s="94">
        <f t="shared" si="26"/>
        <v>0</v>
      </c>
      <c r="O29" s="94">
        <f t="shared" si="26"/>
        <v>110200</v>
      </c>
      <c r="P29" s="94">
        <f t="shared" si="26"/>
        <v>89300</v>
      </c>
      <c r="Q29" s="94">
        <f t="shared" si="26"/>
        <v>0</v>
      </c>
      <c r="R29" s="94">
        <f>R8+R9+R10+R12</f>
        <v>0</v>
      </c>
      <c r="S29" s="94">
        <f t="shared" si="26"/>
        <v>693870</v>
      </c>
      <c r="T29" s="99"/>
      <c r="Y29" s="80" t="s">
        <v>67</v>
      </c>
      <c r="Z29" s="90">
        <f t="shared" si="21"/>
        <v>0.26828014153370178</v>
      </c>
    </row>
    <row r="30" spans="1:26" s="58" customFormat="1" x14ac:dyDescent="0.25">
      <c r="A30" s="667" t="s">
        <v>97</v>
      </c>
      <c r="B30" s="667"/>
      <c r="C30" s="96">
        <f>C16+C19+C20+C22</f>
        <v>2359167</v>
      </c>
      <c r="D30" s="96">
        <f t="shared" ref="D30:S30" si="27">D16+D19+D20+D22</f>
        <v>0</v>
      </c>
      <c r="E30" s="96">
        <f t="shared" si="27"/>
        <v>442795</v>
      </c>
      <c r="F30" s="96">
        <f t="shared" si="27"/>
        <v>0</v>
      </c>
      <c r="G30" s="96">
        <f t="shared" si="27"/>
        <v>0</v>
      </c>
      <c r="H30" s="96">
        <f t="shared" si="27"/>
        <v>0</v>
      </c>
      <c r="I30" s="96">
        <f t="shared" si="27"/>
        <v>0</v>
      </c>
      <c r="J30" s="96">
        <f t="shared" si="27"/>
        <v>0</v>
      </c>
      <c r="K30" s="96">
        <f t="shared" si="27"/>
        <v>0</v>
      </c>
      <c r="L30" s="96">
        <f t="shared" si="27"/>
        <v>0</v>
      </c>
      <c r="M30" s="96">
        <f t="shared" si="27"/>
        <v>0</v>
      </c>
      <c r="N30" s="96">
        <f t="shared" si="27"/>
        <v>0</v>
      </c>
      <c r="O30" s="96">
        <f t="shared" si="27"/>
        <v>0</v>
      </c>
      <c r="P30" s="96">
        <f t="shared" si="27"/>
        <v>0</v>
      </c>
      <c r="Q30" s="96">
        <f t="shared" si="27"/>
        <v>0</v>
      </c>
      <c r="R30" s="96">
        <f>R16+R19+R20+R22</f>
        <v>1916372</v>
      </c>
      <c r="S30" s="96">
        <f t="shared" si="27"/>
        <v>0</v>
      </c>
      <c r="Y30" s="80" t="s">
        <v>89</v>
      </c>
      <c r="Z30" s="90">
        <f t="shared" si="21"/>
        <v>1.2179458014118372E-2</v>
      </c>
    </row>
    <row r="31" spans="1:26" s="58" customFormat="1" x14ac:dyDescent="0.25">
      <c r="A31" s="668" t="s">
        <v>98</v>
      </c>
      <c r="B31" s="668"/>
      <c r="C31" s="98">
        <f>C29-C30</f>
        <v>-774510</v>
      </c>
      <c r="D31" s="98">
        <f t="shared" ref="D31:S31" si="28">D29-D30</f>
        <v>56050</v>
      </c>
      <c r="E31" s="98">
        <f t="shared" si="28"/>
        <v>-442795</v>
      </c>
      <c r="F31" s="98">
        <f t="shared" si="28"/>
        <v>0</v>
      </c>
      <c r="G31" s="98">
        <f t="shared" si="28"/>
        <v>0</v>
      </c>
      <c r="H31" s="98">
        <f t="shared" si="28"/>
        <v>0</v>
      </c>
      <c r="I31" s="98">
        <f t="shared" si="28"/>
        <v>56860</v>
      </c>
      <c r="J31" s="98">
        <f t="shared" si="28"/>
        <v>247950</v>
      </c>
      <c r="K31" s="98">
        <f t="shared" si="28"/>
        <v>80427</v>
      </c>
      <c r="L31" s="98">
        <f t="shared" si="28"/>
        <v>250000</v>
      </c>
      <c r="M31" s="98">
        <f t="shared" si="28"/>
        <v>0</v>
      </c>
      <c r="N31" s="98">
        <f t="shared" si="28"/>
        <v>0</v>
      </c>
      <c r="O31" s="98">
        <f t="shared" si="28"/>
        <v>110200</v>
      </c>
      <c r="P31" s="98">
        <f t="shared" si="28"/>
        <v>89300</v>
      </c>
      <c r="Q31" s="98">
        <f t="shared" si="28"/>
        <v>0</v>
      </c>
      <c r="R31" s="98">
        <f>R29-R30</f>
        <v>-1916372</v>
      </c>
      <c r="S31" s="98">
        <f t="shared" si="28"/>
        <v>693870</v>
      </c>
      <c r="Y31" s="80" t="s">
        <v>90</v>
      </c>
      <c r="Z31" s="90">
        <f t="shared" si="21"/>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25" customFormat="1" ht="18.75" x14ac:dyDescent="0.3">
      <c r="A33" s="326"/>
      <c r="B33" s="326"/>
      <c r="C33" s="327" t="s">
        <v>100</v>
      </c>
      <c r="D33" s="158">
        <v>22</v>
      </c>
      <c r="E33" s="158">
        <v>21</v>
      </c>
      <c r="F33" s="158"/>
      <c r="G33" s="158">
        <v>21</v>
      </c>
      <c r="H33" s="158">
        <v>21</v>
      </c>
      <c r="I33" s="158">
        <v>21</v>
      </c>
      <c r="J33" s="158">
        <v>22</v>
      </c>
      <c r="K33" s="158">
        <v>21</v>
      </c>
      <c r="L33" s="158">
        <v>22</v>
      </c>
      <c r="M33" s="158"/>
      <c r="N33" s="158"/>
      <c r="O33" s="158"/>
      <c r="P33" s="158"/>
      <c r="Q33" s="158"/>
      <c r="R33" s="158">
        <v>22</v>
      </c>
      <c r="S33" s="158">
        <v>21</v>
      </c>
      <c r="Z33" s="328"/>
    </row>
    <row r="34" spans="1:26" s="58" customFormat="1" ht="18.75" x14ac:dyDescent="0.3">
      <c r="A34" s="57"/>
      <c r="B34" s="670" t="s">
        <v>382</v>
      </c>
      <c r="C34" s="157" t="s">
        <v>176</v>
      </c>
      <c r="D34" s="158">
        <v>1196590</v>
      </c>
      <c r="E34" s="158">
        <v>1210970</v>
      </c>
      <c r="F34" s="158"/>
      <c r="G34" s="158">
        <v>1224400</v>
      </c>
      <c r="H34" s="158">
        <v>1250130</v>
      </c>
      <c r="I34" s="158">
        <v>1216540</v>
      </c>
      <c r="J34" s="158">
        <v>1205280</v>
      </c>
      <c r="K34" s="158">
        <v>1216570</v>
      </c>
      <c r="L34" s="158">
        <v>1203720</v>
      </c>
      <c r="M34" s="158"/>
      <c r="N34" s="158"/>
      <c r="O34" s="158"/>
      <c r="P34" s="158"/>
      <c r="Q34" s="158"/>
      <c r="R34" s="158">
        <v>1352030</v>
      </c>
      <c r="S34" s="158">
        <v>1365930</v>
      </c>
      <c r="Y34" s="659">
        <f>C23</f>
        <v>7143175</v>
      </c>
      <c r="Z34" s="660"/>
    </row>
    <row r="35" spans="1:26" x14ac:dyDescent="0.25">
      <c r="A35" s="57"/>
      <c r="B35" s="670"/>
      <c r="C35" s="157" t="s">
        <v>103</v>
      </c>
      <c r="D35" s="158">
        <v>155082</v>
      </c>
      <c r="E35" s="158">
        <v>155082</v>
      </c>
      <c r="F35" s="158"/>
      <c r="G35" s="158">
        <v>157942</v>
      </c>
      <c r="H35" s="158">
        <v>161202</v>
      </c>
      <c r="I35" s="158">
        <v>162982</v>
      </c>
      <c r="J35" s="158">
        <v>163332</v>
      </c>
      <c r="K35" s="158">
        <v>163682</v>
      </c>
      <c r="L35" s="158">
        <v>170232</v>
      </c>
      <c r="M35" s="158"/>
      <c r="N35" s="158"/>
      <c r="O35" s="158"/>
      <c r="P35" s="158"/>
      <c r="Q35" s="158"/>
      <c r="R35" s="158">
        <v>173702</v>
      </c>
      <c r="S35" s="158">
        <v>170144</v>
      </c>
    </row>
    <row r="36" spans="1:26" x14ac:dyDescent="0.25">
      <c r="A36" s="57"/>
      <c r="B36" s="670"/>
      <c r="C36" s="157" t="s">
        <v>534</v>
      </c>
      <c r="D36" s="158">
        <v>1053870</v>
      </c>
      <c r="E36" s="158">
        <v>1070960</v>
      </c>
      <c r="F36" s="158"/>
      <c r="G36" s="158">
        <v>1085330</v>
      </c>
      <c r="H36" s="158">
        <v>1110180</v>
      </c>
      <c r="I36" s="158">
        <v>1077690</v>
      </c>
      <c r="J36" s="158">
        <v>1068030</v>
      </c>
      <c r="K36" s="158">
        <v>1081450</v>
      </c>
      <c r="L36" s="158">
        <v>1063680</v>
      </c>
      <c r="M36" s="158"/>
      <c r="N36" s="158"/>
      <c r="O36" s="158"/>
      <c r="P36" s="158"/>
      <c r="Q36" s="158"/>
      <c r="R36" s="158">
        <v>1199560</v>
      </c>
      <c r="S36" s="158">
        <v>1218160</v>
      </c>
    </row>
    <row r="37" spans="1:26" x14ac:dyDescent="0.25">
      <c r="A37" s="57"/>
      <c r="B37" s="670"/>
      <c r="C37" s="157" t="s">
        <v>535</v>
      </c>
      <c r="D37" s="158">
        <v>133872</v>
      </c>
      <c r="E37" s="158">
        <v>133872</v>
      </c>
      <c r="F37" s="158"/>
      <c r="G37" s="158">
        <v>136732</v>
      </c>
      <c r="H37" s="158">
        <v>139932</v>
      </c>
      <c r="I37" s="158">
        <v>141712</v>
      </c>
      <c r="J37" s="158">
        <v>141712</v>
      </c>
      <c r="K37" s="158">
        <v>141712</v>
      </c>
      <c r="L37" s="158">
        <v>147972</v>
      </c>
      <c r="M37" s="158"/>
      <c r="N37" s="158"/>
      <c r="O37" s="158"/>
      <c r="P37" s="158"/>
      <c r="Q37" s="158"/>
      <c r="R37" s="158">
        <v>151312</v>
      </c>
      <c r="S37" s="158">
        <v>148252</v>
      </c>
    </row>
    <row r="38" spans="1:26" x14ac:dyDescent="0.25">
      <c r="A38" s="57"/>
      <c r="B38" s="670"/>
      <c r="C38" s="157" t="s">
        <v>536</v>
      </c>
      <c r="D38" s="159" t="s">
        <v>668</v>
      </c>
      <c r="E38" s="159" t="s">
        <v>672</v>
      </c>
      <c r="F38" s="159"/>
      <c r="G38" s="159" t="s">
        <v>688</v>
      </c>
      <c r="H38" s="159" t="s">
        <v>689</v>
      </c>
      <c r="I38" s="159" t="s">
        <v>690</v>
      </c>
      <c r="J38" s="159" t="s">
        <v>694</v>
      </c>
      <c r="K38" s="159" t="s">
        <v>700</v>
      </c>
      <c r="L38" s="159" t="s">
        <v>710</v>
      </c>
      <c r="M38" s="159"/>
      <c r="N38" s="159"/>
      <c r="O38" s="159"/>
      <c r="P38" s="159"/>
      <c r="Q38" s="159"/>
      <c r="R38" s="159" t="s">
        <v>716</v>
      </c>
      <c r="S38" s="159" t="s">
        <v>719</v>
      </c>
    </row>
    <row r="39" spans="1:26" x14ac:dyDescent="0.25">
      <c r="A39" s="57"/>
      <c r="B39" s="670"/>
      <c r="C39" s="157" t="s">
        <v>537</v>
      </c>
      <c r="D39" s="160">
        <v>7</v>
      </c>
      <c r="E39" s="160">
        <v>7</v>
      </c>
      <c r="F39" s="160"/>
      <c r="G39" s="160">
        <v>7</v>
      </c>
      <c r="H39" s="160">
        <v>7</v>
      </c>
      <c r="I39" s="160">
        <v>6.75</v>
      </c>
      <c r="J39" s="160">
        <v>6.75</v>
      </c>
      <c r="K39" s="160">
        <v>6.75</v>
      </c>
      <c r="L39" s="160">
        <v>6.75</v>
      </c>
      <c r="M39" s="160"/>
      <c r="N39" s="160"/>
      <c r="O39" s="160"/>
      <c r="P39" s="160"/>
      <c r="Q39" s="160"/>
      <c r="R39" s="160">
        <v>6.75</v>
      </c>
      <c r="S39" s="160">
        <v>6.75</v>
      </c>
    </row>
    <row r="40" spans="1:26" x14ac:dyDescent="0.25">
      <c r="B40" s="670"/>
      <c r="C40" s="157" t="s">
        <v>538</v>
      </c>
      <c r="D40" s="160">
        <v>6.5</v>
      </c>
      <c r="E40" s="160">
        <v>6.5</v>
      </c>
      <c r="F40" s="160"/>
      <c r="G40" s="160">
        <v>6.5</v>
      </c>
      <c r="H40" s="160">
        <v>6.25</v>
      </c>
      <c r="I40" s="160">
        <v>6</v>
      </c>
      <c r="J40" s="160">
        <v>6</v>
      </c>
      <c r="K40" s="160">
        <v>6</v>
      </c>
      <c r="L40" s="160">
        <v>6</v>
      </c>
      <c r="M40" s="160"/>
      <c r="N40" s="160"/>
      <c r="O40" s="160"/>
      <c r="P40" s="160"/>
      <c r="Q40" s="160"/>
      <c r="R40" s="160">
        <v>6.25</v>
      </c>
      <c r="S40" s="160">
        <v>6.25</v>
      </c>
    </row>
    <row r="41" spans="1:26" x14ac:dyDescent="0.25">
      <c r="B41" s="670"/>
      <c r="C41" s="157" t="s">
        <v>539</v>
      </c>
      <c r="D41" s="160">
        <v>6.75</v>
      </c>
      <c r="E41" s="160">
        <v>6.75</v>
      </c>
      <c r="F41" s="160"/>
      <c r="G41" s="160">
        <v>7</v>
      </c>
      <c r="H41" s="160">
        <v>7</v>
      </c>
      <c r="I41" s="160">
        <v>7.25</v>
      </c>
      <c r="J41" s="160">
        <v>7.25</v>
      </c>
      <c r="K41" s="160">
        <v>7.25</v>
      </c>
      <c r="L41" s="160">
        <v>7.5</v>
      </c>
      <c r="M41" s="160"/>
      <c r="N41" s="160"/>
      <c r="O41" s="160"/>
      <c r="P41" s="160"/>
      <c r="Q41" s="160"/>
      <c r="R41" s="160">
        <v>7.5</v>
      </c>
      <c r="S41" s="160">
        <v>7.5</v>
      </c>
    </row>
    <row r="42" spans="1:26" ht="15" customHeight="1" x14ac:dyDescent="0.25">
      <c r="C42" s="153" t="s">
        <v>383</v>
      </c>
      <c r="D42" s="261">
        <f>D34/D35</f>
        <v>7.715853548445339</v>
      </c>
      <c r="E42" s="261">
        <f>E34/E35</f>
        <v>7.8085786874040828</v>
      </c>
      <c r="F42" s="261" t="e">
        <f t="shared" ref="F42:S42" si="29">F34/F35</f>
        <v>#DIV/0!</v>
      </c>
      <c r="G42" s="261">
        <f t="shared" si="29"/>
        <v>7.7522128376239383</v>
      </c>
      <c r="H42" s="261">
        <f t="shared" si="29"/>
        <v>7.7550526668403617</v>
      </c>
      <c r="I42" s="261">
        <f t="shared" si="29"/>
        <v>7.4642598569167147</v>
      </c>
      <c r="J42" s="261">
        <f t="shared" si="29"/>
        <v>7.3793255455146571</v>
      </c>
      <c r="K42" s="261">
        <f t="shared" si="29"/>
        <v>7.4325215967546825</v>
      </c>
      <c r="L42" s="261">
        <f t="shared" si="29"/>
        <v>7.0710559706753138</v>
      </c>
      <c r="M42" s="261" t="e">
        <f t="shared" si="29"/>
        <v>#DIV/0!</v>
      </c>
      <c r="N42" s="261" t="e">
        <f t="shared" si="29"/>
        <v>#DIV/0!</v>
      </c>
      <c r="O42" s="261" t="e">
        <f t="shared" si="29"/>
        <v>#DIV/0!</v>
      </c>
      <c r="P42" s="261" t="e">
        <f t="shared" si="29"/>
        <v>#DIV/0!</v>
      </c>
      <c r="Q42" s="261" t="e">
        <f t="shared" si="29"/>
        <v>#DIV/0!</v>
      </c>
      <c r="R42" s="261">
        <f t="shared" si="29"/>
        <v>7.78361792034634</v>
      </c>
      <c r="S42" s="261">
        <f t="shared" si="29"/>
        <v>8.0280820951664467</v>
      </c>
    </row>
    <row r="43" spans="1:26" ht="15" customHeight="1" x14ac:dyDescent="0.25">
      <c r="D43" s="9"/>
      <c r="E43" s="531"/>
      <c r="G43" s="661"/>
      <c r="H43" s="661"/>
      <c r="I43" s="661"/>
      <c r="J43" s="661"/>
    </row>
    <row r="44" spans="1:26" x14ac:dyDescent="0.25">
      <c r="E44" s="341"/>
      <c r="F44" s="341"/>
      <c r="G44" s="341"/>
      <c r="H44" s="341"/>
      <c r="I44" s="341"/>
      <c r="J44" s="341"/>
      <c r="K44" s="341"/>
      <c r="L44" s="341"/>
      <c r="M44" s="341"/>
      <c r="N44" s="341"/>
      <c r="O44" s="341"/>
      <c r="P44" s="341"/>
    </row>
    <row r="45" spans="1:26" x14ac:dyDescent="0.25">
      <c r="D45" s="329"/>
      <c r="G45" s="52"/>
      <c r="H45" s="52"/>
      <c r="I45" s="52"/>
      <c r="J45" s="52"/>
      <c r="K45" s="52"/>
      <c r="L45" s="52"/>
      <c r="M45" s="52"/>
      <c r="N45" s="52"/>
      <c r="O45" s="52"/>
      <c r="P45" s="52"/>
      <c r="Q45" s="52"/>
      <c r="R45" s="52"/>
      <c r="S45" s="52"/>
    </row>
    <row r="46" spans="1:26" x14ac:dyDescent="0.25">
      <c r="G46" s="669"/>
      <c r="H46" s="669"/>
      <c r="I46" s="669"/>
      <c r="J46" s="669"/>
      <c r="M46" s="334"/>
    </row>
    <row r="47" spans="1:26" x14ac:dyDescent="0.25">
      <c r="E47" s="102"/>
      <c r="G47" s="532"/>
      <c r="H47" s="532"/>
      <c r="I47" s="532"/>
      <c r="J47" s="532"/>
    </row>
    <row r="48" spans="1:26" x14ac:dyDescent="0.25">
      <c r="G48" s="669"/>
      <c r="H48" s="669"/>
      <c r="I48" s="669"/>
      <c r="J48" s="669"/>
      <c r="P48" s="334"/>
    </row>
    <row r="49" spans="7:10" ht="15" customHeight="1" x14ac:dyDescent="0.25">
      <c r="G49" s="669"/>
      <c r="H49" s="669"/>
      <c r="I49" s="669"/>
      <c r="J49" s="101"/>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71" t="s">
        <v>665</v>
      </c>
      <c r="C2" s="672"/>
      <c r="D2" s="672"/>
      <c r="E2" s="672"/>
      <c r="F2" s="672"/>
      <c r="G2" s="673"/>
      <c r="I2" s="674" t="s">
        <v>666</v>
      </c>
      <c r="J2" s="675"/>
      <c r="K2" s="675"/>
      <c r="L2" s="675"/>
      <c r="M2" s="675"/>
      <c r="N2" s="675"/>
      <c r="O2" s="675"/>
      <c r="P2" s="675"/>
      <c r="Q2" s="675"/>
      <c r="R2" s="675"/>
      <c r="S2" s="676"/>
    </row>
    <row r="3" spans="2:19" x14ac:dyDescent="0.25">
      <c r="B3" s="677" t="s">
        <v>101</v>
      </c>
      <c r="C3" s="678"/>
      <c r="D3" s="678"/>
      <c r="E3" s="678"/>
      <c r="F3" s="678"/>
      <c r="G3" s="679"/>
      <c r="I3" s="103" t="s">
        <v>102</v>
      </c>
      <c r="J3" s="48" t="s">
        <v>100</v>
      </c>
      <c r="K3" s="48" t="s">
        <v>88</v>
      </c>
      <c r="L3" s="48" t="s">
        <v>103</v>
      </c>
      <c r="M3" s="48" t="s">
        <v>104</v>
      </c>
      <c r="N3" s="48" t="s">
        <v>105</v>
      </c>
      <c r="O3" s="48" t="s">
        <v>106</v>
      </c>
      <c r="P3" s="48" t="s">
        <v>107</v>
      </c>
      <c r="Q3" s="410" t="s">
        <v>108</v>
      </c>
      <c r="R3" s="104" t="s">
        <v>109</v>
      </c>
      <c r="S3" s="104" t="s">
        <v>110</v>
      </c>
    </row>
    <row r="4" spans="2:19" ht="18.75" x14ac:dyDescent="0.3">
      <c r="B4" s="680" t="s">
        <v>111</v>
      </c>
      <c r="C4" s="681"/>
      <c r="D4" s="105"/>
      <c r="E4" s="682" t="s">
        <v>112</v>
      </c>
      <c r="F4" s="683"/>
      <c r="G4" s="105"/>
      <c r="I4" s="511" t="s">
        <v>113</v>
      </c>
      <c r="J4" s="106" t="s">
        <v>654</v>
      </c>
      <c r="K4" s="567">
        <f>11662680+53436</f>
        <v>11716116</v>
      </c>
      <c r="L4" s="567">
        <v>0</v>
      </c>
      <c r="M4" s="567">
        <v>0</v>
      </c>
      <c r="N4" s="567">
        <v>0</v>
      </c>
      <c r="O4" s="107">
        <f t="shared" ref="O4:O5" si="0">IF(M4=0,0,M4-K4)-N4</f>
        <v>0</v>
      </c>
      <c r="P4" s="107">
        <f t="shared" ref="P4:P5" si="1">IF(M4=0,K4,0)</f>
        <v>11716116</v>
      </c>
      <c r="Q4" s="512"/>
      <c r="R4" s="108">
        <v>42468</v>
      </c>
      <c r="S4" s="108"/>
    </row>
    <row r="5" spans="2:19" x14ac:dyDescent="0.25">
      <c r="B5" s="109"/>
      <c r="C5" s="110"/>
      <c r="D5" s="184"/>
      <c r="E5" s="109"/>
      <c r="F5" s="110"/>
      <c r="G5" s="111"/>
      <c r="I5" s="345" t="s">
        <v>420</v>
      </c>
      <c r="J5" s="346" t="s">
        <v>691</v>
      </c>
      <c r="K5" s="568">
        <v>0</v>
      </c>
      <c r="L5" s="568">
        <v>0</v>
      </c>
      <c r="M5" s="568">
        <v>2000</v>
      </c>
      <c r="N5" s="568">
        <v>650</v>
      </c>
      <c r="O5" s="347">
        <f t="shared" si="0"/>
        <v>1350</v>
      </c>
      <c r="P5" s="347">
        <f t="shared" si="1"/>
        <v>0</v>
      </c>
      <c r="Q5" s="348"/>
      <c r="R5" s="349"/>
      <c r="S5" s="349">
        <v>42562</v>
      </c>
    </row>
    <row r="6" spans="2:19" x14ac:dyDescent="0.25">
      <c r="B6" s="112" t="s">
        <v>114</v>
      </c>
      <c r="C6" s="113" t="e">
        <f>SUM(C7:C9)</f>
        <v>#REF!</v>
      </c>
      <c r="D6" s="133" t="e">
        <f>C6/C34</f>
        <v>#REF!</v>
      </c>
      <c r="E6" s="112" t="s">
        <v>115</v>
      </c>
      <c r="F6" s="113" t="e">
        <f>F7+F8+F9</f>
        <v>#REF!</v>
      </c>
      <c r="G6" s="114" t="e">
        <f>F6/$F$34</f>
        <v>#REF!</v>
      </c>
      <c r="I6" s="345" t="s">
        <v>420</v>
      </c>
      <c r="J6" s="346" t="s">
        <v>692</v>
      </c>
      <c r="K6" s="568">
        <v>0</v>
      </c>
      <c r="L6" s="568">
        <v>0</v>
      </c>
      <c r="M6" s="568">
        <v>59000</v>
      </c>
      <c r="N6" s="568">
        <v>650</v>
      </c>
      <c r="O6" s="347">
        <f t="shared" ref="O6" si="2">IF(M6=0,0,M6-K6)-N6</f>
        <v>58350</v>
      </c>
      <c r="P6" s="347">
        <f t="shared" ref="P6" si="3">IF(M6=0,K6,0)</f>
        <v>0</v>
      </c>
      <c r="Q6" s="348"/>
      <c r="R6" s="349"/>
      <c r="S6" s="349">
        <v>42530</v>
      </c>
    </row>
    <row r="7" spans="2:19" x14ac:dyDescent="0.25">
      <c r="B7" s="115" t="s">
        <v>84</v>
      </c>
      <c r="C7" s="116" t="e">
        <f>'A-P_T49'!C7+EconomiaT50!C16</f>
        <v>#REF!</v>
      </c>
      <c r="D7" s="185" t="e">
        <f>C7/C34</f>
        <v>#REF!</v>
      </c>
      <c r="E7" s="186" t="s">
        <v>116</v>
      </c>
      <c r="F7" s="187">
        <v>300000</v>
      </c>
      <c r="G7" s="117" t="e">
        <f>F7/$F$34</f>
        <v>#REF!</v>
      </c>
      <c r="I7" s="345" t="s">
        <v>420</v>
      </c>
      <c r="J7" s="346" t="s">
        <v>697</v>
      </c>
      <c r="K7" s="568">
        <v>0</v>
      </c>
      <c r="L7" s="568">
        <v>0</v>
      </c>
      <c r="M7" s="568">
        <v>261000</v>
      </c>
      <c r="N7" s="568">
        <f>M7-247950</f>
        <v>13050</v>
      </c>
      <c r="O7" s="347">
        <f t="shared" ref="O7" si="4">IF(M7=0,0,M7-K7)-N7</f>
        <v>247950</v>
      </c>
      <c r="P7" s="347">
        <f t="shared" ref="P7" si="5">IF(M7=0,K7,0)</f>
        <v>0</v>
      </c>
      <c r="Q7" s="348"/>
      <c r="R7" s="349"/>
      <c r="S7" s="349">
        <v>42572</v>
      </c>
    </row>
    <row r="8" spans="2:19" x14ac:dyDescent="0.25">
      <c r="B8" s="115" t="s">
        <v>67</v>
      </c>
      <c r="C8" s="116" t="e">
        <f>'A-P_T49'!C8+EconomiaT50!C20+'A-P_T49'!C9</f>
        <v>#REF!</v>
      </c>
      <c r="D8" s="185" t="e">
        <f>C8/C34</f>
        <v>#REF!</v>
      </c>
      <c r="E8" s="186" t="s">
        <v>238</v>
      </c>
      <c r="F8" s="187" t="e">
        <f>'A-P_T49'!F9+'A-P_T49'!F8</f>
        <v>#REF!</v>
      </c>
      <c r="G8" s="117" t="e">
        <f>F8/$F$34</f>
        <v>#REF!</v>
      </c>
      <c r="I8" s="345" t="s">
        <v>420</v>
      </c>
      <c r="J8" s="346" t="s">
        <v>699</v>
      </c>
      <c r="K8" s="568">
        <v>0</v>
      </c>
      <c r="L8" s="568">
        <v>0</v>
      </c>
      <c r="M8" s="568">
        <v>84660</v>
      </c>
      <c r="N8" s="568">
        <f>M8-81427</f>
        <v>3233</v>
      </c>
      <c r="O8" s="347">
        <f t="shared" ref="O8" si="6">IF(M8=0,0,M8-K8)-N8</f>
        <v>81427</v>
      </c>
      <c r="P8" s="347">
        <f t="shared" ref="P8" si="7">IF(M8=0,K8,0)</f>
        <v>0</v>
      </c>
      <c r="Q8" s="348"/>
      <c r="R8" s="349"/>
      <c r="S8" s="349">
        <v>42578</v>
      </c>
    </row>
    <row r="9" spans="2:19" x14ac:dyDescent="0.25">
      <c r="B9" s="118" t="s">
        <v>117</v>
      </c>
      <c r="C9" s="119">
        <v>0</v>
      </c>
      <c r="D9" s="185" t="e">
        <f>C9/C34</f>
        <v>#REF!</v>
      </c>
      <c r="E9" s="186" t="s">
        <v>667</v>
      </c>
      <c r="F9" s="187">
        <f>'A-P_T49'!F11+192375</f>
        <v>5746546</v>
      </c>
      <c r="G9" s="117" t="e">
        <f>F9/$F$34</f>
        <v>#REF!</v>
      </c>
      <c r="I9" s="345" t="s">
        <v>420</v>
      </c>
      <c r="J9" s="346" t="s">
        <v>713</v>
      </c>
      <c r="K9" s="568">
        <v>0</v>
      </c>
      <c r="L9" s="568">
        <v>0</v>
      </c>
      <c r="M9" s="568">
        <v>84000</v>
      </c>
      <c r="N9" s="568">
        <f>M9-79800</f>
        <v>4200</v>
      </c>
      <c r="O9" s="347">
        <f t="shared" ref="O9" si="8">IF(M9=0,0,M9-K9)-N9</f>
        <v>79800</v>
      </c>
      <c r="P9" s="347">
        <f t="shared" ref="P9" si="9">IF(M9=0,K9,0)</f>
        <v>0</v>
      </c>
      <c r="Q9" s="348"/>
      <c r="R9" s="349"/>
      <c r="S9" s="349">
        <v>42613</v>
      </c>
    </row>
    <row r="10" spans="2:19" x14ac:dyDescent="0.25">
      <c r="B10" s="120"/>
      <c r="C10" s="121"/>
      <c r="D10" s="133"/>
      <c r="E10" s="188"/>
      <c r="F10" s="121"/>
      <c r="G10" s="114"/>
      <c r="I10" s="345" t="s">
        <v>420</v>
      </c>
      <c r="J10" s="346" t="s">
        <v>714</v>
      </c>
      <c r="K10" s="568">
        <v>0</v>
      </c>
      <c r="L10" s="568">
        <v>0</v>
      </c>
      <c r="M10" s="568">
        <v>10000</v>
      </c>
      <c r="N10" s="568">
        <f>M10-9500</f>
        <v>500</v>
      </c>
      <c r="O10" s="347">
        <f t="shared" ref="O10" si="10">IF(M10=0,0,M10-K10)-N10</f>
        <v>9500</v>
      </c>
      <c r="P10" s="347">
        <f t="shared" ref="P10" si="11">IF(M10=0,K10,0)</f>
        <v>0</v>
      </c>
      <c r="Q10" s="348"/>
      <c r="R10" s="349"/>
      <c r="S10" s="349">
        <v>42613</v>
      </c>
    </row>
    <row r="11" spans="2:19" x14ac:dyDescent="0.25">
      <c r="B11" s="112" t="s">
        <v>100</v>
      </c>
      <c r="C11" s="113">
        <f>SUM(C12:C15)</f>
        <v>11716116</v>
      </c>
      <c r="D11" s="133" t="e">
        <f>C11/C34</f>
        <v>#REF!</v>
      </c>
      <c r="E11" s="112" t="s">
        <v>528</v>
      </c>
      <c r="F11" s="113">
        <f>SUM(F12:F17)</f>
        <v>6162445</v>
      </c>
      <c r="G11" s="114" t="e">
        <f t="shared" ref="G11:G17" si="12">F11/$F$34</f>
        <v>#REF!</v>
      </c>
      <c r="I11" s="345" t="s">
        <v>420</v>
      </c>
      <c r="J11" s="346" t="s">
        <v>715</v>
      </c>
      <c r="K11" s="568">
        <v>0</v>
      </c>
      <c r="L11" s="568">
        <v>0</v>
      </c>
      <c r="M11" s="568">
        <v>116000</v>
      </c>
      <c r="N11" s="568">
        <f>M11-110200</f>
        <v>5800</v>
      </c>
      <c r="O11" s="347">
        <f t="shared" ref="O11:O12" si="13">IF(M11=0,0,M11-K11)-N11</f>
        <v>110200</v>
      </c>
      <c r="P11" s="347">
        <f t="shared" ref="P11:P12" si="14">IF(M11=0,K11,0)</f>
        <v>0</v>
      </c>
      <c r="Q11" s="348"/>
      <c r="R11" s="349"/>
      <c r="S11" s="349">
        <v>42608</v>
      </c>
    </row>
    <row r="12" spans="2:19" x14ac:dyDescent="0.25">
      <c r="B12" s="122" t="s">
        <v>118</v>
      </c>
      <c r="C12" s="123">
        <f>SUMIF(I4:I518,"S",$P$4:$P$518)</f>
        <v>0</v>
      </c>
      <c r="D12" s="185" t="e">
        <f>C12/C34</f>
        <v>#REF!</v>
      </c>
      <c r="E12" s="49" t="s">
        <v>119</v>
      </c>
      <c r="F12" s="124">
        <f>SUMIF(I4:I518,"J",$O$4:$O$518)</f>
        <v>0</v>
      </c>
      <c r="G12" s="117" t="e">
        <f t="shared" si="12"/>
        <v>#REF!</v>
      </c>
      <c r="I12" s="511" t="s">
        <v>381</v>
      </c>
      <c r="J12" s="106" t="s">
        <v>718</v>
      </c>
      <c r="K12" s="567">
        <v>1916000</v>
      </c>
      <c r="L12" s="567">
        <v>372</v>
      </c>
      <c r="M12" s="567">
        <v>0</v>
      </c>
      <c r="N12" s="567">
        <v>0</v>
      </c>
      <c r="O12" s="107">
        <f t="shared" si="13"/>
        <v>0</v>
      </c>
      <c r="P12" s="107">
        <f t="shared" si="14"/>
        <v>1916000</v>
      </c>
      <c r="Q12" s="512"/>
      <c r="R12" s="108">
        <v>42628</v>
      </c>
      <c r="S12" s="108"/>
    </row>
    <row r="13" spans="2:19" x14ac:dyDescent="0.25">
      <c r="B13" s="122" t="s">
        <v>100</v>
      </c>
      <c r="C13" s="123">
        <f>SUMIF(I4:I518,"J",$P$4:$P$518)</f>
        <v>11716116</v>
      </c>
      <c r="D13" s="185" t="e">
        <f>C13/C34</f>
        <v>#REF!</v>
      </c>
      <c r="E13" s="49" t="s">
        <v>120</v>
      </c>
      <c r="F13" s="124">
        <f>SUMIF(I4:I518,"S",$O$4:$O$518)</f>
        <v>0</v>
      </c>
      <c r="G13" s="117" t="e">
        <f t="shared" si="12"/>
        <v>#REF!</v>
      </c>
      <c r="I13" s="413"/>
      <c r="J13" s="413"/>
      <c r="K13" s="413"/>
      <c r="L13" s="413"/>
      <c r="M13" s="413"/>
      <c r="N13" s="413"/>
      <c r="O13" s="413"/>
      <c r="P13" s="413"/>
      <c r="Q13" s="413"/>
      <c r="R13" s="413"/>
      <c r="S13" s="413"/>
    </row>
    <row r="14" spans="2:19" x14ac:dyDescent="0.25">
      <c r="B14" s="122" t="s">
        <v>99</v>
      </c>
      <c r="C14" s="123">
        <f>SUMIF(I4:I518,"E",$P$4:$P$518)</f>
        <v>0</v>
      </c>
      <c r="D14" s="185" t="e">
        <f>C14/C34</f>
        <v>#REF!</v>
      </c>
      <c r="E14" s="49" t="s">
        <v>121</v>
      </c>
      <c r="F14" s="124">
        <f>SUMIF(I4:I518,"C",$O$4:$O$518)</f>
        <v>588577</v>
      </c>
      <c r="G14" s="117" t="e">
        <f t="shared" si="12"/>
        <v>#REF!</v>
      </c>
      <c r="I14" s="413"/>
      <c r="J14" s="413"/>
      <c r="K14" s="413"/>
      <c r="L14" s="413"/>
      <c r="M14" s="413"/>
      <c r="N14" s="413"/>
      <c r="O14" s="413"/>
      <c r="P14" s="413"/>
      <c r="Q14" s="413"/>
      <c r="R14" s="413"/>
      <c r="S14" s="413"/>
    </row>
    <row r="15" spans="2:19" x14ac:dyDescent="0.25">
      <c r="B15" s="122" t="s">
        <v>122</v>
      </c>
      <c r="C15" s="123">
        <f>SUMIF(I4:I518,"M",$P$4:$P$518)</f>
        <v>0</v>
      </c>
      <c r="D15" s="185" t="e">
        <f>C15/C34</f>
        <v>#REF!</v>
      </c>
      <c r="E15" s="49" t="s">
        <v>123</v>
      </c>
      <c r="F15" s="124">
        <f>SUMIF(I4:I518,"E",$O$4:$O$518)</f>
        <v>0</v>
      </c>
      <c r="G15" s="117" t="e">
        <f t="shared" si="12"/>
        <v>#REF!</v>
      </c>
      <c r="K15" s="102"/>
    </row>
    <row r="16" spans="2:19" x14ac:dyDescent="0.25">
      <c r="B16" s="125"/>
      <c r="C16" s="126"/>
      <c r="D16" s="133"/>
      <c r="E16" s="49" t="s">
        <v>124</v>
      </c>
      <c r="F16" s="124">
        <f>SUMIF(I4:I518,"M",$O$4:$O$518)</f>
        <v>0</v>
      </c>
      <c r="G16" s="117" t="e">
        <f t="shared" si="12"/>
        <v>#REF!</v>
      </c>
    </row>
    <row r="17" spans="2:10" x14ac:dyDescent="0.25">
      <c r="B17" s="112" t="s">
        <v>74</v>
      </c>
      <c r="C17" s="127">
        <f>C18+C19</f>
        <v>588577</v>
      </c>
      <c r="D17" s="133" t="e">
        <f>C17/C34</f>
        <v>#REF!</v>
      </c>
      <c r="E17" s="128" t="s">
        <v>529</v>
      </c>
      <c r="F17" s="129">
        <f>C27-F27+C9</f>
        <v>5573868</v>
      </c>
      <c r="G17" s="117" t="e">
        <f t="shared" si="12"/>
        <v>#REF!</v>
      </c>
    </row>
    <row r="18" spans="2:10" x14ac:dyDescent="0.25">
      <c r="B18" s="122" t="s">
        <v>74</v>
      </c>
      <c r="C18" s="123">
        <f>SUM(M4:M518)</f>
        <v>616660</v>
      </c>
      <c r="D18" s="185" t="e">
        <f>C18/C34</f>
        <v>#REF!</v>
      </c>
      <c r="E18" s="120"/>
      <c r="F18" s="121"/>
      <c r="G18" s="130"/>
    </row>
    <row r="19" spans="2:10" x14ac:dyDescent="0.25">
      <c r="B19" s="118" t="s">
        <v>76</v>
      </c>
      <c r="C19" s="119">
        <f>SUM(N4:N518)*-1</f>
        <v>-28083</v>
      </c>
      <c r="D19" s="185" t="e">
        <f>C19/C34</f>
        <v>#REF!</v>
      </c>
      <c r="E19" s="112" t="s">
        <v>125</v>
      </c>
      <c r="F19" s="127">
        <f>F20+F21</f>
        <v>0</v>
      </c>
      <c r="G19" s="114" t="e">
        <f>F19/$F$34</f>
        <v>#REF!</v>
      </c>
    </row>
    <row r="20" spans="2:10" x14ac:dyDescent="0.25">
      <c r="B20" s="125"/>
      <c r="C20" s="126"/>
      <c r="D20" s="185"/>
      <c r="E20" s="189" t="s">
        <v>88</v>
      </c>
      <c r="F20" s="190">
        <f>EconomiaT50!C19</f>
        <v>0</v>
      </c>
      <c r="G20" s="117" t="e">
        <f>F20/$F$34</f>
        <v>#REF!</v>
      </c>
    </row>
    <row r="21" spans="2:10" x14ac:dyDescent="0.25">
      <c r="B21" s="112" t="s">
        <v>530</v>
      </c>
      <c r="C21" s="113">
        <f>EconomiaT50!C5</f>
        <v>-383803</v>
      </c>
      <c r="D21" s="133" t="e">
        <f>C21/C34</f>
        <v>#REF!</v>
      </c>
      <c r="E21" s="118" t="s">
        <v>126</v>
      </c>
      <c r="F21" s="191">
        <v>0</v>
      </c>
      <c r="G21" s="117" t="e">
        <f>F21/$F$34</f>
        <v>#REF!</v>
      </c>
    </row>
    <row r="22" spans="2:10" x14ac:dyDescent="0.25">
      <c r="B22" s="112"/>
      <c r="C22" s="113"/>
      <c r="D22" s="133"/>
      <c r="E22" s="125"/>
      <c r="F22" s="411"/>
      <c r="G22" s="412"/>
    </row>
    <row r="23" spans="2:10" x14ac:dyDescent="0.25">
      <c r="B23" s="112"/>
      <c r="C23" s="113"/>
      <c r="D23" s="133"/>
      <c r="E23" s="112" t="s">
        <v>239</v>
      </c>
      <c r="F23" s="113">
        <f>SUM(F24:F25)</f>
        <v>2359167</v>
      </c>
      <c r="G23" s="114" t="e">
        <f>F23/$F$34</f>
        <v>#REF!</v>
      </c>
    </row>
    <row r="24" spans="2:10" x14ac:dyDescent="0.25">
      <c r="B24" s="112"/>
      <c r="C24" s="113"/>
      <c r="D24" s="133"/>
      <c r="E24" s="189" t="s">
        <v>84</v>
      </c>
      <c r="F24" s="192">
        <f>EconomiaT50!C16</f>
        <v>442795</v>
      </c>
      <c r="G24" s="117" t="e">
        <f>F24/$F$34</f>
        <v>#REF!</v>
      </c>
    </row>
    <row r="25" spans="2:10" x14ac:dyDescent="0.25">
      <c r="B25" s="112"/>
      <c r="C25" s="113"/>
      <c r="D25" s="133"/>
      <c r="E25" s="189" t="s">
        <v>67</v>
      </c>
      <c r="F25" s="192">
        <f>EconomiaT50!C20</f>
        <v>1916372</v>
      </c>
      <c r="G25" s="117" t="e">
        <f>F25/$F$34</f>
        <v>#REF!</v>
      </c>
    </row>
    <row r="26" spans="2:10" x14ac:dyDescent="0.25">
      <c r="B26" s="513"/>
      <c r="C26" s="514"/>
      <c r="D26" s="515"/>
      <c r="E26" s="516"/>
      <c r="F26" s="517"/>
      <c r="G26" s="518"/>
    </row>
    <row r="27" spans="2:10" x14ac:dyDescent="0.25">
      <c r="B27" s="112" t="s">
        <v>127</v>
      </c>
      <c r="C27" s="113">
        <f>SUM(C28:C32)</f>
        <v>10357876</v>
      </c>
      <c r="D27" s="133" t="e">
        <f>C27/C34</f>
        <v>#REF!</v>
      </c>
      <c r="E27" s="112" t="s">
        <v>240</v>
      </c>
      <c r="F27" s="113">
        <f>SUM(F28:F33)</f>
        <v>4784008</v>
      </c>
      <c r="G27" s="114" t="e">
        <f t="shared" ref="G27:G33" si="15">F27/$F$34</f>
        <v>#REF!</v>
      </c>
    </row>
    <row r="28" spans="2:10" x14ac:dyDescent="0.25">
      <c r="B28" s="131" t="s">
        <v>69</v>
      </c>
      <c r="C28" s="132">
        <f>EconomiaT50!C11</f>
        <v>89520</v>
      </c>
      <c r="D28" s="185" t="e">
        <f>C28/C34</f>
        <v>#REF!</v>
      </c>
      <c r="E28" s="189" t="s">
        <v>128</v>
      </c>
      <c r="F28" s="192">
        <f>EconomiaT50!C14</f>
        <v>2646284</v>
      </c>
      <c r="G28" s="117" t="e">
        <f t="shared" si="15"/>
        <v>#REF!</v>
      </c>
    </row>
    <row r="29" spans="2:10" x14ac:dyDescent="0.25">
      <c r="B29" s="131" t="s">
        <v>79</v>
      </c>
      <c r="C29" s="132">
        <f>EconomiaT50!C12</f>
        <v>925000</v>
      </c>
      <c r="D29" s="185" t="e">
        <f>C29/C34</f>
        <v>#REF!</v>
      </c>
      <c r="E29" s="189" t="s">
        <v>82</v>
      </c>
      <c r="F29" s="192">
        <f>EconomiaT50!C15</f>
        <v>686244</v>
      </c>
      <c r="G29" s="117" t="e">
        <f t="shared" si="15"/>
        <v>#REF!</v>
      </c>
    </row>
    <row r="30" spans="2:10" x14ac:dyDescent="0.25">
      <c r="B30" s="131" t="s">
        <v>71</v>
      </c>
      <c r="C30" s="132">
        <f>EconomiaT50!C6</f>
        <v>6222531</v>
      </c>
      <c r="D30" s="185" t="e">
        <f>C30/C34</f>
        <v>#REF!</v>
      </c>
      <c r="E30" s="189" t="s">
        <v>85</v>
      </c>
      <c r="F30" s="192">
        <f>EconomiaT50!C17</f>
        <v>1044480</v>
      </c>
      <c r="G30" s="117" t="e">
        <f t="shared" si="15"/>
        <v>#REF!</v>
      </c>
    </row>
    <row r="31" spans="2:10" x14ac:dyDescent="0.25">
      <c r="B31" s="131" t="s">
        <v>72</v>
      </c>
      <c r="C31" s="132">
        <f>EconomiaT50!C7</f>
        <v>3046995</v>
      </c>
      <c r="D31" s="185" t="e">
        <f>C31/C34</f>
        <v>#REF!</v>
      </c>
      <c r="E31" s="189" t="s">
        <v>86</v>
      </c>
      <c r="F31" s="192">
        <f>EconomiaT50!C18</f>
        <v>320000</v>
      </c>
      <c r="G31" s="117" t="e">
        <f t="shared" si="15"/>
        <v>#REF!</v>
      </c>
    </row>
    <row r="32" spans="2:10" x14ac:dyDescent="0.25">
      <c r="B32" s="131" t="s">
        <v>76</v>
      </c>
      <c r="C32" s="132">
        <f>EconomiaT50!C10</f>
        <v>73830</v>
      </c>
      <c r="D32" s="185" t="e">
        <f>C32/C34</f>
        <v>#REF!</v>
      </c>
      <c r="E32" s="189" t="s">
        <v>89</v>
      </c>
      <c r="F32" s="192">
        <f>EconomiaT50!C21</f>
        <v>87000</v>
      </c>
      <c r="G32" s="117" t="e">
        <f t="shared" si="15"/>
        <v>#REF!</v>
      </c>
      <c r="J32" s="102"/>
    </row>
    <row r="33" spans="2:8" x14ac:dyDescent="0.25">
      <c r="B33" s="112"/>
      <c r="C33" s="113"/>
      <c r="D33" s="133"/>
      <c r="E33" s="414" t="s">
        <v>90</v>
      </c>
      <c r="F33" s="415">
        <f>EconomiaT50!C22</f>
        <v>0</v>
      </c>
      <c r="G33" s="416" t="e">
        <f t="shared" si="15"/>
        <v>#REF!</v>
      </c>
    </row>
    <row r="34" spans="2:8" ht="18.75" x14ac:dyDescent="0.3">
      <c r="B34" s="135" t="s">
        <v>27</v>
      </c>
      <c r="C34" s="136" t="e">
        <f>C27+C21+C17+C11+C6</f>
        <v>#REF!</v>
      </c>
      <c r="D34" s="417" t="e">
        <f>C34/C34</f>
        <v>#REF!</v>
      </c>
      <c r="E34" s="135" t="s">
        <v>27</v>
      </c>
      <c r="F34" s="136" t="e">
        <f>F27+F19+F11+F6+F23</f>
        <v>#REF!</v>
      </c>
      <c r="G34" s="134" t="e">
        <f>F34/$F$34</f>
        <v>#REF!</v>
      </c>
    </row>
    <row r="35" spans="2:8" x14ac:dyDescent="0.25">
      <c r="C35" s="102"/>
      <c r="D35" s="418"/>
      <c r="E35" s="419" t="s">
        <v>491</v>
      </c>
      <c r="F35" s="420" t="e">
        <f>F34-C34</f>
        <v>#REF!</v>
      </c>
      <c r="G35" s="102"/>
    </row>
    <row r="36" spans="2:8" x14ac:dyDescent="0.25">
      <c r="C36" s="102"/>
      <c r="D36" s="102"/>
      <c r="F36" s="102"/>
      <c r="G36" s="102"/>
      <c r="H36" s="102"/>
    </row>
    <row r="37" spans="2:8" ht="15.75" x14ac:dyDescent="0.25">
      <c r="B37" s="421" t="s">
        <v>531</v>
      </c>
      <c r="C37" s="422">
        <f>EconomiaT48!C24</f>
        <v>5960252</v>
      </c>
      <c r="D37" s="102"/>
      <c r="E37" s="4" t="s">
        <v>532</v>
      </c>
      <c r="F37" s="98">
        <f>C27-F27</f>
        <v>5573868</v>
      </c>
      <c r="G37" s="98"/>
    </row>
    <row r="38" spans="2:8" x14ac:dyDescent="0.25">
      <c r="C38" s="98">
        <f>C37-C21</f>
        <v>6344055</v>
      </c>
      <c r="D38" s="102"/>
      <c r="F38" s="102"/>
      <c r="G38" s="102"/>
    </row>
    <row r="39" spans="2:8" x14ac:dyDescent="0.25">
      <c r="C39" s="102"/>
      <c r="D39" s="102"/>
      <c r="F39" s="102"/>
      <c r="G39" s="102"/>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92D050"/>
    <pageSetUpPr fitToPage="1"/>
  </sheetPr>
  <dimension ref="A1:Z38"/>
  <sheetViews>
    <sheetView workbookViewId="0">
      <selection activeCell="M6" sqref="M6"/>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6" s="4" customFormat="1" x14ac:dyDescent="0.25">
      <c r="A1" s="4" t="s">
        <v>631</v>
      </c>
      <c r="B1" s="4" t="s">
        <v>628</v>
      </c>
      <c r="C1" s="4" t="s">
        <v>629</v>
      </c>
      <c r="D1" s="4" t="s">
        <v>607</v>
      </c>
      <c r="E1" s="4" t="s">
        <v>630</v>
      </c>
      <c r="G1" s="4" t="s">
        <v>610</v>
      </c>
      <c r="H1" s="4" t="s">
        <v>628</v>
      </c>
      <c r="I1" s="4" t="s">
        <v>629</v>
      </c>
      <c r="J1" s="4" t="s">
        <v>607</v>
      </c>
      <c r="K1" s="4" t="s">
        <v>630</v>
      </c>
      <c r="M1" s="4" t="s">
        <v>418</v>
      </c>
      <c r="N1" s="4" t="s">
        <v>628</v>
      </c>
      <c r="O1" s="4" t="s">
        <v>629</v>
      </c>
      <c r="P1" s="4" t="s">
        <v>607</v>
      </c>
      <c r="Q1" s="4" t="s">
        <v>630</v>
      </c>
      <c r="S1" s="4" t="s">
        <v>63</v>
      </c>
      <c r="T1" s="4" t="s">
        <v>628</v>
      </c>
      <c r="U1" s="4" t="s">
        <v>629</v>
      </c>
      <c r="V1" s="4" t="s">
        <v>607</v>
      </c>
      <c r="W1" s="4" t="s">
        <v>630</v>
      </c>
    </row>
    <row r="2" spans="1:26" x14ac:dyDescent="0.25">
      <c r="A2" t="s">
        <v>611</v>
      </c>
      <c r="B2">
        <v>2</v>
      </c>
      <c r="C2">
        <v>3</v>
      </c>
      <c r="D2">
        <v>1.5</v>
      </c>
      <c r="E2">
        <f>D2</f>
        <v>1.5</v>
      </c>
      <c r="G2" t="s">
        <v>611</v>
      </c>
      <c r="H2">
        <v>2</v>
      </c>
      <c r="I2">
        <v>3</v>
      </c>
      <c r="J2">
        <v>3</v>
      </c>
      <c r="K2">
        <f>J2</f>
        <v>3</v>
      </c>
      <c r="M2" t="s">
        <v>611</v>
      </c>
      <c r="N2">
        <v>2</v>
      </c>
      <c r="O2">
        <v>3</v>
      </c>
      <c r="P2">
        <v>3</v>
      </c>
      <c r="Q2">
        <f>P2</f>
        <v>3</v>
      </c>
      <c r="S2" t="s">
        <v>611</v>
      </c>
      <c r="T2">
        <v>2</v>
      </c>
      <c r="U2">
        <v>3</v>
      </c>
      <c r="V2">
        <v>1.5</v>
      </c>
      <c r="W2">
        <f>V2</f>
        <v>1.5</v>
      </c>
    </row>
    <row r="3" spans="1:26" x14ac:dyDescent="0.25">
      <c r="A3" t="s">
        <v>612</v>
      </c>
      <c r="B3">
        <v>3</v>
      </c>
      <c r="C3">
        <v>4</v>
      </c>
      <c r="D3">
        <v>2</v>
      </c>
      <c r="E3">
        <f>E2+D3</f>
        <v>3.5</v>
      </c>
      <c r="G3" t="s">
        <v>612</v>
      </c>
      <c r="H3">
        <v>3</v>
      </c>
      <c r="I3">
        <v>4</v>
      </c>
      <c r="J3">
        <v>3</v>
      </c>
      <c r="K3">
        <f>K2+J3</f>
        <v>6</v>
      </c>
      <c r="M3" t="s">
        <v>612</v>
      </c>
      <c r="N3">
        <v>3</v>
      </c>
      <c r="O3">
        <v>4</v>
      </c>
      <c r="P3">
        <v>3</v>
      </c>
      <c r="Q3">
        <f>Q2+P3</f>
        <v>6</v>
      </c>
      <c r="S3" t="s">
        <v>612</v>
      </c>
      <c r="T3">
        <v>3</v>
      </c>
      <c r="U3">
        <v>4</v>
      </c>
      <c r="V3">
        <v>2</v>
      </c>
      <c r="W3">
        <f>W2+V3</f>
        <v>3.5</v>
      </c>
    </row>
    <row r="4" spans="1:26" x14ac:dyDescent="0.25">
      <c r="A4" t="s">
        <v>613</v>
      </c>
      <c r="B4">
        <v>4</v>
      </c>
      <c r="C4">
        <v>5</v>
      </c>
      <c r="D4">
        <v>2</v>
      </c>
      <c r="E4">
        <f t="shared" ref="E4:E17" si="0">E3+D4</f>
        <v>5.5</v>
      </c>
      <c r="G4" t="s">
        <v>613</v>
      </c>
      <c r="H4">
        <v>4</v>
      </c>
      <c r="I4">
        <v>5</v>
      </c>
      <c r="J4">
        <v>4</v>
      </c>
      <c r="K4">
        <f t="shared" ref="K4:K17" si="1">K3+J4</f>
        <v>10</v>
      </c>
      <c r="M4" t="s">
        <v>613</v>
      </c>
      <c r="N4">
        <v>4</v>
      </c>
      <c r="O4">
        <v>5</v>
      </c>
      <c r="P4">
        <v>3</v>
      </c>
      <c r="Q4">
        <f t="shared" ref="Q4:Q17" si="2">Q3+P4</f>
        <v>9</v>
      </c>
      <c r="S4" t="s">
        <v>613</v>
      </c>
      <c r="T4">
        <v>4</v>
      </c>
      <c r="U4">
        <v>5</v>
      </c>
      <c r="V4">
        <v>2</v>
      </c>
      <c r="W4">
        <f t="shared" ref="W4:W17" si="3">W3+V4</f>
        <v>5.5</v>
      </c>
    </row>
    <row r="5" spans="1:26" x14ac:dyDescent="0.25">
      <c r="A5" t="s">
        <v>614</v>
      </c>
      <c r="B5">
        <v>5</v>
      </c>
      <c r="C5">
        <v>6</v>
      </c>
      <c r="D5">
        <v>2</v>
      </c>
      <c r="E5">
        <f t="shared" si="0"/>
        <v>7.5</v>
      </c>
      <c r="G5" t="s">
        <v>614</v>
      </c>
      <c r="H5">
        <v>5</v>
      </c>
      <c r="I5">
        <v>6</v>
      </c>
      <c r="J5">
        <v>4</v>
      </c>
      <c r="K5">
        <f t="shared" si="1"/>
        <v>14</v>
      </c>
      <c r="M5" t="s">
        <v>614</v>
      </c>
      <c r="N5">
        <v>5</v>
      </c>
      <c r="O5">
        <v>6</v>
      </c>
      <c r="P5">
        <v>3</v>
      </c>
      <c r="Q5">
        <f t="shared" si="2"/>
        <v>12</v>
      </c>
      <c r="S5" t="s">
        <v>614</v>
      </c>
      <c r="T5">
        <v>5</v>
      </c>
      <c r="U5">
        <v>6</v>
      </c>
      <c r="V5">
        <v>3</v>
      </c>
      <c r="W5">
        <f t="shared" si="3"/>
        <v>8.5</v>
      </c>
    </row>
    <row r="6" spans="1:26" x14ac:dyDescent="0.25">
      <c r="A6" t="s">
        <v>615</v>
      </c>
      <c r="B6">
        <v>6</v>
      </c>
      <c r="C6">
        <v>7</v>
      </c>
      <c r="D6">
        <v>3</v>
      </c>
      <c r="E6">
        <f t="shared" si="0"/>
        <v>10.5</v>
      </c>
      <c r="G6" t="s">
        <v>615</v>
      </c>
      <c r="H6">
        <v>6</v>
      </c>
      <c r="I6">
        <v>7</v>
      </c>
      <c r="J6">
        <v>4</v>
      </c>
      <c r="K6">
        <f t="shared" si="1"/>
        <v>18</v>
      </c>
      <c r="M6" t="s">
        <v>615</v>
      </c>
      <c r="N6">
        <v>6</v>
      </c>
      <c r="O6">
        <v>7</v>
      </c>
      <c r="P6">
        <v>4</v>
      </c>
      <c r="Q6">
        <f t="shared" si="2"/>
        <v>16</v>
      </c>
      <c r="S6" t="s">
        <v>615</v>
      </c>
      <c r="T6">
        <v>6</v>
      </c>
      <c r="U6">
        <v>7</v>
      </c>
      <c r="V6">
        <v>2</v>
      </c>
      <c r="W6">
        <f t="shared" si="3"/>
        <v>10.5</v>
      </c>
    </row>
    <row r="7" spans="1:26" x14ac:dyDescent="0.25">
      <c r="A7" t="s">
        <v>616</v>
      </c>
      <c r="B7">
        <v>7</v>
      </c>
      <c r="C7">
        <v>8</v>
      </c>
      <c r="D7">
        <v>3</v>
      </c>
      <c r="E7">
        <f t="shared" si="0"/>
        <v>13.5</v>
      </c>
      <c r="G7" t="s">
        <v>616</v>
      </c>
      <c r="H7">
        <v>7</v>
      </c>
      <c r="I7">
        <v>8</v>
      </c>
      <c r="J7">
        <v>6</v>
      </c>
      <c r="K7">
        <f t="shared" si="1"/>
        <v>24</v>
      </c>
      <c r="M7" t="s">
        <v>616</v>
      </c>
      <c r="N7">
        <v>7</v>
      </c>
      <c r="O7">
        <v>8</v>
      </c>
      <c r="P7">
        <v>5</v>
      </c>
      <c r="Q7">
        <f t="shared" si="2"/>
        <v>21</v>
      </c>
      <c r="S7" t="s">
        <v>616</v>
      </c>
      <c r="T7">
        <v>7</v>
      </c>
      <c r="U7">
        <v>8</v>
      </c>
      <c r="V7">
        <v>4</v>
      </c>
      <c r="W7">
        <f t="shared" si="3"/>
        <v>14.5</v>
      </c>
    </row>
    <row r="8" spans="1:26" x14ac:dyDescent="0.25">
      <c r="A8" t="s">
        <v>617</v>
      </c>
      <c r="B8">
        <v>8</v>
      </c>
      <c r="C8">
        <v>9</v>
      </c>
      <c r="D8">
        <v>3</v>
      </c>
      <c r="E8">
        <f t="shared" si="0"/>
        <v>16.5</v>
      </c>
      <c r="G8" t="s">
        <v>617</v>
      </c>
      <c r="H8">
        <v>8</v>
      </c>
      <c r="I8">
        <v>9</v>
      </c>
      <c r="J8">
        <v>6</v>
      </c>
      <c r="K8">
        <f t="shared" si="1"/>
        <v>30</v>
      </c>
      <c r="M8" t="s">
        <v>617</v>
      </c>
      <c r="N8">
        <v>8</v>
      </c>
      <c r="O8">
        <v>9</v>
      </c>
      <c r="P8">
        <v>5</v>
      </c>
      <c r="Q8">
        <f t="shared" si="2"/>
        <v>26</v>
      </c>
      <c r="S8" t="s">
        <v>617</v>
      </c>
      <c r="T8">
        <v>8</v>
      </c>
      <c r="U8">
        <v>9</v>
      </c>
      <c r="V8">
        <v>3</v>
      </c>
      <c r="W8">
        <f t="shared" si="3"/>
        <v>17.5</v>
      </c>
    </row>
    <row r="9" spans="1:26" x14ac:dyDescent="0.25">
      <c r="A9" t="s">
        <v>618</v>
      </c>
      <c r="B9">
        <v>9</v>
      </c>
      <c r="C9">
        <v>10</v>
      </c>
      <c r="D9">
        <v>4</v>
      </c>
      <c r="E9">
        <f t="shared" si="0"/>
        <v>20.5</v>
      </c>
      <c r="G9" t="s">
        <v>618</v>
      </c>
      <c r="H9">
        <v>9</v>
      </c>
      <c r="I9">
        <v>10</v>
      </c>
      <c r="J9">
        <v>7</v>
      </c>
      <c r="K9">
        <f t="shared" si="1"/>
        <v>37</v>
      </c>
      <c r="M9" t="s">
        <v>618</v>
      </c>
      <c r="N9">
        <v>9</v>
      </c>
      <c r="O9">
        <v>10</v>
      </c>
      <c r="P9">
        <v>7</v>
      </c>
      <c r="Q9">
        <f t="shared" si="2"/>
        <v>33</v>
      </c>
      <c r="S9" t="s">
        <v>618</v>
      </c>
      <c r="T9">
        <v>9</v>
      </c>
      <c r="U9">
        <v>10</v>
      </c>
      <c r="V9">
        <v>5</v>
      </c>
      <c r="W9">
        <f t="shared" si="3"/>
        <v>22.5</v>
      </c>
    </row>
    <row r="10" spans="1:26" x14ac:dyDescent="0.25">
      <c r="A10" t="s">
        <v>619</v>
      </c>
      <c r="B10">
        <v>10</v>
      </c>
      <c r="C10">
        <v>11</v>
      </c>
      <c r="D10">
        <v>5</v>
      </c>
      <c r="E10">
        <f t="shared" si="0"/>
        <v>25.5</v>
      </c>
      <c r="G10" t="s">
        <v>619</v>
      </c>
      <c r="H10">
        <v>10</v>
      </c>
      <c r="I10">
        <v>11</v>
      </c>
      <c r="J10">
        <v>9</v>
      </c>
      <c r="K10">
        <f t="shared" si="1"/>
        <v>46</v>
      </c>
      <c r="M10" t="s">
        <v>619</v>
      </c>
      <c r="N10">
        <v>10</v>
      </c>
      <c r="O10">
        <v>11</v>
      </c>
      <c r="P10">
        <v>7</v>
      </c>
      <c r="Q10">
        <f t="shared" si="2"/>
        <v>40</v>
      </c>
      <c r="S10" t="s">
        <v>619</v>
      </c>
      <c r="T10">
        <v>10</v>
      </c>
      <c r="U10">
        <v>11</v>
      </c>
      <c r="V10">
        <v>5</v>
      </c>
      <c r="W10">
        <f t="shared" si="3"/>
        <v>27.5</v>
      </c>
    </row>
    <row r="11" spans="1:26" x14ac:dyDescent="0.25">
      <c r="A11" t="s">
        <v>620</v>
      </c>
      <c r="B11">
        <v>11</v>
      </c>
      <c r="C11">
        <v>12</v>
      </c>
      <c r="D11">
        <v>5</v>
      </c>
      <c r="E11">
        <f t="shared" si="0"/>
        <v>30.5</v>
      </c>
      <c r="G11" t="s">
        <v>620</v>
      </c>
      <c r="H11">
        <v>11</v>
      </c>
      <c r="I11">
        <v>12</v>
      </c>
      <c r="J11">
        <v>10</v>
      </c>
      <c r="K11">
        <f t="shared" si="1"/>
        <v>56</v>
      </c>
      <c r="M11" t="s">
        <v>620</v>
      </c>
      <c r="N11">
        <v>11</v>
      </c>
      <c r="O11">
        <v>12</v>
      </c>
      <c r="P11">
        <v>8</v>
      </c>
      <c r="Q11">
        <f t="shared" si="2"/>
        <v>48</v>
      </c>
      <c r="S11" t="s">
        <v>620</v>
      </c>
      <c r="T11">
        <v>11</v>
      </c>
      <c r="U11">
        <v>12</v>
      </c>
      <c r="V11">
        <v>5</v>
      </c>
      <c r="W11">
        <f t="shared" si="3"/>
        <v>32.5</v>
      </c>
    </row>
    <row r="12" spans="1:26" x14ac:dyDescent="0.25">
      <c r="A12" t="s">
        <v>621</v>
      </c>
      <c r="B12">
        <v>12</v>
      </c>
      <c r="C12">
        <v>13</v>
      </c>
      <c r="D12">
        <v>6</v>
      </c>
      <c r="E12">
        <f t="shared" si="0"/>
        <v>36.5</v>
      </c>
      <c r="G12" t="s">
        <v>621</v>
      </c>
      <c r="H12">
        <v>12</v>
      </c>
      <c r="I12">
        <v>13</v>
      </c>
      <c r="J12">
        <v>11</v>
      </c>
      <c r="K12">
        <f t="shared" si="1"/>
        <v>67</v>
      </c>
      <c r="M12" t="s">
        <v>621</v>
      </c>
      <c r="N12">
        <v>12</v>
      </c>
      <c r="O12">
        <v>13</v>
      </c>
      <c r="P12">
        <v>10</v>
      </c>
      <c r="Q12">
        <f t="shared" si="2"/>
        <v>58</v>
      </c>
      <c r="S12" t="s">
        <v>621</v>
      </c>
      <c r="T12">
        <v>12</v>
      </c>
      <c r="U12">
        <v>13</v>
      </c>
      <c r="V12">
        <v>7</v>
      </c>
      <c r="W12">
        <f t="shared" si="3"/>
        <v>39.5</v>
      </c>
    </row>
    <row r="13" spans="1:26" x14ac:dyDescent="0.25">
      <c r="A13" t="s">
        <v>622</v>
      </c>
      <c r="B13">
        <v>13</v>
      </c>
      <c r="C13">
        <v>14</v>
      </c>
      <c r="D13">
        <v>7</v>
      </c>
      <c r="E13">
        <f t="shared" si="0"/>
        <v>43.5</v>
      </c>
      <c r="G13" t="s">
        <v>622</v>
      </c>
      <c r="H13">
        <v>13</v>
      </c>
      <c r="I13">
        <v>14</v>
      </c>
      <c r="J13">
        <v>12</v>
      </c>
      <c r="K13">
        <f t="shared" si="1"/>
        <v>79</v>
      </c>
      <c r="M13" t="s">
        <v>622</v>
      </c>
      <c r="N13">
        <v>13</v>
      </c>
      <c r="O13">
        <v>14</v>
      </c>
      <c r="P13">
        <v>10</v>
      </c>
      <c r="Q13">
        <f t="shared" si="2"/>
        <v>68</v>
      </c>
      <c r="S13" t="s">
        <v>622</v>
      </c>
      <c r="T13">
        <v>13</v>
      </c>
      <c r="U13">
        <v>14</v>
      </c>
      <c r="V13">
        <v>7</v>
      </c>
      <c r="W13">
        <f t="shared" si="3"/>
        <v>46.5</v>
      </c>
    </row>
    <row r="14" spans="1:26" x14ac:dyDescent="0.25">
      <c r="A14" t="s">
        <v>623</v>
      </c>
      <c r="B14">
        <v>14</v>
      </c>
      <c r="C14">
        <v>15</v>
      </c>
      <c r="D14">
        <v>8</v>
      </c>
      <c r="E14">
        <f t="shared" si="0"/>
        <v>51.5</v>
      </c>
      <c r="G14" t="s">
        <v>623</v>
      </c>
      <c r="H14">
        <v>14</v>
      </c>
      <c r="I14">
        <v>15</v>
      </c>
      <c r="J14">
        <v>16</v>
      </c>
      <c r="K14">
        <f t="shared" si="1"/>
        <v>95</v>
      </c>
      <c r="M14" t="s">
        <v>623</v>
      </c>
      <c r="N14">
        <v>14</v>
      </c>
      <c r="O14">
        <v>15</v>
      </c>
      <c r="P14">
        <v>13</v>
      </c>
      <c r="Q14">
        <f t="shared" si="2"/>
        <v>81</v>
      </c>
      <c r="S14" t="s">
        <v>623</v>
      </c>
      <c r="T14">
        <v>14</v>
      </c>
      <c r="U14">
        <v>15</v>
      </c>
      <c r="V14">
        <v>9</v>
      </c>
      <c r="W14">
        <f t="shared" si="3"/>
        <v>55.5</v>
      </c>
    </row>
    <row r="15" spans="1:26" x14ac:dyDescent="0.25">
      <c r="A15" t="s">
        <v>624</v>
      </c>
      <c r="B15">
        <v>15</v>
      </c>
      <c r="C15">
        <v>16</v>
      </c>
      <c r="D15">
        <v>10</v>
      </c>
      <c r="E15">
        <f t="shared" si="0"/>
        <v>61.5</v>
      </c>
      <c r="G15" t="s">
        <v>624</v>
      </c>
      <c r="H15">
        <v>15</v>
      </c>
      <c r="I15">
        <v>16</v>
      </c>
      <c r="J15">
        <v>18</v>
      </c>
      <c r="K15">
        <f t="shared" si="1"/>
        <v>113</v>
      </c>
      <c r="M15" t="s">
        <v>624</v>
      </c>
      <c r="N15">
        <v>15</v>
      </c>
      <c r="O15">
        <v>16</v>
      </c>
      <c r="P15">
        <v>15</v>
      </c>
      <c r="Q15">
        <f t="shared" si="2"/>
        <v>96</v>
      </c>
      <c r="S15" t="s">
        <v>624</v>
      </c>
      <c r="T15">
        <v>15</v>
      </c>
      <c r="U15">
        <v>16</v>
      </c>
      <c r="V15">
        <v>10</v>
      </c>
      <c r="W15">
        <f t="shared" si="3"/>
        <v>65.5</v>
      </c>
      <c r="Z15" s="148"/>
    </row>
    <row r="16" spans="1:26" x14ac:dyDescent="0.25">
      <c r="A16" t="s">
        <v>625</v>
      </c>
      <c r="B16">
        <v>16</v>
      </c>
      <c r="C16">
        <v>17</v>
      </c>
      <c r="D16">
        <v>11</v>
      </c>
      <c r="E16">
        <f t="shared" si="0"/>
        <v>72.5</v>
      </c>
      <c r="G16" t="s">
        <v>625</v>
      </c>
      <c r="H16">
        <v>16</v>
      </c>
      <c r="I16">
        <v>17</v>
      </c>
      <c r="J16">
        <v>23</v>
      </c>
      <c r="K16">
        <f t="shared" si="1"/>
        <v>136</v>
      </c>
      <c r="M16" t="s">
        <v>625</v>
      </c>
      <c r="N16">
        <v>16</v>
      </c>
      <c r="O16">
        <v>17</v>
      </c>
      <c r="P16">
        <v>19</v>
      </c>
      <c r="Q16">
        <f t="shared" si="2"/>
        <v>115</v>
      </c>
      <c r="S16" t="s">
        <v>625</v>
      </c>
      <c r="T16">
        <v>16</v>
      </c>
      <c r="U16">
        <v>17</v>
      </c>
      <c r="V16">
        <v>12</v>
      </c>
      <c r="W16">
        <f t="shared" si="3"/>
        <v>77.5</v>
      </c>
    </row>
    <row r="17" spans="1:23" x14ac:dyDescent="0.25">
      <c r="A17" t="s">
        <v>626</v>
      </c>
      <c r="B17">
        <v>17</v>
      </c>
      <c r="C17">
        <v>18</v>
      </c>
      <c r="D17">
        <v>14</v>
      </c>
      <c r="E17">
        <f t="shared" si="0"/>
        <v>86.5</v>
      </c>
      <c r="G17" t="s">
        <v>626</v>
      </c>
      <c r="H17">
        <v>17</v>
      </c>
      <c r="I17">
        <v>18</v>
      </c>
      <c r="J17">
        <v>36</v>
      </c>
      <c r="K17">
        <f t="shared" si="1"/>
        <v>172</v>
      </c>
      <c r="M17" t="s">
        <v>626</v>
      </c>
      <c r="N17">
        <v>17</v>
      </c>
      <c r="O17">
        <v>18</v>
      </c>
      <c r="P17">
        <v>26</v>
      </c>
      <c r="Q17">
        <f t="shared" si="2"/>
        <v>141</v>
      </c>
      <c r="S17" t="s">
        <v>626</v>
      </c>
      <c r="T17">
        <v>17</v>
      </c>
      <c r="U17">
        <v>18</v>
      </c>
      <c r="V17">
        <v>15</v>
      </c>
      <c r="W17">
        <f t="shared" si="3"/>
        <v>92.5</v>
      </c>
    </row>
    <row r="18" spans="1:23" x14ac:dyDescent="0.25">
      <c r="A18" t="s">
        <v>627</v>
      </c>
      <c r="B18">
        <v>18</v>
      </c>
      <c r="C18">
        <v>19</v>
      </c>
      <c r="D18">
        <v>19</v>
      </c>
      <c r="G18" t="s">
        <v>627</v>
      </c>
      <c r="H18">
        <v>18</v>
      </c>
      <c r="I18">
        <v>19</v>
      </c>
      <c r="M18" t="s">
        <v>627</v>
      </c>
      <c r="N18">
        <v>18</v>
      </c>
      <c r="O18">
        <v>19</v>
      </c>
      <c r="P18">
        <v>58</v>
      </c>
      <c r="S18" t="s">
        <v>627</v>
      </c>
      <c r="T18">
        <v>18</v>
      </c>
      <c r="U18">
        <v>19</v>
      </c>
      <c r="V18">
        <v>21</v>
      </c>
    </row>
    <row r="21" spans="1:23" x14ac:dyDescent="0.25">
      <c r="A21" s="4" t="s">
        <v>632</v>
      </c>
      <c r="B21" s="4" t="s">
        <v>628</v>
      </c>
      <c r="C21" s="4" t="s">
        <v>629</v>
      </c>
      <c r="D21" s="4" t="s">
        <v>607</v>
      </c>
      <c r="E21" s="4" t="s">
        <v>630</v>
      </c>
      <c r="G21" s="4" t="s">
        <v>633</v>
      </c>
      <c r="H21" s="4" t="s">
        <v>628</v>
      </c>
      <c r="I21" s="4" t="s">
        <v>629</v>
      </c>
      <c r="J21" s="4" t="s">
        <v>607</v>
      </c>
      <c r="K21" s="4" t="s">
        <v>630</v>
      </c>
      <c r="M21" s="4" t="s">
        <v>0</v>
      </c>
      <c r="N21" s="4" t="s">
        <v>628</v>
      </c>
      <c r="O21" s="4" t="s">
        <v>629</v>
      </c>
      <c r="P21" s="4" t="s">
        <v>607</v>
      </c>
      <c r="Q21" s="4" t="s">
        <v>630</v>
      </c>
      <c r="S21" s="4" t="s">
        <v>61</v>
      </c>
      <c r="T21">
        <v>19</v>
      </c>
    </row>
    <row r="22" spans="1:23" x14ac:dyDescent="0.25">
      <c r="A22" t="s">
        <v>611</v>
      </c>
      <c r="B22">
        <v>2</v>
      </c>
      <c r="C22">
        <v>3</v>
      </c>
      <c r="D22">
        <v>2</v>
      </c>
      <c r="E22">
        <f>D22</f>
        <v>2</v>
      </c>
      <c r="G22" t="s">
        <v>611</v>
      </c>
      <c r="H22">
        <v>2</v>
      </c>
      <c r="I22">
        <v>3</v>
      </c>
      <c r="J22">
        <v>2</v>
      </c>
      <c r="K22">
        <f>J22</f>
        <v>2</v>
      </c>
      <c r="M22" t="s">
        <v>611</v>
      </c>
      <c r="N22">
        <v>2</v>
      </c>
      <c r="O22">
        <v>3</v>
      </c>
      <c r="P22">
        <v>1</v>
      </c>
      <c r="Q22">
        <f>P22</f>
        <v>1</v>
      </c>
      <c r="S22" t="s">
        <v>634</v>
      </c>
      <c r="T22" s="500">
        <v>0.15</v>
      </c>
    </row>
    <row r="23" spans="1:23" x14ac:dyDescent="0.25">
      <c r="A23" t="s">
        <v>612</v>
      </c>
      <c r="B23">
        <v>3</v>
      </c>
      <c r="C23">
        <v>4</v>
      </c>
      <c r="D23">
        <v>2</v>
      </c>
      <c r="E23">
        <f>E22+D23</f>
        <v>4</v>
      </c>
      <c r="G23" t="s">
        <v>612</v>
      </c>
      <c r="H23">
        <v>3</v>
      </c>
      <c r="I23">
        <v>4</v>
      </c>
      <c r="J23">
        <v>3</v>
      </c>
      <c r="K23">
        <f>K22+J23</f>
        <v>5</v>
      </c>
      <c r="M23" t="s">
        <v>612</v>
      </c>
      <c r="N23">
        <v>3</v>
      </c>
      <c r="O23">
        <v>4</v>
      </c>
      <c r="P23">
        <v>1</v>
      </c>
      <c r="Q23">
        <f>Q22+P23</f>
        <v>2</v>
      </c>
      <c r="S23" t="s">
        <v>635</v>
      </c>
      <c r="T23" t="s">
        <v>637</v>
      </c>
    </row>
    <row r="24" spans="1:23" x14ac:dyDescent="0.25">
      <c r="A24" t="s">
        <v>613</v>
      </c>
      <c r="B24">
        <v>4</v>
      </c>
      <c r="C24">
        <v>5</v>
      </c>
      <c r="D24">
        <v>3</v>
      </c>
      <c r="E24">
        <f t="shared" ref="E24:E37" si="4">E23+D24</f>
        <v>7</v>
      </c>
      <c r="G24" t="s">
        <v>613</v>
      </c>
      <c r="H24">
        <v>4</v>
      </c>
      <c r="I24">
        <v>5</v>
      </c>
      <c r="J24">
        <v>3</v>
      </c>
      <c r="K24">
        <f t="shared" ref="K24:K37" si="5">K23+J24</f>
        <v>8</v>
      </c>
      <c r="M24" t="s">
        <v>613</v>
      </c>
      <c r="N24">
        <v>4</v>
      </c>
      <c r="O24">
        <v>5</v>
      </c>
      <c r="P24">
        <v>1</v>
      </c>
      <c r="Q24">
        <f t="shared" ref="Q24:Q37" si="6">Q23+P24</f>
        <v>3</v>
      </c>
      <c r="S24" t="s">
        <v>636</v>
      </c>
      <c r="T24" s="500">
        <v>1</v>
      </c>
    </row>
    <row r="25" spans="1:23" x14ac:dyDescent="0.25">
      <c r="A25" t="s">
        <v>614</v>
      </c>
      <c r="B25">
        <v>5</v>
      </c>
      <c r="C25">
        <v>6</v>
      </c>
      <c r="D25">
        <v>3</v>
      </c>
      <c r="E25">
        <f t="shared" si="4"/>
        <v>10</v>
      </c>
      <c r="G25" t="s">
        <v>614</v>
      </c>
      <c r="H25">
        <v>5</v>
      </c>
      <c r="I25">
        <v>6</v>
      </c>
      <c r="J25">
        <v>4</v>
      </c>
      <c r="K25">
        <f t="shared" si="5"/>
        <v>12</v>
      </c>
      <c r="M25" t="s">
        <v>614</v>
      </c>
      <c r="N25">
        <v>5</v>
      </c>
      <c r="O25">
        <v>6</v>
      </c>
      <c r="P25">
        <v>1</v>
      </c>
      <c r="Q25">
        <f t="shared" si="6"/>
        <v>4</v>
      </c>
    </row>
    <row r="26" spans="1:23" x14ac:dyDescent="0.25">
      <c r="A26" t="s">
        <v>615</v>
      </c>
      <c r="B26">
        <v>6</v>
      </c>
      <c r="C26">
        <v>7</v>
      </c>
      <c r="D26">
        <v>4</v>
      </c>
      <c r="E26">
        <f t="shared" si="4"/>
        <v>14</v>
      </c>
      <c r="G26" t="s">
        <v>615</v>
      </c>
      <c r="H26">
        <v>6</v>
      </c>
      <c r="I26">
        <v>7</v>
      </c>
      <c r="J26">
        <v>4</v>
      </c>
      <c r="K26">
        <f t="shared" si="5"/>
        <v>16</v>
      </c>
      <c r="M26" t="s">
        <v>615</v>
      </c>
      <c r="N26">
        <v>6</v>
      </c>
      <c r="O26">
        <v>7</v>
      </c>
      <c r="P26">
        <v>1</v>
      </c>
      <c r="Q26">
        <f t="shared" si="6"/>
        <v>5</v>
      </c>
    </row>
    <row r="27" spans="1:23" x14ac:dyDescent="0.25">
      <c r="A27" t="s">
        <v>616</v>
      </c>
      <c r="B27">
        <v>7</v>
      </c>
      <c r="C27">
        <v>8</v>
      </c>
      <c r="D27">
        <v>4</v>
      </c>
      <c r="E27">
        <f t="shared" si="4"/>
        <v>18</v>
      </c>
      <c r="G27" t="s">
        <v>616</v>
      </c>
      <c r="H27">
        <v>7</v>
      </c>
      <c r="I27">
        <v>8</v>
      </c>
      <c r="J27">
        <v>5</v>
      </c>
      <c r="K27">
        <f t="shared" si="5"/>
        <v>21</v>
      </c>
      <c r="M27" t="s">
        <v>616</v>
      </c>
      <c r="N27">
        <v>7</v>
      </c>
      <c r="O27">
        <v>8</v>
      </c>
      <c r="P27">
        <v>1</v>
      </c>
      <c r="Q27">
        <f t="shared" si="6"/>
        <v>6</v>
      </c>
    </row>
    <row r="28" spans="1:23" x14ac:dyDescent="0.25">
      <c r="A28" t="s">
        <v>617</v>
      </c>
      <c r="B28">
        <v>8</v>
      </c>
      <c r="C28">
        <v>9</v>
      </c>
      <c r="D28">
        <v>5</v>
      </c>
      <c r="E28">
        <f t="shared" si="4"/>
        <v>23</v>
      </c>
      <c r="G28" t="s">
        <v>617</v>
      </c>
      <c r="H28">
        <v>8</v>
      </c>
      <c r="I28">
        <v>9</v>
      </c>
      <c r="J28">
        <v>6</v>
      </c>
      <c r="K28">
        <f t="shared" si="5"/>
        <v>27</v>
      </c>
      <c r="M28" t="s">
        <v>617</v>
      </c>
      <c r="N28">
        <v>8</v>
      </c>
      <c r="O28">
        <v>9</v>
      </c>
      <c r="P28">
        <v>1</v>
      </c>
      <c r="Q28">
        <f t="shared" si="6"/>
        <v>7</v>
      </c>
    </row>
    <row r="29" spans="1:23" x14ac:dyDescent="0.25">
      <c r="A29" t="s">
        <v>618</v>
      </c>
      <c r="B29">
        <v>9</v>
      </c>
      <c r="C29">
        <v>10</v>
      </c>
      <c r="D29">
        <v>6</v>
      </c>
      <c r="E29">
        <f t="shared" si="4"/>
        <v>29</v>
      </c>
      <c r="G29" t="s">
        <v>618</v>
      </c>
      <c r="H29">
        <v>9</v>
      </c>
      <c r="I29">
        <v>10</v>
      </c>
      <c r="J29">
        <v>6</v>
      </c>
      <c r="K29">
        <f t="shared" si="5"/>
        <v>33</v>
      </c>
      <c r="M29" t="s">
        <v>618</v>
      </c>
      <c r="N29">
        <v>9</v>
      </c>
      <c r="O29">
        <v>10</v>
      </c>
      <c r="P29">
        <v>1</v>
      </c>
      <c r="Q29">
        <f t="shared" si="6"/>
        <v>8</v>
      </c>
    </row>
    <row r="30" spans="1:23" x14ac:dyDescent="0.25">
      <c r="A30" t="s">
        <v>619</v>
      </c>
      <c r="B30">
        <v>10</v>
      </c>
      <c r="C30">
        <v>11</v>
      </c>
      <c r="D30">
        <v>7</v>
      </c>
      <c r="E30">
        <f t="shared" si="4"/>
        <v>36</v>
      </c>
      <c r="G30" t="s">
        <v>619</v>
      </c>
      <c r="H30">
        <v>10</v>
      </c>
      <c r="I30">
        <v>11</v>
      </c>
      <c r="J30">
        <v>7</v>
      </c>
      <c r="K30">
        <f t="shared" si="5"/>
        <v>40</v>
      </c>
      <c r="M30" t="s">
        <v>619</v>
      </c>
      <c r="N30">
        <v>10</v>
      </c>
      <c r="O30">
        <v>11</v>
      </c>
      <c r="P30">
        <v>2</v>
      </c>
      <c r="Q30">
        <f t="shared" si="6"/>
        <v>10</v>
      </c>
    </row>
    <row r="31" spans="1:23" x14ac:dyDescent="0.25">
      <c r="A31" t="s">
        <v>620</v>
      </c>
      <c r="B31">
        <v>11</v>
      </c>
      <c r="C31">
        <v>12</v>
      </c>
      <c r="D31">
        <v>7</v>
      </c>
      <c r="E31">
        <f t="shared" si="4"/>
        <v>43</v>
      </c>
      <c r="G31" t="s">
        <v>620</v>
      </c>
      <c r="H31">
        <v>11</v>
      </c>
      <c r="I31">
        <v>12</v>
      </c>
      <c r="J31">
        <v>9</v>
      </c>
      <c r="K31">
        <f t="shared" si="5"/>
        <v>49</v>
      </c>
      <c r="M31" t="s">
        <v>620</v>
      </c>
      <c r="N31">
        <v>11</v>
      </c>
      <c r="O31">
        <v>12</v>
      </c>
      <c r="P31">
        <v>2</v>
      </c>
      <c r="Q31">
        <f t="shared" si="6"/>
        <v>12</v>
      </c>
    </row>
    <row r="32" spans="1:23" x14ac:dyDescent="0.25">
      <c r="A32" t="s">
        <v>621</v>
      </c>
      <c r="B32">
        <v>12</v>
      </c>
      <c r="C32">
        <v>13</v>
      </c>
      <c r="D32">
        <v>9</v>
      </c>
      <c r="E32">
        <f t="shared" si="4"/>
        <v>52</v>
      </c>
      <c r="G32" t="s">
        <v>621</v>
      </c>
      <c r="H32">
        <v>12</v>
      </c>
      <c r="I32">
        <v>13</v>
      </c>
      <c r="J32">
        <v>10</v>
      </c>
      <c r="K32">
        <f t="shared" si="5"/>
        <v>59</v>
      </c>
      <c r="M32" t="s">
        <v>621</v>
      </c>
      <c r="N32">
        <v>12</v>
      </c>
      <c r="O32">
        <v>13</v>
      </c>
      <c r="P32">
        <v>2</v>
      </c>
      <c r="Q32">
        <f t="shared" si="6"/>
        <v>14</v>
      </c>
    </row>
    <row r="33" spans="1:17" x14ac:dyDescent="0.25">
      <c r="A33" t="s">
        <v>622</v>
      </c>
      <c r="B33">
        <v>13</v>
      </c>
      <c r="C33">
        <v>14</v>
      </c>
      <c r="D33">
        <v>10</v>
      </c>
      <c r="E33">
        <f t="shared" si="4"/>
        <v>62</v>
      </c>
      <c r="G33" t="s">
        <v>622</v>
      </c>
      <c r="H33">
        <v>13</v>
      </c>
      <c r="I33">
        <v>14</v>
      </c>
      <c r="J33">
        <v>11</v>
      </c>
      <c r="K33">
        <f t="shared" si="5"/>
        <v>70</v>
      </c>
      <c r="M33" t="s">
        <v>622</v>
      </c>
      <c r="N33">
        <v>13</v>
      </c>
      <c r="O33">
        <v>14</v>
      </c>
      <c r="P33">
        <v>2</v>
      </c>
      <c r="Q33">
        <f t="shared" si="6"/>
        <v>16</v>
      </c>
    </row>
    <row r="34" spans="1:17" x14ac:dyDescent="0.25">
      <c r="A34" t="s">
        <v>623</v>
      </c>
      <c r="B34">
        <v>14</v>
      </c>
      <c r="C34">
        <v>15</v>
      </c>
      <c r="D34">
        <v>12</v>
      </c>
      <c r="E34">
        <f t="shared" si="4"/>
        <v>74</v>
      </c>
      <c r="G34" t="s">
        <v>623</v>
      </c>
      <c r="H34">
        <v>14</v>
      </c>
      <c r="I34">
        <v>15</v>
      </c>
      <c r="J34">
        <v>13</v>
      </c>
      <c r="K34">
        <f t="shared" si="5"/>
        <v>83</v>
      </c>
      <c r="M34" t="s">
        <v>623</v>
      </c>
      <c r="N34">
        <v>14</v>
      </c>
      <c r="O34">
        <v>15</v>
      </c>
      <c r="P34">
        <v>2</v>
      </c>
      <c r="Q34">
        <f t="shared" si="6"/>
        <v>18</v>
      </c>
    </row>
    <row r="35" spans="1:17" x14ac:dyDescent="0.25">
      <c r="A35" t="s">
        <v>624</v>
      </c>
      <c r="B35">
        <v>15</v>
      </c>
      <c r="C35">
        <v>16</v>
      </c>
      <c r="D35">
        <v>14</v>
      </c>
      <c r="E35">
        <f t="shared" si="4"/>
        <v>88</v>
      </c>
      <c r="G35" t="s">
        <v>624</v>
      </c>
      <c r="H35">
        <v>15</v>
      </c>
      <c r="I35">
        <v>16</v>
      </c>
      <c r="J35">
        <v>16</v>
      </c>
      <c r="K35">
        <f t="shared" si="5"/>
        <v>99</v>
      </c>
      <c r="M35" t="s">
        <v>624</v>
      </c>
      <c r="N35">
        <v>15</v>
      </c>
      <c r="O35">
        <v>16</v>
      </c>
      <c r="P35">
        <v>3</v>
      </c>
      <c r="Q35">
        <f t="shared" si="6"/>
        <v>21</v>
      </c>
    </row>
    <row r="36" spans="1:17" x14ac:dyDescent="0.25">
      <c r="A36" t="s">
        <v>625</v>
      </c>
      <c r="B36">
        <v>16</v>
      </c>
      <c r="C36">
        <v>17</v>
      </c>
      <c r="D36">
        <v>17</v>
      </c>
      <c r="E36">
        <f t="shared" si="4"/>
        <v>105</v>
      </c>
      <c r="G36" t="s">
        <v>625</v>
      </c>
      <c r="H36">
        <v>16</v>
      </c>
      <c r="I36">
        <v>17</v>
      </c>
      <c r="J36">
        <v>20</v>
      </c>
      <c r="K36">
        <f t="shared" si="5"/>
        <v>119</v>
      </c>
      <c r="M36" t="s">
        <v>625</v>
      </c>
      <c r="N36">
        <v>16</v>
      </c>
      <c r="O36">
        <v>17</v>
      </c>
      <c r="P36">
        <v>4</v>
      </c>
      <c r="Q36">
        <f t="shared" si="6"/>
        <v>25</v>
      </c>
    </row>
    <row r="37" spans="1:17" x14ac:dyDescent="0.25">
      <c r="A37" t="s">
        <v>626</v>
      </c>
      <c r="B37">
        <v>17</v>
      </c>
      <c r="C37">
        <v>18</v>
      </c>
      <c r="D37">
        <v>23</v>
      </c>
      <c r="E37">
        <f t="shared" si="4"/>
        <v>128</v>
      </c>
      <c r="G37" t="s">
        <v>626</v>
      </c>
      <c r="H37">
        <v>17</v>
      </c>
      <c r="I37">
        <v>18</v>
      </c>
      <c r="J37">
        <v>29</v>
      </c>
      <c r="K37">
        <f t="shared" si="5"/>
        <v>148</v>
      </c>
      <c r="M37" t="s">
        <v>626</v>
      </c>
      <c r="N37">
        <v>17</v>
      </c>
      <c r="O37">
        <v>18</v>
      </c>
      <c r="P37">
        <v>4</v>
      </c>
      <c r="Q37">
        <f t="shared" si="6"/>
        <v>29</v>
      </c>
    </row>
    <row r="38" spans="1:17" x14ac:dyDescent="0.25">
      <c r="A38" t="s">
        <v>627</v>
      </c>
      <c r="B38">
        <v>18</v>
      </c>
      <c r="C38">
        <v>19</v>
      </c>
      <c r="D38">
        <v>41</v>
      </c>
      <c r="G38" t="s">
        <v>627</v>
      </c>
      <c r="H38">
        <v>18</v>
      </c>
      <c r="I38">
        <v>19</v>
      </c>
      <c r="M38" t="s">
        <v>627</v>
      </c>
      <c r="N38">
        <v>18</v>
      </c>
      <c r="O38">
        <v>19</v>
      </c>
      <c r="P38">
        <v>4</v>
      </c>
    </row>
  </sheetData>
  <pageMargins left="0.7" right="0.7" top="0.75" bottom="0.75" header="0.3" footer="0.3"/>
  <pageSetup paperSize="9" scale="6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L1:N177"/>
  <sheetViews>
    <sheetView topLeftCell="A40" workbookViewId="0">
      <selection activeCell="P13" sqref="P13"/>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196</v>
      </c>
      <c r="N1" s="4" t="s">
        <v>103</v>
      </c>
    </row>
    <row r="2" spans="12:14" x14ac:dyDescent="0.25">
      <c r="L2" t="s">
        <v>369</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370</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371</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372</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425</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475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476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509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580</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656</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693</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37" t="s">
        <v>131</v>
      </c>
      <c r="B1" s="137" t="s">
        <v>132</v>
      </c>
      <c r="C1" s="137" t="s">
        <v>133</v>
      </c>
      <c r="D1" s="142" t="s">
        <v>159</v>
      </c>
      <c r="E1" s="142" t="s">
        <v>160</v>
      </c>
      <c r="F1" s="142" t="s">
        <v>162</v>
      </c>
      <c r="G1" s="142" t="s">
        <v>161</v>
      </c>
      <c r="H1" s="142" t="s">
        <v>163</v>
      </c>
      <c r="I1" s="142" t="s">
        <v>165</v>
      </c>
    </row>
    <row r="2" spans="1:9" ht="42" x14ac:dyDescent="0.25">
      <c r="A2" s="140" t="s">
        <v>134</v>
      </c>
      <c r="B2" s="141" t="s">
        <v>134</v>
      </c>
      <c r="C2" s="141" t="s">
        <v>135</v>
      </c>
      <c r="D2" s="2">
        <v>4</v>
      </c>
      <c r="E2" s="2">
        <v>18</v>
      </c>
      <c r="F2" s="2">
        <v>0</v>
      </c>
      <c r="G2" s="2">
        <v>0</v>
      </c>
      <c r="H2" s="143">
        <v>1</v>
      </c>
      <c r="I2" s="2">
        <f>H2*4</f>
        <v>4</v>
      </c>
    </row>
    <row r="3" spans="1:9" ht="21" x14ac:dyDescent="0.25">
      <c r="A3" s="138" t="s">
        <v>130</v>
      </c>
      <c r="B3" s="139" t="s">
        <v>130</v>
      </c>
      <c r="C3" s="139" t="s">
        <v>136</v>
      </c>
      <c r="D3" s="2">
        <v>0</v>
      </c>
      <c r="E3" s="2">
        <v>10</v>
      </c>
      <c r="F3" s="2">
        <v>0</v>
      </c>
      <c r="G3" s="2">
        <v>12</v>
      </c>
      <c r="H3" s="144">
        <v>5</v>
      </c>
      <c r="I3" s="2">
        <f t="shared" ref="I3:I13" si="0">H3*4</f>
        <v>20</v>
      </c>
    </row>
    <row r="4" spans="1:9" ht="21" x14ac:dyDescent="0.25">
      <c r="A4" s="138" t="s">
        <v>137</v>
      </c>
      <c r="B4" s="139" t="s">
        <v>137</v>
      </c>
      <c r="C4" s="139" t="s">
        <v>138</v>
      </c>
      <c r="D4" s="2">
        <v>0</v>
      </c>
      <c r="E4" s="2">
        <v>6</v>
      </c>
      <c r="F4" s="2">
        <v>0</v>
      </c>
      <c r="G4" s="2">
        <v>16</v>
      </c>
      <c r="H4" s="144">
        <v>4.4000000000000004</v>
      </c>
      <c r="I4" s="2">
        <f t="shared" si="0"/>
        <v>17.600000000000001</v>
      </c>
    </row>
    <row r="5" spans="1:9" ht="21" x14ac:dyDescent="0.25">
      <c r="A5" s="138" t="s">
        <v>139</v>
      </c>
      <c r="B5" s="139" t="s">
        <v>140</v>
      </c>
      <c r="C5" s="139" t="s">
        <v>141</v>
      </c>
      <c r="D5" s="2">
        <v>0</v>
      </c>
      <c r="E5" s="2">
        <v>4</v>
      </c>
      <c r="F5" s="2">
        <v>4</v>
      </c>
      <c r="G5" s="2">
        <v>14</v>
      </c>
      <c r="H5" s="144">
        <v>3</v>
      </c>
      <c r="I5" s="2">
        <f t="shared" si="0"/>
        <v>12</v>
      </c>
    </row>
    <row r="6" spans="1:9" x14ac:dyDescent="0.25">
      <c r="A6" s="684" t="s">
        <v>142</v>
      </c>
      <c r="B6" s="139" t="s">
        <v>143</v>
      </c>
      <c r="C6" s="139" t="s">
        <v>144</v>
      </c>
      <c r="D6" s="2">
        <v>0</v>
      </c>
      <c r="E6" s="2">
        <v>22</v>
      </c>
      <c r="F6" s="2">
        <v>0</v>
      </c>
      <c r="G6" s="2">
        <v>0</v>
      </c>
      <c r="H6" s="144">
        <f>H4*2</f>
        <v>8.8000000000000007</v>
      </c>
      <c r="I6" s="2">
        <f t="shared" si="0"/>
        <v>35.200000000000003</v>
      </c>
    </row>
    <row r="7" spans="1:9" x14ac:dyDescent="0.25">
      <c r="A7" s="684"/>
      <c r="B7" s="139" t="s">
        <v>145</v>
      </c>
      <c r="C7" s="139" t="s">
        <v>146</v>
      </c>
      <c r="D7" s="2">
        <v>0</v>
      </c>
      <c r="E7" s="2">
        <v>0</v>
      </c>
      <c r="F7" s="2">
        <v>0</v>
      </c>
      <c r="G7" s="2">
        <v>22</v>
      </c>
      <c r="H7" s="144">
        <f>H2/0.2</f>
        <v>5</v>
      </c>
      <c r="I7" s="2">
        <f t="shared" si="0"/>
        <v>20</v>
      </c>
    </row>
    <row r="8" spans="1:9" ht="31.5" x14ac:dyDescent="0.25">
      <c r="A8" s="138" t="s">
        <v>147</v>
      </c>
      <c r="B8" s="139" t="s">
        <v>148</v>
      </c>
      <c r="C8" s="139" t="s">
        <v>149</v>
      </c>
      <c r="D8" s="2">
        <v>0</v>
      </c>
      <c r="E8" s="2">
        <v>16</v>
      </c>
      <c r="F8" s="2">
        <v>0</v>
      </c>
      <c r="G8" s="2">
        <v>6</v>
      </c>
      <c r="H8" s="144">
        <v>3.9</v>
      </c>
      <c r="I8" s="2">
        <f t="shared" si="0"/>
        <v>15.6</v>
      </c>
    </row>
    <row r="9" spans="1:9" ht="21" x14ac:dyDescent="0.25">
      <c r="A9" s="138" t="s">
        <v>150</v>
      </c>
      <c r="B9" s="139" t="s">
        <v>150</v>
      </c>
      <c r="C9" s="139" t="s">
        <v>151</v>
      </c>
      <c r="D9" s="2">
        <v>0</v>
      </c>
      <c r="E9" s="2">
        <v>6</v>
      </c>
      <c r="F9" s="2">
        <v>4</v>
      </c>
      <c r="G9" s="2">
        <v>12</v>
      </c>
      <c r="H9" s="144">
        <v>4.0999999999999996</v>
      </c>
      <c r="I9" s="2">
        <f t="shared" si="0"/>
        <v>16.399999999999999</v>
      </c>
    </row>
    <row r="10" spans="1:9" x14ac:dyDescent="0.25">
      <c r="A10" s="138" t="s">
        <v>129</v>
      </c>
      <c r="B10" s="139" t="s">
        <v>129</v>
      </c>
      <c r="C10" s="139" t="s">
        <v>152</v>
      </c>
      <c r="D10" s="2">
        <v>0</v>
      </c>
      <c r="E10" s="2">
        <v>2</v>
      </c>
      <c r="F10" s="2">
        <v>0</v>
      </c>
      <c r="G10" s="2">
        <v>0</v>
      </c>
      <c r="H10" s="144">
        <v>2.7</v>
      </c>
      <c r="I10" s="2">
        <f t="shared" si="0"/>
        <v>10.8</v>
      </c>
    </row>
    <row r="11" spans="1:9" ht="31.5" x14ac:dyDescent="0.25">
      <c r="A11" s="138" t="s">
        <v>153</v>
      </c>
      <c r="B11" s="139" t="s">
        <v>148</v>
      </c>
      <c r="C11" s="139" t="s">
        <v>154</v>
      </c>
      <c r="D11" s="2">
        <v>0</v>
      </c>
      <c r="E11" s="2">
        <v>20</v>
      </c>
      <c r="F11" s="2">
        <v>0</v>
      </c>
      <c r="G11" s="2">
        <v>2</v>
      </c>
      <c r="H11" s="144">
        <v>4.5999999999999996</v>
      </c>
      <c r="I11" s="2">
        <f t="shared" si="0"/>
        <v>18.399999999999999</v>
      </c>
    </row>
    <row r="12" spans="1:9" ht="31.5" x14ac:dyDescent="0.25">
      <c r="A12" s="138" t="s">
        <v>155</v>
      </c>
      <c r="B12" s="139" t="s">
        <v>130</v>
      </c>
      <c r="C12" s="139" t="s">
        <v>156</v>
      </c>
      <c r="D12" s="2">
        <v>0</v>
      </c>
      <c r="E12" s="2">
        <v>20</v>
      </c>
      <c r="F12" s="2">
        <v>0</v>
      </c>
      <c r="G12" s="2">
        <v>2</v>
      </c>
      <c r="H12" s="144">
        <v>9.9</v>
      </c>
      <c r="I12" s="2">
        <f t="shared" si="0"/>
        <v>39.6</v>
      </c>
    </row>
    <row r="13" spans="1:9" ht="21" x14ac:dyDescent="0.25">
      <c r="A13" s="138" t="s">
        <v>157</v>
      </c>
      <c r="B13" s="139" t="s">
        <v>140</v>
      </c>
      <c r="C13" s="139" t="s">
        <v>158</v>
      </c>
      <c r="D13" s="2">
        <v>0</v>
      </c>
      <c r="E13" s="2">
        <v>10</v>
      </c>
      <c r="F13" s="2">
        <v>0</v>
      </c>
      <c r="G13" s="2">
        <v>6</v>
      </c>
      <c r="H13" s="144">
        <v>4.9000000000000004</v>
      </c>
      <c r="I13" s="2">
        <f t="shared" si="0"/>
        <v>19.600000000000001</v>
      </c>
    </row>
    <row r="14" spans="1:9" x14ac:dyDescent="0.25">
      <c r="A14" s="1"/>
      <c r="D14" s="1" t="s">
        <v>164</v>
      </c>
    </row>
    <row r="17" spans="1:2" x14ac:dyDescent="0.25">
      <c r="A17" t="s">
        <v>166</v>
      </c>
      <c r="B17" t="s">
        <v>67</v>
      </c>
    </row>
    <row r="18" spans="1:2" x14ac:dyDescent="0.25">
      <c r="A18" t="s">
        <v>129</v>
      </c>
    </row>
    <row r="19" spans="1:2" x14ac:dyDescent="0.25">
      <c r="A19" t="s">
        <v>130</v>
      </c>
    </row>
    <row r="20" spans="1:2" x14ac:dyDescent="0.25">
      <c r="A20" t="s">
        <v>167</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7"/>
  <sheetViews>
    <sheetView workbookViewId="0">
      <selection activeCell="K11" sqref="K11"/>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352" t="s">
        <v>174</v>
      </c>
      <c r="B1" s="352" t="s">
        <v>2</v>
      </c>
      <c r="C1" s="352" t="s">
        <v>470</v>
      </c>
      <c r="D1" s="301" t="s">
        <v>471</v>
      </c>
      <c r="E1" s="301" t="s">
        <v>437</v>
      </c>
      <c r="F1" s="301" t="s">
        <v>438</v>
      </c>
      <c r="H1" s="352" t="s">
        <v>417</v>
      </c>
      <c r="I1" s="352" t="str">
        <f>D1</f>
        <v>N_CA</v>
      </c>
      <c r="J1" s="301" t="s">
        <v>437</v>
      </c>
      <c r="K1" s="301" t="s">
        <v>438</v>
      </c>
      <c r="M1" s="352" t="s">
        <v>417</v>
      </c>
      <c r="N1" s="352" t="str">
        <f>I1</f>
        <v>N_CA</v>
      </c>
      <c r="O1" s="301" t="s">
        <v>437</v>
      </c>
      <c r="P1" s="301" t="s">
        <v>438</v>
      </c>
    </row>
    <row r="2" spans="1:16" x14ac:dyDescent="0.25">
      <c r="A2" t="str">
        <f>PLANTILLA!D7</f>
        <v>B. Pinczehelyi</v>
      </c>
      <c r="B2" s="238">
        <f>PLANTILLA!Y7+1.5+PLANTILLA!J7</f>
        <v>17.534706660885313</v>
      </c>
      <c r="C2" s="238">
        <f>PLANTILLA!AB7+1.5+PLANTILLA!J7</f>
        <v>12.184706660885308</v>
      </c>
      <c r="D2" s="318">
        <f t="shared" ref="D2:D19" si="0">(C2*2+B2)/8</f>
        <v>5.238014997831991</v>
      </c>
      <c r="E2" s="238">
        <f>D2*PLANTILLA!R7</f>
        <v>4.4269306617494886</v>
      </c>
      <c r="F2" s="238">
        <f>D2*PLANTILLA!S7</f>
        <v>4.8454166663515581</v>
      </c>
      <c r="H2" t="str">
        <f>A2</f>
        <v>B. Pinczehelyi</v>
      </c>
      <c r="I2" s="148">
        <f>D2</f>
        <v>5.238014997831991</v>
      </c>
      <c r="J2" s="238">
        <f t="shared" ref="J2:K2" si="1">E2</f>
        <v>4.4269306617494886</v>
      </c>
      <c r="K2" s="238">
        <f t="shared" si="1"/>
        <v>4.8454166663515581</v>
      </c>
      <c r="M2" t="str">
        <f>A2</f>
        <v>B. Pinczehelyi</v>
      </c>
      <c r="N2" s="148">
        <f>D2</f>
        <v>5.238014997831991</v>
      </c>
      <c r="O2" s="238">
        <f t="shared" ref="O2:P2" si="2">E2</f>
        <v>4.4269306617494886</v>
      </c>
      <c r="P2" s="238">
        <f t="shared" si="2"/>
        <v>4.8454166663515581</v>
      </c>
    </row>
    <row r="3" spans="1:16" x14ac:dyDescent="0.25">
      <c r="A3" t="str">
        <f>PLANTILLA!D15</f>
        <v>C. Rojas</v>
      </c>
      <c r="B3" s="238">
        <f>PLANTILLA!Y15+1.5+PLANTILLA!J15</f>
        <v>11.033360961115283</v>
      </c>
      <c r="C3" s="238">
        <f>PLANTILLA!AB15+1.5+PLANTILLA!J15</f>
        <v>13.033360961115283</v>
      </c>
      <c r="D3" s="318">
        <f>(C3*2+B3)/8</f>
        <v>4.6375103604182311</v>
      </c>
      <c r="E3" s="238">
        <f>D3*PLANTILLA!R15</f>
        <v>4.2935003045786475</v>
      </c>
      <c r="F3" s="238">
        <f>D3*PLANTILLA!S15</f>
        <v>4.6341966691337921</v>
      </c>
      <c r="H3" s="148" t="str">
        <f>A7</f>
        <v>E. Toney</v>
      </c>
      <c r="I3" s="148">
        <f>D7</f>
        <v>4.9331268004764146</v>
      </c>
      <c r="J3" s="238">
        <f t="shared" ref="J3:K3" si="3">E7</f>
        <v>4.1692531045379155</v>
      </c>
      <c r="K3" s="238">
        <f t="shared" si="3"/>
        <v>4.5633803695001642</v>
      </c>
      <c r="M3" t="str">
        <f>A7</f>
        <v>E. Toney</v>
      </c>
      <c r="N3" s="148">
        <f>D7</f>
        <v>4.9331268004764146</v>
      </c>
      <c r="O3" s="238">
        <f t="shared" ref="O3:P3" si="4">E7</f>
        <v>4.1692531045379155</v>
      </c>
      <c r="P3" s="238">
        <f t="shared" si="4"/>
        <v>4.5633803695001642</v>
      </c>
    </row>
    <row r="4" spans="1:16" x14ac:dyDescent="0.25">
      <c r="A4" t="str">
        <f>PLANTILLA!D11</f>
        <v>E. Romweber</v>
      </c>
      <c r="B4" s="238">
        <f>PLANTILLA!Y11+1.5+PLANTILLA!J11</f>
        <v>15.126904766492245</v>
      </c>
      <c r="C4" s="238">
        <f>PLANTILLA!AB11+1.5+PLANTILLA!J11</f>
        <v>14.126904766492245</v>
      </c>
      <c r="D4" s="318">
        <f t="shared" si="0"/>
        <v>5.422589287434592</v>
      </c>
      <c r="E4" s="238">
        <f>D4*PLANTILLA!R11</f>
        <v>5.0203421551182625</v>
      </c>
      <c r="F4" s="238">
        <f>D4*PLANTILLA!S11</f>
        <v>5.4187146250695806</v>
      </c>
      <c r="H4" t="str">
        <f t="shared" ref="H4:H6" si="5">A4</f>
        <v>E. Romweber</v>
      </c>
      <c r="I4" s="148">
        <f t="shared" ref="I4:I6" si="6">D4</f>
        <v>5.422589287434592</v>
      </c>
      <c r="J4" s="238">
        <f t="shared" ref="J4" si="7">E4</f>
        <v>5.0203421551182625</v>
      </c>
      <c r="K4" s="238">
        <f t="shared" ref="K4" si="8">F4</f>
        <v>5.4187146250695806</v>
      </c>
      <c r="M4" t="str">
        <f t="shared" ref="M4" si="9">A4</f>
        <v>E. Romweber</v>
      </c>
      <c r="N4" s="148">
        <f t="shared" ref="N4" si="10">D4</f>
        <v>5.422589287434592</v>
      </c>
      <c r="O4" s="238">
        <f t="shared" ref="O4" si="11">E4</f>
        <v>5.0203421551182625</v>
      </c>
      <c r="P4" s="238">
        <f t="shared" ref="P4" si="12">F4</f>
        <v>5.4187146250695806</v>
      </c>
    </row>
    <row r="5" spans="1:16" x14ac:dyDescent="0.25">
      <c r="A5" t="e">
        <f>PLANTILLA!#REF!</f>
        <v>#REF!</v>
      </c>
      <c r="B5" s="238" t="e">
        <f>PLANTILLA!#REF!+1.5+PLANTILLA!#REF!</f>
        <v>#REF!</v>
      </c>
      <c r="C5" s="238" t="e">
        <f>PLANTILLA!#REF!+1.5+PLANTILLA!#REF!</f>
        <v>#REF!</v>
      </c>
      <c r="D5" s="318" t="e">
        <f t="shared" si="0"/>
        <v>#REF!</v>
      </c>
      <c r="E5" s="238" t="e">
        <f>D5*PLANTILLA!#REF!</f>
        <v>#REF!</v>
      </c>
      <c r="F5" s="238" t="e">
        <f>D5*PLANTILLA!#REF!</f>
        <v>#REF!</v>
      </c>
      <c r="H5" s="148" t="str">
        <f>A12</f>
        <v>B. Bartolache</v>
      </c>
      <c r="I5" s="148">
        <f>D12</f>
        <v>4.5973549848239337</v>
      </c>
      <c r="J5" s="238">
        <f t="shared" ref="J5:K5" si="13">E12</f>
        <v>2.4573896055126392</v>
      </c>
      <c r="K5" s="238">
        <f t="shared" si="13"/>
        <v>3.0046550037493387</v>
      </c>
      <c r="M5" s="148" t="str">
        <f>H5</f>
        <v>B. Bartolache</v>
      </c>
      <c r="N5" s="148">
        <f t="shared" ref="N5:P5" si="14">I5</f>
        <v>4.5973549848239337</v>
      </c>
      <c r="O5" s="238">
        <f t="shared" si="14"/>
        <v>2.4573896055126392</v>
      </c>
      <c r="P5" s="238">
        <f t="shared" si="14"/>
        <v>3.0046550037493387</v>
      </c>
    </row>
    <row r="6" spans="1:16" x14ac:dyDescent="0.25">
      <c r="A6" t="str">
        <f>PLANTILLA!D16</f>
        <v>E. Gross</v>
      </c>
      <c r="B6" s="238">
        <f>PLANTILLA!Y16+1.5+PLANTILLA!J16</f>
        <v>13.582292150207168</v>
      </c>
      <c r="C6" s="238">
        <f>PLANTILLA!AB16+1.5+PLANTILLA!J16</f>
        <v>11.982292150207172</v>
      </c>
      <c r="D6" s="318">
        <f t="shared" si="0"/>
        <v>4.6933595563276889</v>
      </c>
      <c r="E6" s="238">
        <f>D6*PLANTILLA!R16</f>
        <v>3.9666127980010892</v>
      </c>
      <c r="F6" s="238">
        <f>D6*PLANTILLA!S16</f>
        <v>4.341584097186268</v>
      </c>
      <c r="H6" t="str">
        <f t="shared" si="5"/>
        <v>E. Gross</v>
      </c>
      <c r="I6" s="148">
        <f t="shared" si="6"/>
        <v>4.6933595563276889</v>
      </c>
      <c r="J6" s="238">
        <f t="shared" ref="J6" si="15">E6</f>
        <v>3.9666127980010892</v>
      </c>
      <c r="K6" s="238">
        <f t="shared" ref="K6" si="16">F6</f>
        <v>4.341584097186268</v>
      </c>
      <c r="N6" s="148"/>
      <c r="O6" s="238"/>
      <c r="P6" s="238"/>
    </row>
    <row r="7" spans="1:16" x14ac:dyDescent="0.25">
      <c r="A7" t="str">
        <f>PLANTILLA!D8</f>
        <v>E. Toney</v>
      </c>
      <c r="B7" s="238">
        <f>PLANTILLA!Y8+1.5+PLANTILLA!J8</f>
        <v>15.155004801270438</v>
      </c>
      <c r="C7" s="238">
        <f>PLANTILLA!AB8+1.5+PLANTILLA!J8</f>
        <v>12.155004801270438</v>
      </c>
      <c r="D7" s="318">
        <f t="shared" si="0"/>
        <v>4.9331268004764146</v>
      </c>
      <c r="E7" s="238">
        <f>D7*PLANTILLA!R8</f>
        <v>4.1692531045379155</v>
      </c>
      <c r="F7" s="238">
        <f>D7*PLANTILLA!S8</f>
        <v>4.5633803695001642</v>
      </c>
      <c r="I7" s="370">
        <f>SUM(I2:I6)</f>
        <v>24.884445626894621</v>
      </c>
      <c r="J7" s="626">
        <f t="shared" ref="J7:K7" si="17">SUM(J2:J6)</f>
        <v>20.040528324919396</v>
      </c>
      <c r="K7" s="626">
        <f t="shared" si="17"/>
        <v>22.173750761856908</v>
      </c>
      <c r="L7" s="370"/>
      <c r="M7" s="370"/>
      <c r="N7" s="370">
        <f>SUM(N2:N6)</f>
        <v>20.191086070566932</v>
      </c>
      <c r="O7" s="626">
        <f t="shared" ref="O7:P7" si="18">SUM(O2:O6)</f>
        <v>16.073915526918306</v>
      </c>
      <c r="P7" s="626">
        <f t="shared" si="18"/>
        <v>17.832166664670641</v>
      </c>
    </row>
    <row r="8" spans="1:16" x14ac:dyDescent="0.25">
      <c r="A8" t="str">
        <f>PLANTILLA!D30</f>
        <v>P .Trivadi</v>
      </c>
      <c r="B8" s="238">
        <f>PLANTILLA!Y30+1.5+PLANTILLA!J30</f>
        <v>6.6631099952416912</v>
      </c>
      <c r="C8" s="238">
        <f>PLANTILLA!AB30+1.5+PLANTILLA!J30</f>
        <v>13.59310999524169</v>
      </c>
      <c r="D8" s="318">
        <f t="shared" si="0"/>
        <v>4.2311662482156338</v>
      </c>
      <c r="E8" s="238">
        <f>D8*PLANTILLA!R30</f>
        <v>3.5759881571431378</v>
      </c>
      <c r="F8" s="238">
        <f>D8*PLANTILLA!S30</f>
        <v>3.9140329811376797</v>
      </c>
      <c r="N8" s="148"/>
    </row>
    <row r="9" spans="1:16" x14ac:dyDescent="0.25">
      <c r="A9" t="str">
        <f>PLANTILLA!D12</f>
        <v>K. Helms</v>
      </c>
      <c r="B9" s="238">
        <f>PLANTILLA!Y12+1.5+PLANTILLA!J12</f>
        <v>10.298793699949663</v>
      </c>
      <c r="C9" s="238">
        <f>PLANTILLA!AB12+1.5+PLANTILLA!J12</f>
        <v>12.998490669646632</v>
      </c>
      <c r="D9" s="318">
        <f t="shared" si="0"/>
        <v>4.5369718799053658</v>
      </c>
      <c r="E9" s="238">
        <f>D9*PLANTILLA!R12</f>
        <v>4.2004197585192458</v>
      </c>
      <c r="F9" s="238">
        <f>D9*PLANTILLA!S12</f>
        <v>4.5337300274872012</v>
      </c>
    </row>
    <row r="10" spans="1:16" x14ac:dyDescent="0.25">
      <c r="A10" t="str">
        <f>PLANTILLA!D20</f>
        <v>J. Limon</v>
      </c>
      <c r="B10" s="238">
        <f>PLANTILLA!Y20+1.5+PLANTILLA!J20</f>
        <v>9.9172076220425147</v>
      </c>
      <c r="C10" s="238">
        <f>PLANTILLA!AB20+1.5+PLANTILLA!J20</f>
        <v>13.029588574423464</v>
      </c>
      <c r="D10" s="318">
        <f t="shared" si="0"/>
        <v>4.4970480963611799</v>
      </c>
      <c r="E10" s="238">
        <f>D10*PLANTILLA!R20</f>
        <v>3.3994488276766033</v>
      </c>
      <c r="F10" s="238">
        <f>D10*PLANTILLA!S20</f>
        <v>3.7968967307736743</v>
      </c>
      <c r="H10" s="148"/>
    </row>
    <row r="11" spans="1:16" x14ac:dyDescent="0.25">
      <c r="A11" t="str">
        <f>PLANTILLA!D21</f>
        <v>L. Calosso</v>
      </c>
      <c r="B11" s="238">
        <f>PLANTILLA!Y21+1.5+PLANTILLA!J21</f>
        <v>6.0697917973969302</v>
      </c>
      <c r="C11" s="238">
        <f>PLANTILLA!AB21+1.5+PLANTILLA!J21</f>
        <v>18.069791797396931</v>
      </c>
      <c r="D11" s="318">
        <f t="shared" si="0"/>
        <v>5.2761719240238492</v>
      </c>
      <c r="E11" s="238">
        <f>D11*PLANTILLA!R21</f>
        <v>4.4591791502678992</v>
      </c>
      <c r="F11" s="238">
        <f>D11*PLANTILLA!S21</f>
        <v>4.8807136645814788</v>
      </c>
    </row>
    <row r="12" spans="1:16" x14ac:dyDescent="0.25">
      <c r="A12" t="str">
        <f>PLANTILLA!D9</f>
        <v>B. Bartolache</v>
      </c>
      <c r="B12" s="238">
        <f>PLANTILLA!Y9+1.5+PLANTILLA!J9</f>
        <v>14.92627995953049</v>
      </c>
      <c r="C12" s="238">
        <f>PLANTILLA!AB9+1.5+PLANTILLA!J9</f>
        <v>10.92627995953049</v>
      </c>
      <c r="D12" s="318">
        <f t="shared" si="0"/>
        <v>4.5973549848239337</v>
      </c>
      <c r="E12" s="238">
        <f>D12*PLANTILLA!R9</f>
        <v>2.4573896055126392</v>
      </c>
      <c r="F12" s="238">
        <f>D12*PLANTILLA!S9</f>
        <v>3.0046550037493387</v>
      </c>
    </row>
    <row r="13" spans="1:16" x14ac:dyDescent="0.25">
      <c r="A13" t="str">
        <f>PLANTILLA!D13</f>
        <v>S. Zobbe</v>
      </c>
      <c r="B13" s="238">
        <f>PLANTILLA!Y13+1.5+PLANTILLA!J13</f>
        <v>11.388170714237649</v>
      </c>
      <c r="C13" s="238">
        <f>PLANTILLA!AB13+1.5+PLANTILLA!J13</f>
        <v>13.268170714237652</v>
      </c>
      <c r="D13" s="318">
        <f t="shared" si="0"/>
        <v>4.7405640178391195</v>
      </c>
      <c r="E13" s="238">
        <f>D13*PLANTILLA!R13</f>
        <v>4.3889094519739809</v>
      </c>
      <c r="F13" s="238">
        <f>D13*PLANTILLA!S13</f>
        <v>4.7371766904913866</v>
      </c>
    </row>
    <row r="14" spans="1:16" x14ac:dyDescent="0.25">
      <c r="A14" t="str">
        <f>PLANTILLA!D14</f>
        <v>S. Buschelman</v>
      </c>
      <c r="B14" s="238">
        <f>PLANTILLA!Y14+1.5+PLANTILLA!J14</f>
        <v>12.401876115939228</v>
      </c>
      <c r="C14" s="238">
        <f>PLANTILLA!AB14+1.5+PLANTILLA!J14</f>
        <v>13.048209449272562</v>
      </c>
      <c r="D14" s="318">
        <f t="shared" si="0"/>
        <v>4.8122868768105445</v>
      </c>
      <c r="E14" s="238">
        <f>D14*PLANTILLA!R14</f>
        <v>4.455311916422878</v>
      </c>
      <c r="F14" s="238">
        <f>D14*PLANTILLA!S14</f>
        <v>4.8088483005395322</v>
      </c>
    </row>
    <row r="15" spans="1:16" x14ac:dyDescent="0.25">
      <c r="A15" t="str">
        <f>PLANTILLA!D6</f>
        <v>T. Hammond</v>
      </c>
      <c r="B15" s="238">
        <f>PLANTILLA!Y6+1.5+PLANTILLA!J6</f>
        <v>10.747503804799598</v>
      </c>
      <c r="C15" s="238">
        <f>PLANTILLA!AB6+1.5+PLANTILLA!J6</f>
        <v>4.7475038047995985</v>
      </c>
      <c r="D15" s="318">
        <f t="shared" si="0"/>
        <v>2.5303139267998493</v>
      </c>
      <c r="E15" s="238">
        <f>D15*PLANTILLA!R6</f>
        <v>1.9127375397816266</v>
      </c>
      <c r="F15" s="238">
        <f>D15*PLANTILLA!S6</f>
        <v>2.1363660051292976</v>
      </c>
    </row>
    <row r="16" spans="1:16" x14ac:dyDescent="0.25">
      <c r="A16" t="str">
        <f>PLANTILLA!D10</f>
        <v>F. Lasprilla</v>
      </c>
      <c r="B16" s="238">
        <f>PLANTILLA!Y10+1.5+PLANTILLA!J10</f>
        <v>12.255763813493941</v>
      </c>
      <c r="C16" s="238">
        <f>PLANTILLA!AB10+1.5+PLANTILLA!J10</f>
        <v>11.514430480160605</v>
      </c>
      <c r="D16" s="318">
        <f t="shared" si="0"/>
        <v>4.4105780967268942</v>
      </c>
      <c r="E16" s="238">
        <f>D16*PLANTILLA!R10</f>
        <v>3.3340836519908419</v>
      </c>
      <c r="F16" s="238">
        <f>D16*PLANTILLA!S10</f>
        <v>3.7238893597413116</v>
      </c>
    </row>
    <row r="17" spans="1:6" x14ac:dyDescent="0.25">
      <c r="A17" t="str">
        <f>PLANTILLA!D17</f>
        <v>L. Bauman</v>
      </c>
      <c r="B17" s="238">
        <f>PLANTILLA!Y17+1.5+PLANTILLA!J17</f>
        <v>8.9352578030757819</v>
      </c>
      <c r="C17" s="238">
        <f>PLANTILLA!AB17+1.5+PLANTILLA!J17</f>
        <v>11.935257803075782</v>
      </c>
      <c r="D17" s="318">
        <f t="shared" si="0"/>
        <v>4.1007216761534178</v>
      </c>
      <c r="E17" s="238">
        <f>D17*PLANTILLA!R17</f>
        <v>3.0998542145696826</v>
      </c>
      <c r="F17" s="238">
        <f>D17*PLANTILLA!S17</f>
        <v>3.4622748950802302</v>
      </c>
    </row>
    <row r="18" spans="1:6" x14ac:dyDescent="0.25">
      <c r="A18" t="str">
        <f>PLANTILLA!D18</f>
        <v>W. Gelifini</v>
      </c>
      <c r="B18" s="238">
        <f>PLANTILLA!Y18+1.5+PLANTILLA!J18</f>
        <v>8.138705808214544</v>
      </c>
      <c r="C18" s="238">
        <f>PLANTILLA!AB18+1.5+PLANTILLA!J18</f>
        <v>11.753816919325656</v>
      </c>
      <c r="D18" s="318">
        <f t="shared" si="0"/>
        <v>3.9557924558582318</v>
      </c>
      <c r="E18" s="238">
        <f>D18*PLANTILLA!R18</f>
        <v>2.9902980218246666</v>
      </c>
      <c r="F18" s="238">
        <f>D18*PLANTILLA!S18</f>
        <v>3.3399098967655285</v>
      </c>
    </row>
    <row r="19" spans="1:6" x14ac:dyDescent="0.25">
      <c r="A19" t="str">
        <f>PLANTILLA!D5</f>
        <v>D. Gehmacher</v>
      </c>
      <c r="B19" s="238">
        <f>PLANTILLA!Y5+1.5+PLANTILLA!J5</f>
        <v>15.306929271012887</v>
      </c>
      <c r="C19" s="238">
        <f>PLANTILLA!AB5+1.5+PLANTILLA!J5</f>
        <v>4.3069292710128879</v>
      </c>
      <c r="D19" s="318">
        <f t="shared" si="0"/>
        <v>2.9900984766298331</v>
      </c>
      <c r="E19" s="238">
        <f>D19*PLANTILLA!R5</f>
        <v>2.7682932699631859</v>
      </c>
      <c r="F19" s="238">
        <f>D19*PLANTILLA!S5</f>
        <v>2.9879619286781152</v>
      </c>
    </row>
    <row r="20" spans="1:6" x14ac:dyDescent="0.25">
      <c r="A20" t="str">
        <f>PLANTILLA!D19</f>
        <v>G. Kerschl</v>
      </c>
      <c r="B20" s="238">
        <f ca="1">PLANTILLA!Y19+PLANTILLA!P19+PLANTILLA!J19</f>
        <v>5.5444833227936661</v>
      </c>
      <c r="C20" s="238">
        <f ca="1">PLANTILLA!AB6+PLANTILLA!P19+PLANTILLA!J6</f>
        <v>4.2475038047995985</v>
      </c>
      <c r="D20" s="318">
        <f t="shared" ref="D20" ca="1" si="19">(C20*2+B20)/8</f>
        <v>1.7549363665491078</v>
      </c>
      <c r="E20" s="238">
        <f ca="1">D20*PLANTILLA!R19</f>
        <v>1.4831919369667819</v>
      </c>
      <c r="F20" s="238">
        <f ca="1">D20*PLANTILLA!S19</f>
        <v>1.6234008345495461</v>
      </c>
    </row>
    <row r="21" spans="1:6" x14ac:dyDescent="0.25">
      <c r="B21" s="148"/>
      <c r="C21" s="148"/>
      <c r="D21" s="318"/>
      <c r="E21" s="148"/>
      <c r="F21" s="148"/>
    </row>
    <row r="22" spans="1:6" x14ac:dyDescent="0.25">
      <c r="B22" s="148"/>
      <c r="C22" s="148"/>
      <c r="D22" s="318"/>
      <c r="E22" s="148"/>
      <c r="F22" s="148"/>
    </row>
    <row r="23" spans="1:6" x14ac:dyDescent="0.25">
      <c r="B23">
        <v>12</v>
      </c>
      <c r="C23">
        <v>7</v>
      </c>
      <c r="D23" s="318">
        <f t="shared" ref="D23" si="20">(C23*2+B23)/8</f>
        <v>3.25</v>
      </c>
    </row>
    <row r="24" spans="1:6" x14ac:dyDescent="0.25">
      <c r="B24">
        <v>12</v>
      </c>
      <c r="C24">
        <v>7</v>
      </c>
      <c r="D24" s="318">
        <f t="shared" ref="D24:D27" si="21">(C24*2+B24)/8</f>
        <v>3.25</v>
      </c>
    </row>
    <row r="25" spans="1:6" x14ac:dyDescent="0.25">
      <c r="B25">
        <v>12</v>
      </c>
      <c r="C25">
        <v>7</v>
      </c>
      <c r="D25" s="318">
        <f t="shared" si="21"/>
        <v>3.25</v>
      </c>
    </row>
    <row r="26" spans="1:6" x14ac:dyDescent="0.25">
      <c r="B26">
        <v>12</v>
      </c>
      <c r="C26">
        <v>7</v>
      </c>
      <c r="D26" s="318">
        <f t="shared" si="21"/>
        <v>3.25</v>
      </c>
    </row>
    <row r="27" spans="1:6" x14ac:dyDescent="0.25">
      <c r="B27">
        <v>12</v>
      </c>
      <c r="C27">
        <v>7</v>
      </c>
      <c r="D27" s="318">
        <f t="shared" si="21"/>
        <v>3.25</v>
      </c>
    </row>
  </sheetData>
  <sortState ref="A2:F19">
    <sortCondition descending="1" ref="E2:E19"/>
  </sortState>
  <conditionalFormatting sqref="D2:D20">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66" t="s">
        <v>237</v>
      </c>
      <c r="B1" s="202" t="s">
        <v>195</v>
      </c>
      <c r="C1" s="203" t="s">
        <v>259</v>
      </c>
      <c r="D1" s="203" t="s">
        <v>260</v>
      </c>
      <c r="E1" s="203" t="s">
        <v>103</v>
      </c>
      <c r="F1" s="203" t="s">
        <v>261</v>
      </c>
      <c r="G1" s="203" t="s">
        <v>262</v>
      </c>
      <c r="H1" s="204" t="s">
        <v>263</v>
      </c>
      <c r="I1" s="204" t="s">
        <v>264</v>
      </c>
      <c r="J1" s="204" t="s">
        <v>265</v>
      </c>
    </row>
    <row r="2" spans="1:14" x14ac:dyDescent="0.25">
      <c r="A2" t="s">
        <v>280</v>
      </c>
      <c r="B2" s="201" t="s">
        <v>281</v>
      </c>
      <c r="C2" s="205">
        <v>447000</v>
      </c>
      <c r="D2" s="205">
        <v>2800000</v>
      </c>
      <c r="E2" s="205">
        <v>350</v>
      </c>
      <c r="F2" s="201">
        <v>6.5</v>
      </c>
      <c r="G2" s="201">
        <v>11.5</v>
      </c>
      <c r="H2" s="205">
        <f>C2+D2+(E2*1*16*0.6)</f>
        <v>3250360</v>
      </c>
      <c r="I2" s="205">
        <f t="shared" ref="I2:I3" si="0">H2/F2</f>
        <v>500055.38461538462</v>
      </c>
      <c r="J2" s="102">
        <f t="shared" ref="J2:J3" si="1">H2/G2</f>
        <v>282640</v>
      </c>
    </row>
    <row r="3" spans="1:14" x14ac:dyDescent="0.25">
      <c r="A3" t="s">
        <v>280</v>
      </c>
      <c r="B3" s="201" t="s">
        <v>281</v>
      </c>
      <c r="C3" s="205">
        <v>350000</v>
      </c>
      <c r="D3" s="205">
        <v>2800000</v>
      </c>
      <c r="E3" s="205">
        <v>300</v>
      </c>
      <c r="F3" s="201">
        <f>1.5+2.5+2.5</f>
        <v>6.5</v>
      </c>
      <c r="G3" s="201">
        <f>1.5+2.5+2.5+2.5+2.5</f>
        <v>11.5</v>
      </c>
      <c r="H3" s="205">
        <f t="shared" ref="H3" si="2">C3+D3+(E3*1*16*0.6)</f>
        <v>3152880</v>
      </c>
      <c r="I3" s="205">
        <f t="shared" si="0"/>
        <v>485058.46153846156</v>
      </c>
      <c r="J3" s="102">
        <f t="shared" si="1"/>
        <v>274163.47826086957</v>
      </c>
    </row>
    <row r="4" spans="1:14" x14ac:dyDescent="0.25">
      <c r="A4" t="s">
        <v>200</v>
      </c>
      <c r="B4" s="201" t="s">
        <v>281</v>
      </c>
      <c r="C4" s="205">
        <v>400000</v>
      </c>
      <c r="D4" s="205">
        <v>2590000</v>
      </c>
      <c r="E4" s="205">
        <v>400</v>
      </c>
      <c r="F4" s="201">
        <f>1.5+2.5+2.5</f>
        <v>6.5</v>
      </c>
      <c r="G4" s="201">
        <f>1.5+2.5+2.5+2.5+2.5</f>
        <v>11.5</v>
      </c>
      <c r="H4" s="205">
        <f t="shared" ref="H4" si="3">C4+D4+(E4*1*16*0.6)</f>
        <v>2993840</v>
      </c>
      <c r="I4" s="205">
        <f t="shared" ref="I4" si="4">H4/F4</f>
        <v>460590.76923076925</v>
      </c>
      <c r="J4" s="102">
        <f t="shared" ref="J4" si="5">H4/G4</f>
        <v>260333.91304347827</v>
      </c>
    </row>
    <row r="5" spans="1:14" x14ac:dyDescent="0.25">
      <c r="A5" t="s">
        <v>282</v>
      </c>
      <c r="B5" s="201" t="s">
        <v>283</v>
      </c>
      <c r="C5" s="205">
        <v>1100000</v>
      </c>
      <c r="D5" s="205">
        <v>3000000</v>
      </c>
      <c r="E5" s="205">
        <v>400</v>
      </c>
      <c r="F5" s="201">
        <v>9</v>
      </c>
      <c r="G5" s="201">
        <v>14</v>
      </c>
      <c r="H5" s="205">
        <f t="shared" ref="H5:H6" si="6">C5+D5+(E5*1*16*0.6)</f>
        <v>4103840</v>
      </c>
      <c r="I5" s="205">
        <f t="shared" ref="I5:I6" si="7">H5/F5</f>
        <v>455982.22222222225</v>
      </c>
      <c r="J5" s="102">
        <f t="shared" ref="J5:J6" si="8">H5/G5</f>
        <v>293131.42857142858</v>
      </c>
    </row>
    <row r="6" spans="1:14" x14ac:dyDescent="0.25">
      <c r="A6" t="s">
        <v>284</v>
      </c>
      <c r="B6" s="201" t="s">
        <v>281</v>
      </c>
      <c r="C6" s="205">
        <v>500000</v>
      </c>
      <c r="D6" s="205">
        <v>2242000</v>
      </c>
      <c r="E6" s="205">
        <v>400</v>
      </c>
      <c r="F6" s="201">
        <f>1.5+2.5+2.5</f>
        <v>6.5</v>
      </c>
      <c r="G6" s="201">
        <f>1.5+2.5+2.5+2.5+2.5</f>
        <v>11.5</v>
      </c>
      <c r="H6" s="205">
        <f t="shared" si="6"/>
        <v>2745840</v>
      </c>
      <c r="I6" s="205">
        <f t="shared" si="7"/>
        <v>422436.92307692306</v>
      </c>
      <c r="J6" s="102">
        <f t="shared" si="8"/>
        <v>238768.69565217392</v>
      </c>
    </row>
    <row r="7" spans="1:14" x14ac:dyDescent="0.25">
      <c r="A7" t="s">
        <v>194</v>
      </c>
      <c r="B7" s="201" t="s">
        <v>285</v>
      </c>
      <c r="C7" s="205">
        <v>400000</v>
      </c>
      <c r="D7" s="205">
        <v>1650000</v>
      </c>
      <c r="E7" s="205">
        <v>5000</v>
      </c>
      <c r="F7" s="201">
        <v>4</v>
      </c>
      <c r="G7" s="201">
        <v>9</v>
      </c>
      <c r="H7" s="205">
        <f t="shared" ref="H7" si="9">C7+D7+(E7*1*16*0.6)</f>
        <v>2098000</v>
      </c>
      <c r="I7" s="205">
        <f t="shared" ref="I7" si="10">H7/F7</f>
        <v>524500</v>
      </c>
      <c r="J7" s="102">
        <f t="shared" ref="J7" si="11">H7/G7</f>
        <v>233111.11111111112</v>
      </c>
    </row>
    <row r="8" spans="1:14" x14ac:dyDescent="0.25">
      <c r="B8" s="201"/>
      <c r="C8" s="205"/>
      <c r="D8" s="205"/>
      <c r="E8" s="205"/>
      <c r="F8" s="201"/>
      <c r="G8" s="201"/>
      <c r="H8" s="205"/>
      <c r="I8" s="205"/>
      <c r="J8" s="102"/>
    </row>
    <row r="9" spans="1:14" x14ac:dyDescent="0.25">
      <c r="F9" s="201"/>
      <c r="G9" s="205"/>
      <c r="H9" s="205"/>
      <c r="I9" s="205"/>
      <c r="J9" s="201"/>
      <c r="K9" s="201"/>
      <c r="L9" s="205"/>
      <c r="M9" s="205"/>
      <c r="N9" s="102"/>
    </row>
    <row r="10" spans="1:14" x14ac:dyDescent="0.25">
      <c r="A10" s="4" t="s">
        <v>266</v>
      </c>
      <c r="F10" s="201"/>
      <c r="G10" s="205"/>
      <c r="H10" s="205"/>
      <c r="I10" s="205"/>
      <c r="J10" s="201"/>
      <c r="K10" s="201"/>
      <c r="L10" s="205"/>
      <c r="M10" s="205"/>
      <c r="N10" s="102"/>
    </row>
    <row r="11" spans="1:14" x14ac:dyDescent="0.25">
      <c r="A11" s="167" t="s">
        <v>267</v>
      </c>
      <c r="F11" s="201"/>
      <c r="G11" s="205"/>
      <c r="H11" s="205"/>
      <c r="I11" s="205"/>
      <c r="J11" s="201"/>
      <c r="K11" s="201"/>
      <c r="L11" s="205"/>
      <c r="M11" s="205"/>
      <c r="N11" s="102"/>
    </row>
    <row r="12" spans="1:14" x14ac:dyDescent="0.25">
      <c r="A12" s="167" t="s">
        <v>268</v>
      </c>
      <c r="F12" s="201"/>
      <c r="G12" s="205"/>
      <c r="H12" s="205"/>
      <c r="I12" s="205"/>
      <c r="J12" s="201"/>
      <c r="K12" s="201"/>
      <c r="L12" s="205"/>
      <c r="M12" s="205"/>
      <c r="N12" s="102"/>
    </row>
    <row r="13" spans="1:14" x14ac:dyDescent="0.25">
      <c r="A13" s="167" t="s">
        <v>269</v>
      </c>
      <c r="F13" s="201"/>
      <c r="G13" s="205"/>
      <c r="H13" s="205"/>
      <c r="I13" s="205"/>
      <c r="J13" s="201"/>
      <c r="K13" s="201"/>
      <c r="L13" s="205"/>
      <c r="M13" s="205"/>
      <c r="N13" s="102"/>
    </row>
    <row r="14" spans="1:14" x14ac:dyDescent="0.25">
      <c r="A14" s="167" t="s">
        <v>270</v>
      </c>
      <c r="F14" s="201"/>
      <c r="G14" s="205"/>
      <c r="H14" s="205"/>
      <c r="I14" s="205"/>
      <c r="J14" s="201"/>
      <c r="K14" s="201"/>
      <c r="L14" s="205"/>
      <c r="M14" s="205"/>
      <c r="N14" s="102"/>
    </row>
    <row r="15" spans="1:14" x14ac:dyDescent="0.25">
      <c r="F15" s="201"/>
      <c r="G15" s="205"/>
      <c r="H15" s="205"/>
      <c r="I15" s="205"/>
      <c r="J15" s="201"/>
      <c r="K15" s="201"/>
      <c r="L15" s="205"/>
      <c r="M15" s="205"/>
      <c r="N15" s="102"/>
    </row>
    <row r="16" spans="1:14" x14ac:dyDescent="0.25">
      <c r="A16" s="167" t="s">
        <v>271</v>
      </c>
      <c r="F16" s="201"/>
      <c r="G16" s="205"/>
      <c r="H16" s="205"/>
      <c r="I16" s="205"/>
      <c r="J16" s="201"/>
      <c r="K16" s="201"/>
      <c r="L16" s="205"/>
      <c r="M16" s="205"/>
      <c r="N16" s="102"/>
    </row>
    <row r="17" spans="1:14" x14ac:dyDescent="0.25">
      <c r="A17" s="167" t="s">
        <v>272</v>
      </c>
      <c r="F17" s="201"/>
      <c r="G17" s="205"/>
      <c r="H17" s="205"/>
      <c r="I17" s="205"/>
      <c r="J17" s="201"/>
      <c r="K17" s="201"/>
      <c r="L17" s="205"/>
      <c r="M17" s="205"/>
      <c r="N17" s="102"/>
    </row>
    <row r="18" spans="1:14" x14ac:dyDescent="0.25">
      <c r="A18" s="167" t="s">
        <v>273</v>
      </c>
      <c r="F18" s="201"/>
      <c r="G18" s="205"/>
      <c r="H18" s="205"/>
      <c r="I18" s="205"/>
      <c r="J18" s="201"/>
      <c r="K18" s="201"/>
      <c r="L18" s="205"/>
      <c r="M18" s="205"/>
      <c r="N18" s="102"/>
    </row>
    <row r="19" spans="1:14" x14ac:dyDescent="0.25">
      <c r="A19" s="167" t="s">
        <v>274</v>
      </c>
      <c r="F19" s="201"/>
      <c r="G19" s="205"/>
      <c r="H19" s="205"/>
      <c r="I19" s="205"/>
      <c r="J19" s="201"/>
      <c r="K19" s="201"/>
      <c r="L19" s="205"/>
      <c r="M19" s="205"/>
      <c r="N19" s="102"/>
    </row>
    <row r="20" spans="1:14" x14ac:dyDescent="0.25">
      <c r="A20" s="167"/>
      <c r="F20" s="201"/>
      <c r="G20" s="205"/>
      <c r="H20" s="205"/>
      <c r="I20" s="205"/>
      <c r="J20" s="201"/>
      <c r="K20" s="201"/>
      <c r="L20" s="205"/>
      <c r="M20" s="205"/>
      <c r="N20" s="102"/>
    </row>
    <row r="21" spans="1:14" x14ac:dyDescent="0.25">
      <c r="A21" s="167" t="s">
        <v>275</v>
      </c>
      <c r="F21" s="201"/>
      <c r="G21" s="205"/>
      <c r="H21" s="205"/>
      <c r="I21" s="205"/>
      <c r="J21" s="201"/>
      <c r="K21" s="201"/>
      <c r="L21" s="205"/>
      <c r="M21" s="205"/>
      <c r="N21" s="102"/>
    </row>
    <row r="22" spans="1:14" x14ac:dyDescent="0.25">
      <c r="A22" s="167" t="s">
        <v>276</v>
      </c>
      <c r="F22" s="201"/>
      <c r="G22" s="205"/>
      <c r="H22" s="205"/>
      <c r="I22" s="205"/>
      <c r="J22" s="201"/>
      <c r="K22" s="201"/>
      <c r="L22" s="205"/>
      <c r="M22" s="205"/>
      <c r="N22" s="102"/>
    </row>
    <row r="23" spans="1:14" x14ac:dyDescent="0.25">
      <c r="A23" s="167" t="s">
        <v>277</v>
      </c>
      <c r="F23" s="201"/>
      <c r="G23" s="205"/>
      <c r="H23" s="205"/>
      <c r="I23" s="205"/>
      <c r="J23" s="201"/>
      <c r="K23" s="201"/>
      <c r="L23" s="205"/>
      <c r="M23" s="205"/>
      <c r="N23" s="102"/>
    </row>
    <row r="24" spans="1:14" x14ac:dyDescent="0.25">
      <c r="F24" s="201"/>
      <c r="G24" s="205"/>
      <c r="H24" s="205"/>
      <c r="I24" s="205"/>
      <c r="J24" s="201"/>
      <c r="K24" s="201"/>
      <c r="L24" s="205"/>
      <c r="M24" s="205"/>
      <c r="N24" s="102"/>
    </row>
    <row r="25" spans="1:14" x14ac:dyDescent="0.25">
      <c r="A25" s="167" t="s">
        <v>278</v>
      </c>
      <c r="F25" s="201"/>
      <c r="G25" s="205"/>
      <c r="H25" s="205"/>
      <c r="I25" s="205"/>
      <c r="J25" s="201"/>
      <c r="K25" s="201"/>
      <c r="L25" s="205"/>
      <c r="M25" s="205"/>
      <c r="N25" s="102"/>
    </row>
    <row r="26" spans="1:14" x14ac:dyDescent="0.25">
      <c r="A26" s="167" t="s">
        <v>279</v>
      </c>
      <c r="F26" s="201"/>
      <c r="G26" s="205"/>
      <c r="H26" s="205"/>
      <c r="I26" s="205"/>
      <c r="J26" s="201"/>
      <c r="K26" s="201"/>
      <c r="L26" s="205"/>
      <c r="M26" s="205"/>
      <c r="N26" s="102"/>
    </row>
    <row r="27" spans="1:14" x14ac:dyDescent="0.25">
      <c r="F27" s="4"/>
      <c r="G27" t="s">
        <v>346</v>
      </c>
      <c r="H27" t="s">
        <v>345</v>
      </c>
    </row>
    <row r="28" spans="1:14" x14ac:dyDescent="0.25">
      <c r="F28" s="217" t="s">
        <v>288</v>
      </c>
      <c r="G28" s="212"/>
      <c r="H28" s="205"/>
      <c r="I28" s="210">
        <v>400000</v>
      </c>
      <c r="J28" s="102"/>
    </row>
    <row r="29" spans="1:14" x14ac:dyDescent="0.25">
      <c r="F29" s="218" t="s">
        <v>289</v>
      </c>
      <c r="G29" s="213"/>
      <c r="H29" s="205">
        <v>4800000</v>
      </c>
      <c r="I29" s="211"/>
      <c r="J29" s="102"/>
    </row>
    <row r="30" spans="1:14" ht="19.5" x14ac:dyDescent="0.25">
      <c r="A30" s="645" t="s">
        <v>286</v>
      </c>
      <c r="B30" s="645"/>
      <c r="C30" s="645"/>
      <c r="D30" s="645"/>
      <c r="F30" s="217" t="s">
        <v>297</v>
      </c>
      <c r="G30" s="212"/>
      <c r="H30" s="205">
        <v>4210500</v>
      </c>
      <c r="I30" s="211"/>
      <c r="J30" s="102"/>
    </row>
    <row r="31" spans="1:14" x14ac:dyDescent="0.25">
      <c r="A31" s="646" t="s">
        <v>237</v>
      </c>
      <c r="B31" s="647" t="s">
        <v>287</v>
      </c>
      <c r="C31" s="647" t="s">
        <v>288</v>
      </c>
      <c r="D31" s="647" t="s">
        <v>289</v>
      </c>
      <c r="F31" s="218" t="s">
        <v>301</v>
      </c>
      <c r="G31" s="213"/>
      <c r="H31" s="205">
        <v>3750000</v>
      </c>
      <c r="I31" s="211"/>
      <c r="J31" s="102"/>
    </row>
    <row r="32" spans="1:14" x14ac:dyDescent="0.25">
      <c r="A32" s="646"/>
      <c r="B32" s="647"/>
      <c r="C32" s="647"/>
      <c r="D32" s="647"/>
      <c r="F32" s="217" t="s">
        <v>305</v>
      </c>
      <c r="G32" s="212"/>
      <c r="H32" s="205">
        <v>3356600</v>
      </c>
      <c r="I32" s="211"/>
      <c r="J32" s="102"/>
    </row>
    <row r="33" spans="1:10" x14ac:dyDescent="0.25">
      <c r="A33" s="206" t="s">
        <v>287</v>
      </c>
      <c r="B33" s="207" t="s">
        <v>290</v>
      </c>
      <c r="C33" s="207" t="s">
        <v>291</v>
      </c>
      <c r="D33" s="207" t="s">
        <v>291</v>
      </c>
      <c r="F33" s="218" t="s">
        <v>309</v>
      </c>
      <c r="G33" s="214">
        <f>I35-H33</f>
        <v>-62800</v>
      </c>
      <c r="H33" s="205">
        <v>3057300</v>
      </c>
      <c r="I33" s="211">
        <f>H33+G33</f>
        <v>2994500</v>
      </c>
      <c r="J33" s="102"/>
    </row>
    <row r="34" spans="1:10" x14ac:dyDescent="0.25">
      <c r="A34" s="208" t="s">
        <v>288</v>
      </c>
      <c r="B34" s="209" t="s">
        <v>292</v>
      </c>
      <c r="C34" s="209" t="s">
        <v>293</v>
      </c>
      <c r="D34" s="209" t="s">
        <v>291</v>
      </c>
      <c r="F34" s="217" t="s">
        <v>313</v>
      </c>
      <c r="G34" s="216">
        <f>I35-H34</f>
        <v>187500</v>
      </c>
      <c r="H34" s="205">
        <v>2807000</v>
      </c>
      <c r="I34" s="211">
        <f>H34+G34</f>
        <v>2994500</v>
      </c>
      <c r="J34" s="102"/>
    </row>
    <row r="35" spans="1:10" x14ac:dyDescent="0.25">
      <c r="A35" s="206" t="s">
        <v>289</v>
      </c>
      <c r="B35" s="207" t="s">
        <v>294</v>
      </c>
      <c r="C35" s="207" t="s">
        <v>295</v>
      </c>
      <c r="D35" s="207" t="s">
        <v>296</v>
      </c>
      <c r="F35" s="218" t="s">
        <v>317</v>
      </c>
      <c r="G35" s="215">
        <v>400000</v>
      </c>
      <c r="H35" s="205">
        <v>2594500</v>
      </c>
      <c r="I35" s="211">
        <f>H35+G35</f>
        <v>2994500</v>
      </c>
      <c r="J35" s="102"/>
    </row>
    <row r="36" spans="1:10" x14ac:dyDescent="0.25">
      <c r="A36" s="208" t="s">
        <v>297</v>
      </c>
      <c r="B36" s="209" t="s">
        <v>298</v>
      </c>
      <c r="C36" s="209" t="s">
        <v>299</v>
      </c>
      <c r="D36" s="209" t="s">
        <v>300</v>
      </c>
      <c r="F36" s="217" t="s">
        <v>321</v>
      </c>
      <c r="G36" s="215">
        <v>594500</v>
      </c>
      <c r="H36" s="205">
        <v>2400000</v>
      </c>
      <c r="I36" s="211">
        <f t="shared" ref="I36:I38" si="12">H36+G36</f>
        <v>2994500</v>
      </c>
      <c r="J36" s="102"/>
    </row>
    <row r="37" spans="1:10" x14ac:dyDescent="0.25">
      <c r="A37" s="206" t="s">
        <v>301</v>
      </c>
      <c r="B37" s="207" t="s">
        <v>302</v>
      </c>
      <c r="C37" s="207" t="s">
        <v>303</v>
      </c>
      <c r="D37" s="207" t="s">
        <v>304</v>
      </c>
      <c r="F37" s="218" t="s">
        <v>325</v>
      </c>
      <c r="G37" s="215">
        <v>752210</v>
      </c>
      <c r="H37" s="205">
        <v>2242290</v>
      </c>
      <c r="I37" s="211">
        <f t="shared" si="12"/>
        <v>2994500</v>
      </c>
      <c r="J37" s="102"/>
    </row>
    <row r="38" spans="1:10" x14ac:dyDescent="0.25">
      <c r="A38" s="208" t="s">
        <v>305</v>
      </c>
      <c r="B38" s="209" t="s">
        <v>306</v>
      </c>
      <c r="C38" s="209" t="s">
        <v>307</v>
      </c>
      <c r="D38" s="209" t="s">
        <v>308</v>
      </c>
      <c r="F38" s="217" t="s">
        <v>329</v>
      </c>
      <c r="G38" s="215">
        <v>889300</v>
      </c>
      <c r="H38" s="205">
        <v>2105200</v>
      </c>
      <c r="I38" s="211">
        <f t="shared" si="12"/>
        <v>2994500</v>
      </c>
      <c r="J38" s="102"/>
    </row>
    <row r="39" spans="1:10" x14ac:dyDescent="0.25">
      <c r="A39" s="206" t="s">
        <v>309</v>
      </c>
      <c r="B39" s="207" t="s">
        <v>310</v>
      </c>
      <c r="C39" s="207" t="s">
        <v>311</v>
      </c>
      <c r="D39" s="207" t="s">
        <v>312</v>
      </c>
    </row>
    <row r="40" spans="1:10" x14ac:dyDescent="0.25">
      <c r="A40" s="208" t="s">
        <v>313</v>
      </c>
      <c r="B40" s="209" t="s">
        <v>314</v>
      </c>
      <c r="C40" s="209" t="s">
        <v>315</v>
      </c>
      <c r="D40" s="209" t="s">
        <v>316</v>
      </c>
    </row>
    <row r="41" spans="1:10" x14ac:dyDescent="0.25">
      <c r="A41" s="206" t="s">
        <v>317</v>
      </c>
      <c r="B41" s="207" t="s">
        <v>318</v>
      </c>
      <c r="C41" s="207" t="s">
        <v>319</v>
      </c>
      <c r="D41" s="207" t="s">
        <v>320</v>
      </c>
    </row>
    <row r="42" spans="1:10" x14ac:dyDescent="0.25">
      <c r="A42" s="208" t="s">
        <v>321</v>
      </c>
      <c r="B42" s="209" t="s">
        <v>322</v>
      </c>
      <c r="C42" s="209" t="s">
        <v>323</v>
      </c>
      <c r="D42" s="209" t="s">
        <v>324</v>
      </c>
    </row>
    <row r="43" spans="1:10" x14ac:dyDescent="0.25">
      <c r="A43" s="206" t="s">
        <v>325</v>
      </c>
      <c r="B43" s="207" t="s">
        <v>326</v>
      </c>
      <c r="C43" s="207" t="s">
        <v>327</v>
      </c>
      <c r="D43" s="207" t="s">
        <v>328</v>
      </c>
    </row>
    <row r="44" spans="1:10" x14ac:dyDescent="0.25">
      <c r="A44" s="208" t="s">
        <v>329</v>
      </c>
      <c r="B44" s="209" t="s">
        <v>330</v>
      </c>
      <c r="C44" s="209" t="s">
        <v>331</v>
      </c>
      <c r="D44" s="209" t="s">
        <v>332</v>
      </c>
    </row>
    <row r="45" spans="1:10" x14ac:dyDescent="0.25">
      <c r="A45" s="206" t="s">
        <v>333</v>
      </c>
      <c r="B45" s="207" t="s">
        <v>334</v>
      </c>
      <c r="C45" s="207" t="s">
        <v>335</v>
      </c>
      <c r="D45" s="207" t="s">
        <v>336</v>
      </c>
    </row>
    <row r="46" spans="1:10" x14ac:dyDescent="0.25">
      <c r="A46" s="208" t="s">
        <v>337</v>
      </c>
      <c r="B46" s="209" t="s">
        <v>338</v>
      </c>
      <c r="C46" s="209" t="s">
        <v>339</v>
      </c>
      <c r="D46" s="209" t="s">
        <v>340</v>
      </c>
    </row>
    <row r="47" spans="1:10" x14ac:dyDescent="0.25">
      <c r="A47" s="206" t="s">
        <v>341</v>
      </c>
      <c r="B47" s="207" t="s">
        <v>342</v>
      </c>
      <c r="C47" s="207" t="s">
        <v>343</v>
      </c>
      <c r="D47" s="207" t="s">
        <v>344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51" bestFit="1" customWidth="1"/>
    <col min="5" max="5" width="7" bestFit="1" customWidth="1"/>
    <col min="6" max="6" width="18.42578125" bestFit="1" customWidth="1"/>
    <col min="7" max="7" width="8.7109375" bestFit="1" customWidth="1"/>
  </cols>
  <sheetData>
    <row r="1" spans="1:7" s="4" customFormat="1" x14ac:dyDescent="0.25">
      <c r="A1" s="48" t="s">
        <v>374</v>
      </c>
      <c r="B1" s="48" t="s">
        <v>380</v>
      </c>
      <c r="C1" s="48" t="s">
        <v>375</v>
      </c>
      <c r="D1" s="255" t="s">
        <v>376</v>
      </c>
      <c r="E1" s="48" t="s">
        <v>377</v>
      </c>
      <c r="F1" s="48" t="s">
        <v>379</v>
      </c>
      <c r="G1" s="48" t="s">
        <v>378</v>
      </c>
    </row>
    <row r="2" spans="1:7" x14ac:dyDescent="0.25">
      <c r="A2" s="150">
        <v>0.4</v>
      </c>
      <c r="B2" s="149">
        <v>0</v>
      </c>
      <c r="C2" s="150">
        <f>B2*0.025</f>
        <v>0</v>
      </c>
      <c r="D2" s="256">
        <v>-0.375</v>
      </c>
      <c r="E2" s="150">
        <f>A2+C2+D2</f>
        <v>2.5000000000000022E-2</v>
      </c>
      <c r="F2" s="149">
        <v>32</v>
      </c>
      <c r="G2" s="254">
        <f>F2*E2</f>
        <v>0.80000000000000071</v>
      </c>
    </row>
    <row r="3" spans="1:7" x14ac:dyDescent="0.25">
      <c r="A3" s="150">
        <v>0.4</v>
      </c>
      <c r="B3" s="149">
        <v>1</v>
      </c>
      <c r="C3" s="150">
        <f t="shared" ref="C3:C17" si="0">B3*0.025</f>
        <v>2.5000000000000001E-2</v>
      </c>
      <c r="D3" s="256">
        <f>D2</f>
        <v>-0.375</v>
      </c>
      <c r="E3" s="150">
        <f t="shared" ref="E3:E17" si="1">A3+C3+D3</f>
        <v>5.0000000000000044E-2</v>
      </c>
      <c r="F3" s="149">
        <v>32</v>
      </c>
      <c r="G3" s="254">
        <f t="shared" ref="G3:G17" si="2">F3*E3</f>
        <v>1.6000000000000014</v>
      </c>
    </row>
    <row r="4" spans="1:7" x14ac:dyDescent="0.25">
      <c r="A4" s="150">
        <v>0.4</v>
      </c>
      <c r="B4" s="149">
        <v>2</v>
      </c>
      <c r="C4" s="150">
        <f t="shared" si="0"/>
        <v>0.05</v>
      </c>
      <c r="D4" s="256">
        <f t="shared" ref="D4:D17" si="3">D3</f>
        <v>-0.375</v>
      </c>
      <c r="E4" s="150">
        <f t="shared" si="1"/>
        <v>7.5000000000000011E-2</v>
      </c>
      <c r="F4" s="149">
        <v>32</v>
      </c>
      <c r="G4" s="254">
        <f t="shared" si="2"/>
        <v>2.4000000000000004</v>
      </c>
    </row>
    <row r="5" spans="1:7" x14ac:dyDescent="0.25">
      <c r="A5" s="150">
        <v>0.4</v>
      </c>
      <c r="B5" s="149">
        <v>3</v>
      </c>
      <c r="C5" s="150">
        <f t="shared" si="0"/>
        <v>7.5000000000000011E-2</v>
      </c>
      <c r="D5" s="256">
        <f t="shared" si="3"/>
        <v>-0.375</v>
      </c>
      <c r="E5" s="150">
        <f t="shared" si="1"/>
        <v>0.10000000000000003</v>
      </c>
      <c r="F5" s="149">
        <v>32</v>
      </c>
      <c r="G5" s="254">
        <f t="shared" si="2"/>
        <v>3.2000000000000011</v>
      </c>
    </row>
    <row r="6" spans="1:7" x14ac:dyDescent="0.25">
      <c r="A6" s="150">
        <v>0.4</v>
      </c>
      <c r="B6" s="149">
        <v>4</v>
      </c>
      <c r="C6" s="150">
        <f t="shared" si="0"/>
        <v>0.1</v>
      </c>
      <c r="D6" s="256">
        <f t="shared" si="3"/>
        <v>-0.375</v>
      </c>
      <c r="E6" s="150">
        <f t="shared" si="1"/>
        <v>0.125</v>
      </c>
      <c r="F6" s="149">
        <v>32</v>
      </c>
      <c r="G6" s="254">
        <f t="shared" si="2"/>
        <v>4</v>
      </c>
    </row>
    <row r="7" spans="1:7" x14ac:dyDescent="0.25">
      <c r="A7" s="150">
        <v>0.4</v>
      </c>
      <c r="B7" s="149">
        <v>5</v>
      </c>
      <c r="C7" s="150">
        <f t="shared" si="0"/>
        <v>0.125</v>
      </c>
      <c r="D7" s="256">
        <f t="shared" si="3"/>
        <v>-0.375</v>
      </c>
      <c r="E7" s="150">
        <f t="shared" si="1"/>
        <v>0.15000000000000002</v>
      </c>
      <c r="F7" s="149">
        <v>32</v>
      </c>
      <c r="G7" s="254">
        <f t="shared" si="2"/>
        <v>4.8000000000000007</v>
      </c>
    </row>
    <row r="8" spans="1:7" x14ac:dyDescent="0.25">
      <c r="A8" s="150">
        <v>0.4</v>
      </c>
      <c r="B8" s="149">
        <v>6</v>
      </c>
      <c r="C8" s="150">
        <f t="shared" si="0"/>
        <v>0.15000000000000002</v>
      </c>
      <c r="D8" s="256">
        <f t="shared" si="3"/>
        <v>-0.375</v>
      </c>
      <c r="E8" s="150">
        <f t="shared" si="1"/>
        <v>0.17500000000000004</v>
      </c>
      <c r="F8" s="149">
        <v>32</v>
      </c>
      <c r="G8" s="254">
        <f t="shared" si="2"/>
        <v>5.6000000000000014</v>
      </c>
    </row>
    <row r="9" spans="1:7" x14ac:dyDescent="0.25">
      <c r="A9" s="150">
        <v>0.4</v>
      </c>
      <c r="B9" s="149">
        <v>7</v>
      </c>
      <c r="C9" s="150">
        <f t="shared" si="0"/>
        <v>0.17500000000000002</v>
      </c>
      <c r="D9" s="256">
        <f t="shared" si="3"/>
        <v>-0.375</v>
      </c>
      <c r="E9" s="150">
        <f t="shared" si="1"/>
        <v>0.20000000000000007</v>
      </c>
      <c r="F9" s="149">
        <v>32</v>
      </c>
      <c r="G9" s="254">
        <f t="shared" si="2"/>
        <v>6.4000000000000021</v>
      </c>
    </row>
    <row r="10" spans="1:7" x14ac:dyDescent="0.25">
      <c r="A10" s="150">
        <v>0.4</v>
      </c>
      <c r="B10" s="149">
        <v>8</v>
      </c>
      <c r="C10" s="150">
        <f t="shared" si="0"/>
        <v>0.2</v>
      </c>
      <c r="D10" s="256">
        <f t="shared" si="3"/>
        <v>-0.375</v>
      </c>
      <c r="E10" s="150">
        <f t="shared" si="1"/>
        <v>0.22500000000000009</v>
      </c>
      <c r="F10" s="149">
        <v>32</v>
      </c>
      <c r="G10" s="254">
        <f t="shared" si="2"/>
        <v>7.2000000000000028</v>
      </c>
    </row>
    <row r="11" spans="1:7" x14ac:dyDescent="0.25">
      <c r="A11" s="150">
        <v>0.4</v>
      </c>
      <c r="B11" s="149">
        <v>9</v>
      </c>
      <c r="C11" s="150">
        <f t="shared" si="0"/>
        <v>0.22500000000000001</v>
      </c>
      <c r="D11" s="256">
        <f t="shared" si="3"/>
        <v>-0.375</v>
      </c>
      <c r="E11" s="150">
        <f t="shared" si="1"/>
        <v>0.25</v>
      </c>
      <c r="F11" s="149">
        <v>32</v>
      </c>
      <c r="G11" s="254">
        <f t="shared" si="2"/>
        <v>8</v>
      </c>
    </row>
    <row r="12" spans="1:7" x14ac:dyDescent="0.25">
      <c r="A12" s="150">
        <v>0.4</v>
      </c>
      <c r="B12" s="149">
        <v>10</v>
      </c>
      <c r="C12" s="150">
        <f t="shared" si="0"/>
        <v>0.25</v>
      </c>
      <c r="D12" s="256">
        <f t="shared" si="3"/>
        <v>-0.375</v>
      </c>
      <c r="E12" s="150">
        <f t="shared" si="1"/>
        <v>0.27500000000000002</v>
      </c>
      <c r="F12" s="149">
        <v>32</v>
      </c>
      <c r="G12" s="254">
        <f t="shared" si="2"/>
        <v>8.8000000000000007</v>
      </c>
    </row>
    <row r="13" spans="1:7" x14ac:dyDescent="0.25">
      <c r="A13" s="150">
        <v>0.4</v>
      </c>
      <c r="B13" s="149">
        <v>11</v>
      </c>
      <c r="C13" s="150">
        <f t="shared" si="0"/>
        <v>0.27500000000000002</v>
      </c>
      <c r="D13" s="256">
        <f t="shared" si="3"/>
        <v>-0.375</v>
      </c>
      <c r="E13" s="150">
        <f t="shared" si="1"/>
        <v>0.30000000000000004</v>
      </c>
      <c r="F13" s="149">
        <v>32</v>
      </c>
      <c r="G13" s="254">
        <f t="shared" si="2"/>
        <v>9.6000000000000014</v>
      </c>
    </row>
    <row r="14" spans="1:7" x14ac:dyDescent="0.25">
      <c r="A14" s="150">
        <v>0.4</v>
      </c>
      <c r="B14" s="149">
        <v>12</v>
      </c>
      <c r="C14" s="150">
        <f t="shared" si="0"/>
        <v>0.30000000000000004</v>
      </c>
      <c r="D14" s="256">
        <f t="shared" si="3"/>
        <v>-0.375</v>
      </c>
      <c r="E14" s="150">
        <f t="shared" si="1"/>
        <v>0.32500000000000007</v>
      </c>
      <c r="F14" s="149">
        <v>32</v>
      </c>
      <c r="G14" s="254">
        <f t="shared" si="2"/>
        <v>10.400000000000002</v>
      </c>
    </row>
    <row r="15" spans="1:7" x14ac:dyDescent="0.25">
      <c r="A15" s="150">
        <v>0.4</v>
      </c>
      <c r="B15" s="149">
        <v>13</v>
      </c>
      <c r="C15" s="150">
        <f t="shared" si="0"/>
        <v>0.32500000000000001</v>
      </c>
      <c r="D15" s="256">
        <f t="shared" si="3"/>
        <v>-0.375</v>
      </c>
      <c r="E15" s="150">
        <f t="shared" si="1"/>
        <v>0.35000000000000009</v>
      </c>
      <c r="F15" s="149">
        <v>32</v>
      </c>
      <c r="G15" s="254">
        <f t="shared" si="2"/>
        <v>11.200000000000003</v>
      </c>
    </row>
    <row r="16" spans="1:7" x14ac:dyDescent="0.25">
      <c r="A16" s="150">
        <v>0.4</v>
      </c>
      <c r="B16" s="149">
        <v>14</v>
      </c>
      <c r="C16" s="150">
        <f t="shared" si="0"/>
        <v>0.35000000000000003</v>
      </c>
      <c r="D16" s="256">
        <f t="shared" si="3"/>
        <v>-0.375</v>
      </c>
      <c r="E16" s="150">
        <f t="shared" si="1"/>
        <v>0.375</v>
      </c>
      <c r="F16" s="149">
        <v>32</v>
      </c>
      <c r="G16" s="254">
        <f t="shared" si="2"/>
        <v>12</v>
      </c>
    </row>
    <row r="17" spans="1:7" x14ac:dyDescent="0.25">
      <c r="A17" s="150">
        <v>0.4</v>
      </c>
      <c r="B17" s="149">
        <v>15</v>
      </c>
      <c r="C17" s="150">
        <f t="shared" si="0"/>
        <v>0.375</v>
      </c>
      <c r="D17" s="256">
        <f t="shared" si="3"/>
        <v>-0.375</v>
      </c>
      <c r="E17" s="150">
        <f t="shared" si="1"/>
        <v>0.4</v>
      </c>
      <c r="F17" s="149">
        <v>32</v>
      </c>
      <c r="G17" s="254">
        <f t="shared" si="2"/>
        <v>12.8</v>
      </c>
    </row>
    <row r="18" spans="1:7" x14ac:dyDescent="0.25">
      <c r="A18" s="47"/>
      <c r="B18" s="253"/>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541</v>
      </c>
      <c r="D1" s="4" t="s">
        <v>351</v>
      </c>
      <c r="E1" s="4" t="s">
        <v>545</v>
      </c>
      <c r="F1" s="4" t="s">
        <v>546</v>
      </c>
      <c r="G1" s="4" t="s">
        <v>547</v>
      </c>
      <c r="H1" s="4" t="s">
        <v>17</v>
      </c>
      <c r="I1" s="4" t="s">
        <v>548</v>
      </c>
      <c r="K1" s="4" t="s">
        <v>351</v>
      </c>
      <c r="L1" s="4" t="s">
        <v>545</v>
      </c>
      <c r="M1" s="4" t="s">
        <v>546</v>
      </c>
      <c r="N1" s="4" t="s">
        <v>547</v>
      </c>
      <c r="O1" s="4" t="s">
        <v>17</v>
      </c>
      <c r="P1" s="4" t="s">
        <v>548</v>
      </c>
    </row>
    <row r="2" spans="1:16" x14ac:dyDescent="0.25">
      <c r="A2">
        <v>3.5</v>
      </c>
      <c r="B2" t="s">
        <v>542</v>
      </c>
      <c r="D2" s="424">
        <v>10</v>
      </c>
      <c r="E2" s="425">
        <f t="shared" ref="E2:E11" si="0">D2*$A$2</f>
        <v>35</v>
      </c>
      <c r="F2" s="425">
        <f t="shared" ref="F2:F11" si="1">D2*$A$3</f>
        <v>25</v>
      </c>
      <c r="G2" s="426">
        <f t="shared" ref="G2:G11" si="2">D2*$A$4</f>
        <v>0.33333333333333331</v>
      </c>
      <c r="H2" s="424">
        <f>48000*0.68</f>
        <v>32640.000000000004</v>
      </c>
      <c r="I2" s="427">
        <f t="shared" ref="I2:I11" si="3">H2/D2</f>
        <v>3264.0000000000005</v>
      </c>
      <c r="K2">
        <v>15</v>
      </c>
      <c r="L2" s="238">
        <f>K2*3.2</f>
        <v>48</v>
      </c>
      <c r="M2" s="238">
        <f>K2*$A$3</f>
        <v>37.5</v>
      </c>
      <c r="N2" s="353">
        <f>K2*$A$4</f>
        <v>0.5</v>
      </c>
      <c r="O2">
        <f>24000*3</f>
        <v>72000</v>
      </c>
      <c r="P2">
        <f>O2/K2</f>
        <v>4800</v>
      </c>
    </row>
    <row r="3" spans="1:16" x14ac:dyDescent="0.25">
      <c r="A3">
        <v>2.5</v>
      </c>
      <c r="B3" t="s">
        <v>544</v>
      </c>
      <c r="D3" s="424">
        <v>9</v>
      </c>
      <c r="E3" s="425">
        <f t="shared" si="0"/>
        <v>31.5</v>
      </c>
      <c r="F3" s="425">
        <f t="shared" si="1"/>
        <v>22.5</v>
      </c>
      <c r="G3" s="426">
        <f t="shared" si="2"/>
        <v>0.3</v>
      </c>
      <c r="H3" s="424">
        <f>36000*0.68</f>
        <v>24480</v>
      </c>
      <c r="I3" s="427">
        <f t="shared" si="3"/>
        <v>2720</v>
      </c>
      <c r="K3">
        <v>12</v>
      </c>
      <c r="L3" s="238">
        <f>K3*3.2</f>
        <v>38.400000000000006</v>
      </c>
      <c r="M3" s="238">
        <f>K3*$A$3</f>
        <v>30</v>
      </c>
      <c r="N3" s="353">
        <f>K3*$A$4</f>
        <v>0.4</v>
      </c>
      <c r="O3">
        <f>12000*3</f>
        <v>36000</v>
      </c>
      <c r="P3">
        <f>O3/K3</f>
        <v>3000</v>
      </c>
    </row>
    <row r="4" spans="1:16" x14ac:dyDescent="0.25">
      <c r="A4" s="423">
        <f>0.5/15</f>
        <v>3.3333333333333333E-2</v>
      </c>
      <c r="B4" t="s">
        <v>543</v>
      </c>
      <c r="D4" s="424">
        <v>8</v>
      </c>
      <c r="E4" s="425">
        <f t="shared" si="0"/>
        <v>28</v>
      </c>
      <c r="F4" s="425">
        <f t="shared" si="1"/>
        <v>20</v>
      </c>
      <c r="G4" s="426">
        <f t="shared" si="2"/>
        <v>0.26666666666666666</v>
      </c>
      <c r="H4" s="424">
        <f>24000*0.68</f>
        <v>16320.000000000002</v>
      </c>
      <c r="I4" s="427">
        <f t="shared" si="3"/>
        <v>2040.0000000000002</v>
      </c>
    </row>
    <row r="5" spans="1:16" x14ac:dyDescent="0.25">
      <c r="D5" s="424">
        <v>7</v>
      </c>
      <c r="E5" s="425">
        <f t="shared" si="0"/>
        <v>24.5</v>
      </c>
      <c r="F5" s="425">
        <f t="shared" si="1"/>
        <v>17.5</v>
      </c>
      <c r="G5" s="426">
        <f t="shared" si="2"/>
        <v>0.23333333333333334</v>
      </c>
      <c r="H5" s="424">
        <f>18000*0.68</f>
        <v>12240</v>
      </c>
      <c r="I5" s="427">
        <f t="shared" si="3"/>
        <v>1748.5714285714287</v>
      </c>
    </row>
    <row r="6" spans="1:16" x14ac:dyDescent="0.25">
      <c r="D6" s="424">
        <v>6</v>
      </c>
      <c r="E6" s="425">
        <f t="shared" si="0"/>
        <v>21</v>
      </c>
      <c r="F6" s="425">
        <f t="shared" si="1"/>
        <v>15</v>
      </c>
      <c r="G6" s="426">
        <f t="shared" si="2"/>
        <v>0.2</v>
      </c>
      <c r="H6" s="424">
        <f>12000*0.68</f>
        <v>8160.0000000000009</v>
      </c>
      <c r="I6" s="427">
        <f t="shared" si="3"/>
        <v>1360.0000000000002</v>
      </c>
    </row>
    <row r="7" spans="1:16" x14ac:dyDescent="0.25">
      <c r="D7" s="424">
        <v>5</v>
      </c>
      <c r="E7" s="425">
        <f t="shared" si="0"/>
        <v>17.5</v>
      </c>
      <c r="F7" s="425">
        <f t="shared" si="1"/>
        <v>12.5</v>
      </c>
      <c r="G7" s="426">
        <f t="shared" si="2"/>
        <v>0.16666666666666666</v>
      </c>
      <c r="H7" s="424">
        <f>24000*0.68</f>
        <v>16320.000000000002</v>
      </c>
      <c r="I7" s="427">
        <f t="shared" si="3"/>
        <v>3264.0000000000005</v>
      </c>
      <c r="L7" s="238"/>
    </row>
    <row r="8" spans="1:16" x14ac:dyDescent="0.25">
      <c r="D8" s="424">
        <v>4</v>
      </c>
      <c r="E8" s="425">
        <f t="shared" si="0"/>
        <v>14</v>
      </c>
      <c r="F8" s="425">
        <f t="shared" si="1"/>
        <v>10</v>
      </c>
      <c r="G8" s="426">
        <f t="shared" si="2"/>
        <v>0.13333333333333333</v>
      </c>
      <c r="H8" s="424">
        <f>12000*0.68</f>
        <v>8160.0000000000009</v>
      </c>
      <c r="I8" s="427">
        <f t="shared" si="3"/>
        <v>2040.0000000000002</v>
      </c>
    </row>
    <row r="9" spans="1:16" x14ac:dyDescent="0.25">
      <c r="D9" s="424">
        <v>3</v>
      </c>
      <c r="E9" s="425">
        <f t="shared" si="0"/>
        <v>10.5</v>
      </c>
      <c r="F9" s="425">
        <f t="shared" si="1"/>
        <v>7.5</v>
      </c>
      <c r="G9" s="426">
        <f t="shared" si="2"/>
        <v>0.1</v>
      </c>
      <c r="H9" s="424">
        <f>6000*0.68</f>
        <v>4080.0000000000005</v>
      </c>
      <c r="I9" s="427">
        <f t="shared" si="3"/>
        <v>1360.0000000000002</v>
      </c>
    </row>
    <row r="10" spans="1:16" x14ac:dyDescent="0.25">
      <c r="D10" s="424">
        <v>2</v>
      </c>
      <c r="E10" s="425">
        <f t="shared" si="0"/>
        <v>7</v>
      </c>
      <c r="F10" s="425">
        <f t="shared" si="1"/>
        <v>5</v>
      </c>
      <c r="G10" s="426">
        <f t="shared" si="2"/>
        <v>6.6666666666666666E-2</v>
      </c>
      <c r="H10" s="424">
        <f>3000*0.68</f>
        <v>2040.0000000000002</v>
      </c>
      <c r="I10" s="427">
        <f t="shared" si="3"/>
        <v>1020.0000000000001</v>
      </c>
    </row>
    <row r="11" spans="1:16" x14ac:dyDescent="0.25">
      <c r="D11" s="424">
        <v>1</v>
      </c>
      <c r="E11" s="425">
        <f t="shared" si="0"/>
        <v>3.5</v>
      </c>
      <c r="F11" s="425">
        <f t="shared" si="1"/>
        <v>2.5</v>
      </c>
      <c r="G11" s="426">
        <f t="shared" si="2"/>
        <v>3.3333333333333333E-2</v>
      </c>
      <c r="H11" s="424">
        <f>1500*0.68</f>
        <v>1020.0000000000001</v>
      </c>
      <c r="I11" s="427">
        <f t="shared" si="3"/>
        <v>1020.0000000000001</v>
      </c>
    </row>
  </sheetData>
  <sortState ref="D2:I11">
    <sortCondition descending="1" ref="D2:D1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0"/>
  <sheetViews>
    <sheetView workbookViewId="0">
      <selection activeCell="A3" sqref="A3"/>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28" t="str">
        <f>PLANTILLA!D4</f>
        <v>Jugador</v>
      </c>
      <c r="B1" s="528" t="s">
        <v>576</v>
      </c>
      <c r="C1" s="528" t="str">
        <f>PLANTILLA!AC4</f>
        <v>An</v>
      </c>
      <c r="D1" s="528" t="str">
        <f>PLANTILLA!AD4</f>
        <v>PA</v>
      </c>
      <c r="E1" s="528" t="str">
        <f>PLANTILLA!AI4</f>
        <v>TL</v>
      </c>
      <c r="F1" s="528" t="str">
        <f>PLANTILLA!AJ4</f>
        <v>PEN</v>
      </c>
      <c r="G1" s="528" t="str">
        <f>PLANTILLA!AK4</f>
        <v>BPiA</v>
      </c>
      <c r="H1" s="528" t="str">
        <f>PLANTILLA!AL4</f>
        <v>BPiD</v>
      </c>
    </row>
    <row r="2" spans="1:15" x14ac:dyDescent="0.25">
      <c r="A2" t="str">
        <f>PLANTILLA!D20</f>
        <v>J. Limon</v>
      </c>
      <c r="B2" s="148">
        <f>PLANTILLA!J20</f>
        <v>1.5795885744234652</v>
      </c>
      <c r="C2" s="238">
        <f>PLANTILLA!AC20</f>
        <v>7.95</v>
      </c>
      <c r="D2" s="238">
        <f>PLANTILLA!AD20</f>
        <v>18.999999999999993</v>
      </c>
      <c r="E2" s="148">
        <f>PLANTILLA!AI20</f>
        <v>17.27516161772617</v>
      </c>
      <c r="F2" s="148">
        <f>PLANTILLA!AJ20</f>
        <v>14.184695663533857</v>
      </c>
      <c r="G2" s="148">
        <f>PLANTILLA!AK20</f>
        <v>1.2138670859538769</v>
      </c>
      <c r="H2" s="148">
        <f>PLANTILLA!AL20</f>
        <v>1.0590759621144044</v>
      </c>
      <c r="K2" t="str">
        <f>A4</f>
        <v>L. Calosso</v>
      </c>
      <c r="L2" s="353">
        <f>B2</f>
        <v>1.5795885744234652</v>
      </c>
      <c r="M2" s="353">
        <f t="shared" ref="M2:N2" si="0">C2</f>
        <v>7.95</v>
      </c>
      <c r="N2" s="353">
        <f t="shared" si="0"/>
        <v>18.999999999999993</v>
      </c>
      <c r="O2" s="353"/>
    </row>
    <row r="3" spans="1:15" x14ac:dyDescent="0.25">
      <c r="A3" t="str">
        <f>PLANTILLA!D11</f>
        <v>E. Romweber</v>
      </c>
      <c r="B3" s="148">
        <f>PLANTILLA!J11</f>
        <v>1.6769047664922461</v>
      </c>
      <c r="C3" s="238">
        <f>PLANTILLA!AC11</f>
        <v>5.95</v>
      </c>
      <c r="D3" s="238">
        <f>PLANTILLA!AD11</f>
        <v>17.529999999999998</v>
      </c>
      <c r="E3" s="148">
        <f>PLANTILLA!AI11</f>
        <v>17.534532315357808</v>
      </c>
      <c r="F3" s="148">
        <f>PLANTILLA!AJ11</f>
        <v>15.954569610284725</v>
      </c>
      <c r="G3" s="148">
        <f>PLANTILLA!AK11</f>
        <v>1.0775523813193797</v>
      </c>
      <c r="H3" s="148">
        <f>PLANTILLA!AL11</f>
        <v>1.226283333654457</v>
      </c>
      <c r="K3" t="str">
        <f>A5</f>
        <v>L. Bauman</v>
      </c>
      <c r="L3" s="353">
        <f t="shared" ref="L3:L11" si="1">B3</f>
        <v>1.6769047664922461</v>
      </c>
      <c r="M3" s="353">
        <f t="shared" ref="M3:M11" si="2">C3</f>
        <v>5.95</v>
      </c>
      <c r="N3" s="353">
        <f t="shared" ref="N3:N11" si="3">D3</f>
        <v>17.529999999999998</v>
      </c>
      <c r="O3" s="353"/>
    </row>
    <row r="4" spans="1:15" x14ac:dyDescent="0.25">
      <c r="A4" t="str">
        <f>PLANTILLA!D21</f>
        <v>L. Calosso</v>
      </c>
      <c r="B4" s="148">
        <f>PLANTILLA!J21</f>
        <v>1.6197917973969302</v>
      </c>
      <c r="C4" s="238">
        <f>PLANTILLA!AC21</f>
        <v>8.9499999999999993</v>
      </c>
      <c r="D4" s="238">
        <f>PLANTILLA!AD21</f>
        <v>11.25</v>
      </c>
      <c r="E4" s="148">
        <f ca="1">PLANTILLA!AI21</f>
        <v>16.255899664498614</v>
      </c>
      <c r="F4" s="148">
        <f ca="1">PLANTILLA!AJ21</f>
        <v>11.138957114006018</v>
      </c>
      <c r="G4" s="148">
        <f ca="1">PLANTILLA!AK21</f>
        <v>0.99458334379175428</v>
      </c>
      <c r="H4" s="148">
        <f ca="1">PLANTILLA!AL21</f>
        <v>0.63888542581778507</v>
      </c>
      <c r="K4" t="str">
        <f>A6</f>
        <v>P .Trivadi</v>
      </c>
      <c r="L4" s="353">
        <f t="shared" si="1"/>
        <v>1.6197917973969302</v>
      </c>
      <c r="M4" s="353">
        <f t="shared" si="2"/>
        <v>8.9499999999999993</v>
      </c>
      <c r="N4" s="353">
        <f t="shared" si="3"/>
        <v>11.25</v>
      </c>
      <c r="O4" s="353"/>
    </row>
    <row r="5" spans="1:15" x14ac:dyDescent="0.25">
      <c r="A5" t="str">
        <f>PLANTILLA!D17</f>
        <v>L. Bauman</v>
      </c>
      <c r="B5" s="148">
        <f>PLANTILLA!J17</f>
        <v>1.4852578030757824</v>
      </c>
      <c r="C5" s="238">
        <f>PLANTILLA!AC17</f>
        <v>5.95</v>
      </c>
      <c r="D5" s="238">
        <f>PLANTILLA!AD17</f>
        <v>17</v>
      </c>
      <c r="E5" s="148">
        <f>PLANTILLA!AI17</f>
        <v>13.776366409482669</v>
      </c>
      <c r="F5" s="148">
        <f>PLANTILLA!AJ17</f>
        <v>12.601530410934991</v>
      </c>
      <c r="G5" s="148">
        <f>PLANTILLA!AK17</f>
        <v>1.0463206242460625</v>
      </c>
      <c r="H5" s="148">
        <f>PLANTILLA!AL17</f>
        <v>0.95696804621530485</v>
      </c>
      <c r="K5" t="e">
        <f>A14</f>
        <v>#REF!</v>
      </c>
      <c r="L5" s="353">
        <f t="shared" si="1"/>
        <v>1.4852578030757824</v>
      </c>
      <c r="M5" s="353">
        <f t="shared" si="2"/>
        <v>5.95</v>
      </c>
      <c r="N5" s="353">
        <f t="shared" si="3"/>
        <v>17</v>
      </c>
      <c r="O5" s="353"/>
    </row>
    <row r="6" spans="1:15" x14ac:dyDescent="0.25">
      <c r="A6" t="str">
        <f>PLANTILLA!D30</f>
        <v>P .Trivadi</v>
      </c>
      <c r="B6" s="148">
        <f>PLANTILLA!J30</f>
        <v>1.1431099952416914</v>
      </c>
      <c r="C6" s="238">
        <f>PLANTILLA!AC30</f>
        <v>7.95</v>
      </c>
      <c r="D6" s="238">
        <f>PLANTILLA!AD30</f>
        <v>14</v>
      </c>
      <c r="E6" s="148">
        <f>PLANTILLA!AI30</f>
        <v>16.17479292973379</v>
      </c>
      <c r="F6" s="148">
        <f>PLANTILLA!AJ30</f>
        <v>12.532040252060957</v>
      </c>
      <c r="G6" s="148">
        <f>PLANTILLA!AK30</f>
        <v>1.0289487996193352</v>
      </c>
      <c r="H6" s="148">
        <f>PLANTILLA!AL30</f>
        <v>0.76581769966691837</v>
      </c>
      <c r="K6" t="str">
        <f>A18</f>
        <v>D. Gehmacher</v>
      </c>
      <c r="L6" s="353">
        <f t="shared" si="1"/>
        <v>1.1431099952416914</v>
      </c>
      <c r="M6" s="353">
        <f t="shared" si="2"/>
        <v>7.95</v>
      </c>
      <c r="N6" s="353">
        <f t="shared" si="3"/>
        <v>14</v>
      </c>
      <c r="O6" s="353"/>
    </row>
    <row r="7" spans="1:15" x14ac:dyDescent="0.25">
      <c r="A7" t="str">
        <f>PLANTILLA!D13</f>
        <v>S. Zobbe</v>
      </c>
      <c r="B7" s="148">
        <f>PLANTILLA!J13</f>
        <v>1.5281707142376506</v>
      </c>
      <c r="C7" s="238">
        <f>PLANTILLA!AC13</f>
        <v>6.95</v>
      </c>
      <c r="D7" s="238">
        <f>PLANTILLA!AD13</f>
        <v>16</v>
      </c>
      <c r="E7" s="148">
        <f>PLANTILLA!AI13</f>
        <v>17.98799691205523</v>
      </c>
      <c r="F7" s="148">
        <f>PLANTILLA!AJ13</f>
        <v>15.103061338262165</v>
      </c>
      <c r="G7" s="148">
        <f>PLANTILLA!AK13</f>
        <v>1.069753657139012</v>
      </c>
      <c r="H7" s="148">
        <f>PLANTILLA!AL13</f>
        <v>1.0263719499966355</v>
      </c>
      <c r="K7" t="str">
        <f>A13</f>
        <v>E. Toney</v>
      </c>
      <c r="L7" s="353">
        <f t="shared" si="1"/>
        <v>1.5281707142376506</v>
      </c>
      <c r="M7" s="353">
        <f t="shared" si="2"/>
        <v>6.95</v>
      </c>
      <c r="N7" s="353">
        <f t="shared" si="3"/>
        <v>16</v>
      </c>
      <c r="O7" s="353"/>
    </row>
    <row r="8" spans="1:15" x14ac:dyDescent="0.25">
      <c r="A8" t="str">
        <f>PLANTILLA!D12</f>
        <v>K. Helms</v>
      </c>
      <c r="B8" s="148">
        <f>PLANTILLA!J12</f>
        <v>1.5484906696466332</v>
      </c>
      <c r="C8" s="238">
        <f>PLANTILLA!AC12</f>
        <v>3.95</v>
      </c>
      <c r="D8" s="238">
        <f>PLANTILLA!AD12</f>
        <v>18</v>
      </c>
      <c r="E8" s="148">
        <f>PLANTILLA!AI12</f>
        <v>14.437390822086231</v>
      </c>
      <c r="F8" s="148">
        <f>PLANTILLA!AJ12</f>
        <v>15.584784011292559</v>
      </c>
      <c r="G8" s="148">
        <f>PLANTILLA!AK12</f>
        <v>0.98137925357173061</v>
      </c>
      <c r="H8" s="148">
        <f>PLANTILLA!AL12</f>
        <v>1.0434064680873854</v>
      </c>
      <c r="K8" t="e">
        <f>A14</f>
        <v>#REF!</v>
      </c>
      <c r="L8" s="353">
        <f t="shared" si="1"/>
        <v>1.5484906696466332</v>
      </c>
      <c r="M8" s="353">
        <f t="shared" si="2"/>
        <v>3.95</v>
      </c>
      <c r="N8" s="353">
        <f t="shared" si="3"/>
        <v>18</v>
      </c>
      <c r="O8" s="353"/>
    </row>
    <row r="9" spans="1:15" x14ac:dyDescent="0.25">
      <c r="A9" t="str">
        <f>PLANTILLA!D14</f>
        <v>S. Buschelman</v>
      </c>
      <c r="B9" s="148">
        <f>PLANTILLA!J14</f>
        <v>1.5982094492725636</v>
      </c>
      <c r="C9" s="238">
        <f>PLANTILLA!AC14</f>
        <v>3.95</v>
      </c>
      <c r="D9" s="238">
        <f>PLANTILLA!AD14</f>
        <v>16</v>
      </c>
      <c r="E9" s="148">
        <f>PLANTILLA!AI14</f>
        <v>13.520716438922031</v>
      </c>
      <c r="F9" s="148">
        <f>PLANTILLA!AJ14</f>
        <v>14.334666517124836</v>
      </c>
      <c r="G9" s="148">
        <f>PLANTILLA!AK14</f>
        <v>0.92535675594180522</v>
      </c>
      <c r="H9" s="148">
        <f>PLANTILLA!AL14</f>
        <v>1.0690213281157459</v>
      </c>
      <c r="K9" t="str">
        <f>A9</f>
        <v>S. Buschelman</v>
      </c>
      <c r="L9" s="353">
        <f t="shared" si="1"/>
        <v>1.5982094492725636</v>
      </c>
      <c r="M9" s="353">
        <f t="shared" si="2"/>
        <v>3.95</v>
      </c>
      <c r="N9" s="353">
        <f t="shared" si="3"/>
        <v>16</v>
      </c>
      <c r="O9" s="353"/>
    </row>
    <row r="10" spans="1:15" x14ac:dyDescent="0.25">
      <c r="A10" t="str">
        <f>PLANTILLA!D15</f>
        <v>C. Rojas</v>
      </c>
      <c r="B10" s="148">
        <f>PLANTILLA!J15</f>
        <v>1.5833609611152841</v>
      </c>
      <c r="C10" s="238">
        <f>PLANTILLA!AC15</f>
        <v>1.95</v>
      </c>
      <c r="D10" s="238">
        <f>PLANTILLA!AD15</f>
        <v>17.144444444444439</v>
      </c>
      <c r="E10" s="148">
        <f>PLANTILLA!AI15</f>
        <v>10.99936509241418</v>
      </c>
      <c r="F10" s="148">
        <f>PLANTILLA!AJ15</f>
        <v>14.507112197291844</v>
      </c>
      <c r="G10" s="148">
        <f>PLANTILLA!AK15</f>
        <v>0.85850221022255579</v>
      </c>
      <c r="H10" s="148">
        <f>PLANTILLA!AL15</f>
        <v>1.048168600611403</v>
      </c>
      <c r="K10" t="str">
        <f>A11</f>
        <v>B. Bartolache</v>
      </c>
      <c r="L10" s="353">
        <f t="shared" si="1"/>
        <v>1.5833609611152841</v>
      </c>
      <c r="M10" s="353">
        <f t="shared" si="2"/>
        <v>1.95</v>
      </c>
      <c r="N10" s="353">
        <f t="shared" si="3"/>
        <v>17.144444444444439</v>
      </c>
      <c r="O10" s="353"/>
    </row>
    <row r="11" spans="1:15" x14ac:dyDescent="0.25">
      <c r="A11" t="str">
        <f>PLANTILLA!D9</f>
        <v>B. Bartolache</v>
      </c>
      <c r="B11" s="148">
        <f>PLANTILLA!J9</f>
        <v>1.4762799595304912</v>
      </c>
      <c r="C11" s="238">
        <f>PLANTILLA!AC9</f>
        <v>2.95</v>
      </c>
      <c r="D11" s="238">
        <f>PLANTILLA!AD9</f>
        <v>16</v>
      </c>
      <c r="E11" s="148">
        <f>PLANTILLA!AI9</f>
        <v>6.774847293803357</v>
      </c>
      <c r="F11" s="148">
        <f>PLANTILLA!AJ9</f>
        <v>8.0505927735496563</v>
      </c>
      <c r="G11" s="148">
        <f>PLANTILLA!AK9</f>
        <v>0.86560239676243922</v>
      </c>
      <c r="H11" s="148">
        <f>PLANTILLA!AL9</f>
        <v>1.1663395971671342</v>
      </c>
      <c r="K11" t="str">
        <f>A12</f>
        <v>T. Hammond</v>
      </c>
      <c r="L11" s="353">
        <f t="shared" si="1"/>
        <v>1.4762799595304912</v>
      </c>
      <c r="M11" s="353">
        <f t="shared" si="2"/>
        <v>2.95</v>
      </c>
      <c r="N11" s="353">
        <f t="shared" si="3"/>
        <v>16</v>
      </c>
      <c r="O11" s="353"/>
    </row>
    <row r="12" spans="1:15" x14ac:dyDescent="0.25">
      <c r="A12" t="str">
        <f>PLANTILLA!D6</f>
        <v>T. Hammond</v>
      </c>
      <c r="B12" s="148">
        <f>PLANTILLA!J6</f>
        <v>1.2975038047995981</v>
      </c>
      <c r="C12" s="238">
        <f>PLANTILLA!AC6</f>
        <v>0</v>
      </c>
      <c r="D12" s="238">
        <f>PLANTILLA!AD6</f>
        <v>14.95</v>
      </c>
      <c r="E12" s="148">
        <f>PLANTILLA!AI6</f>
        <v>5.1440839357414436</v>
      </c>
      <c r="F12" s="148">
        <f>PLANTILLA!AJ6</f>
        <v>10.025510522727901</v>
      </c>
      <c r="G12" s="148">
        <f>PLANTILLA!AK6</f>
        <v>0.67230030438396782</v>
      </c>
      <c r="H12" s="148">
        <f>PLANTILLA!AL6</f>
        <v>0.96232526633597182</v>
      </c>
      <c r="M12" s="529">
        <f>AVERAGE(M2:M11)</f>
        <v>5.6500000000000012</v>
      </c>
      <c r="N12" s="529">
        <f>AVERAGE(N2:N11)</f>
        <v>16.19244444444444</v>
      </c>
      <c r="O12" s="530">
        <f>1.66*(M12+1.5)+0.55*(N12+1.5)-7.6</f>
        <v>13.999844444444443</v>
      </c>
    </row>
    <row r="13" spans="1:15" x14ac:dyDescent="0.25">
      <c r="A13" t="str">
        <f>PLANTILLA!D8</f>
        <v>E. Toney</v>
      </c>
      <c r="B13" s="148">
        <f>PLANTILLA!J8</f>
        <v>1.7050048012704384</v>
      </c>
      <c r="C13" s="238">
        <f>PLANTILLA!AC8</f>
        <v>1.95</v>
      </c>
      <c r="D13" s="238">
        <f>PLANTILLA!AD8</f>
        <v>17.177777777777774</v>
      </c>
      <c r="E13" s="148">
        <f>PLANTILLA!AI8</f>
        <v>10.283700384961968</v>
      </c>
      <c r="F13" s="148">
        <f>PLANTILLA!AJ8</f>
        <v>13.365649066204108</v>
      </c>
      <c r="G13" s="148">
        <f>PLANTILLA!AK8</f>
        <v>0.86923371743496813</v>
      </c>
      <c r="H13" s="148">
        <f>PLANTILLA!AL8</f>
        <v>1.2176836694222639</v>
      </c>
    </row>
    <row r="14" spans="1:15" x14ac:dyDescent="0.25">
      <c r="A14" t="e">
        <f>PLANTILLA!#REF!</f>
        <v>#REF!</v>
      </c>
      <c r="B14" s="148" t="e">
        <f>PLANTILLA!#REF!</f>
        <v>#REF!</v>
      </c>
      <c r="C14" s="238" t="e">
        <f>PLANTILLA!#REF!</f>
        <v>#REF!</v>
      </c>
      <c r="D14" s="238" t="e">
        <f>PLANTILLA!#REF!</f>
        <v>#REF!</v>
      </c>
      <c r="E14" s="148" t="e">
        <f>PLANTILLA!#REF!</f>
        <v>#REF!</v>
      </c>
      <c r="F14" s="148" t="e">
        <f>PLANTILLA!#REF!</f>
        <v>#REF!</v>
      </c>
      <c r="G14" s="148" t="e">
        <f>PLANTILLA!#REF!</f>
        <v>#REF!</v>
      </c>
      <c r="H14" s="148" t="e">
        <f>PLANTILLA!#REF!</f>
        <v>#REF!</v>
      </c>
    </row>
    <row r="15" spans="1:15" x14ac:dyDescent="0.25">
      <c r="A15" t="str">
        <f>PLANTILLA!D16</f>
        <v>E. Gross</v>
      </c>
      <c r="B15" s="148">
        <f>PLANTILLA!J16</f>
        <v>1.5322921502071731</v>
      </c>
      <c r="C15" s="238">
        <f>PLANTILLA!AC16</f>
        <v>0.95</v>
      </c>
      <c r="D15" s="238">
        <f>PLANTILLA!AD16</f>
        <v>17.3</v>
      </c>
      <c r="E15" s="148">
        <f>PLANTILLA!AI16</f>
        <v>8.6149663507556991</v>
      </c>
      <c r="F15" s="148">
        <f>PLANTILLA!AJ16</f>
        <v>13.038441599687436</v>
      </c>
      <c r="G15" s="148">
        <f>PLANTILLA!AK16</f>
        <v>0.80908337201657388</v>
      </c>
      <c r="H15" s="148">
        <f>PLANTILLA!AL16</f>
        <v>1.1532604505145021</v>
      </c>
    </row>
    <row r="16" spans="1:15" x14ac:dyDescent="0.25">
      <c r="A16" t="str">
        <f>PLANTILLA!D10</f>
        <v>F. Lasprilla</v>
      </c>
      <c r="B16" s="148">
        <f>PLANTILLA!J10</f>
        <v>1.1510971468272746</v>
      </c>
      <c r="C16" s="238">
        <f>PLANTILLA!AC10</f>
        <v>2.95</v>
      </c>
      <c r="D16" s="238">
        <f>PLANTILLA!AD10</f>
        <v>13.33611111111111</v>
      </c>
      <c r="E16" s="148">
        <f>PLANTILLA!AI10</f>
        <v>7.9302886569321078</v>
      </c>
      <c r="F16" s="148">
        <f>PLANTILLA!AJ10</f>
        <v>9.729844880565059</v>
      </c>
      <c r="G16" s="148">
        <f>PLANTILLA!AK10</f>
        <v>0.7596711050795153</v>
      </c>
      <c r="H16" s="148">
        <f>PLANTILLA!AL10</f>
        <v>0.96984680027790904</v>
      </c>
    </row>
    <row r="17" spans="1:8" x14ac:dyDescent="0.25">
      <c r="A17" t="str">
        <f>PLANTILLA!D18</f>
        <v>W. Gelifini</v>
      </c>
      <c r="B17" s="148">
        <f>PLANTILLA!J18</f>
        <v>0.98715025265899181</v>
      </c>
      <c r="C17" s="238">
        <f>PLANTILLA!AC18</f>
        <v>2.95</v>
      </c>
      <c r="D17" s="238">
        <f>PLANTILLA!AD18</f>
        <v>12.847222222222223</v>
      </c>
      <c r="E17" s="148">
        <f>PLANTILLA!AI18</f>
        <v>7.4531375941235565</v>
      </c>
      <c r="F17" s="148">
        <f>PLANTILLA!AJ18</f>
        <v>9.3472169939048939</v>
      </c>
      <c r="G17" s="148">
        <f>PLANTILLA!AK18</f>
        <v>0.73188868687938613</v>
      </c>
      <c r="H17" s="148">
        <f>PLANTILLA!AL18</f>
        <v>0.78557940657501812</v>
      </c>
    </row>
    <row r="18" spans="1:8" x14ac:dyDescent="0.25">
      <c r="A18" t="str">
        <f>PLANTILLA!D5</f>
        <v>D. Gehmacher</v>
      </c>
      <c r="B18" s="148">
        <f>PLANTILLA!J5</f>
        <v>1.8569292710128877</v>
      </c>
      <c r="C18" s="238">
        <f>PLANTILLA!AC5</f>
        <v>0</v>
      </c>
      <c r="D18" s="238">
        <f>PLANTILLA!AD5</f>
        <v>18.2</v>
      </c>
      <c r="E18" s="148">
        <f ca="1">PLANTILLA!AI5</f>
        <v>8.0766820598901763</v>
      </c>
      <c r="F18" s="148">
        <f ca="1">PLANTILLA!AJ5</f>
        <v>14.439950613834577</v>
      </c>
      <c r="G18" s="148">
        <f ca="1">PLANTILLA!AK5</f>
        <v>0.77455434168103099</v>
      </c>
      <c r="H18" s="148">
        <f ca="1">PLANTILLA!AL5</f>
        <v>1.2239850489709021</v>
      </c>
    </row>
    <row r="19" spans="1:8" x14ac:dyDescent="0.25">
      <c r="A19" t="str">
        <f>PLANTILLA!D19</f>
        <v>G. Kerschl</v>
      </c>
      <c r="B19" s="148">
        <f>PLANTILLA!J19</f>
        <v>1.5444833227936663</v>
      </c>
      <c r="C19" s="238">
        <f>PLANTILLA!AC19</f>
        <v>7.95</v>
      </c>
      <c r="D19" s="238">
        <f>PLANTILLA!AD19</f>
        <v>7</v>
      </c>
      <c r="E19" s="148">
        <f ca="1">PLANTILLA!AI19</f>
        <v>12.736735047442352</v>
      </c>
      <c r="F19" s="148">
        <f ca="1">PLANTILLA!AJ19</f>
        <v>8.3074296520420639</v>
      </c>
      <c r="G19" s="148">
        <f ca="1">PLANTILLA!AK19</f>
        <v>0.81105866582349329</v>
      </c>
      <c r="H19" s="148">
        <f ca="1">PLANTILLA!AL19</f>
        <v>0.50811383259555665</v>
      </c>
    </row>
    <row r="20" spans="1:8" x14ac:dyDescent="0.25">
      <c r="A20" t="str">
        <f>PLANTILLA!D7</f>
        <v>B. Pinczehelyi</v>
      </c>
      <c r="B20" s="148">
        <f>PLANTILLA!J7</f>
        <v>1.7347066608853083</v>
      </c>
      <c r="C20" s="238">
        <f>PLANTILLA!AC7</f>
        <v>0</v>
      </c>
      <c r="D20" s="238">
        <f>PLANTILLA!AD7</f>
        <v>11.25</v>
      </c>
      <c r="E20" s="148">
        <f ca="1">PLANTILLA!AI7</f>
        <v>3.9140798386343785</v>
      </c>
      <c r="F20" s="148">
        <f ca="1">PLANTILLA!AJ7</f>
        <v>8.9668387258687012</v>
      </c>
      <c r="G20" s="148">
        <f ca="1">PLANTILLA!AK7</f>
        <v>0.55627653287082457</v>
      </c>
      <c r="H20" s="148">
        <f ca="1">PLANTILLA!AL7</f>
        <v>1.1009294662619715</v>
      </c>
    </row>
  </sheetData>
  <sortState ref="A2:H20">
    <sortCondition descending="1" ref="E2:E20"/>
  </sortState>
  <conditionalFormatting sqref="E2:E20">
    <cfRule type="cellIs" dxfId="167" priority="4" operator="lessThan">
      <formula>11</formula>
    </cfRule>
    <cfRule type="cellIs" dxfId="166" priority="5" operator="between">
      <formula>11</formula>
      <formula>15</formula>
    </cfRule>
    <cfRule type="cellIs" dxfId="165" priority="6" operator="greaterThan">
      <formula>15</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8"/>
  <sheetViews>
    <sheetView workbookViewId="0">
      <selection activeCell="L10" sqref="L10"/>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63" bestFit="1" customWidth="1"/>
    <col min="23" max="24" width="5.5703125" bestFit="1" customWidth="1"/>
    <col min="25" max="26" width="4.5703125" bestFit="1" customWidth="1"/>
  </cols>
  <sheetData>
    <row r="1" spans="1:26" x14ac:dyDescent="0.25">
      <c r="A1" s="263">
        <v>41900</v>
      </c>
      <c r="E1" s="311" t="s">
        <v>437</v>
      </c>
      <c r="F1" s="312" t="s">
        <v>438</v>
      </c>
      <c r="G1" s="10"/>
      <c r="H1" s="10"/>
      <c r="I1" s="313" t="s">
        <v>437</v>
      </c>
      <c r="J1" s="314" t="s">
        <v>438</v>
      </c>
      <c r="K1" s="9"/>
      <c r="P1" s="311" t="s">
        <v>437</v>
      </c>
      <c r="Q1" s="312" t="s">
        <v>438</v>
      </c>
      <c r="R1" s="311"/>
      <c r="S1" s="312"/>
      <c r="W1" s="311" t="s">
        <v>437</v>
      </c>
      <c r="X1" s="312" t="s">
        <v>438</v>
      </c>
      <c r="Y1" s="311"/>
      <c r="Z1" s="312"/>
    </row>
    <row r="2" spans="1:26" x14ac:dyDescent="0.25">
      <c r="A2" s="310" t="s">
        <v>174</v>
      </c>
      <c r="B2" s="310" t="s">
        <v>439</v>
      </c>
      <c r="C2" s="310" t="s">
        <v>440</v>
      </c>
      <c r="D2" s="310" t="s">
        <v>182</v>
      </c>
      <c r="E2" s="311" t="s">
        <v>170</v>
      </c>
      <c r="F2" s="312" t="s">
        <v>170</v>
      </c>
      <c r="G2" s="10" t="s">
        <v>178</v>
      </c>
      <c r="H2" s="10" t="s">
        <v>178</v>
      </c>
      <c r="I2" s="313" t="s">
        <v>441</v>
      </c>
      <c r="J2" s="314" t="s">
        <v>441</v>
      </c>
      <c r="K2" s="9"/>
      <c r="P2" s="311" t="s">
        <v>170</v>
      </c>
      <c r="Q2" s="312" t="s">
        <v>170</v>
      </c>
      <c r="R2" s="311" t="s">
        <v>178</v>
      </c>
      <c r="S2" s="312" t="s">
        <v>178</v>
      </c>
      <c r="W2" s="311" t="s">
        <v>170</v>
      </c>
      <c r="X2" s="312" t="s">
        <v>170</v>
      </c>
      <c r="Y2" s="311" t="s">
        <v>178</v>
      </c>
      <c r="Z2" s="312" t="s">
        <v>178</v>
      </c>
    </row>
    <row r="3" spans="1:26" x14ac:dyDescent="0.25">
      <c r="A3" s="320" t="str">
        <f>PLANTILLA!D5</f>
        <v>D. Gehmacher</v>
      </c>
      <c r="B3" s="154">
        <f>PLANTILLA!E5</f>
        <v>34</v>
      </c>
      <c r="C3" s="154">
        <f>PLANTILLA!H5</f>
        <v>6</v>
      </c>
      <c r="D3" s="322">
        <f>PLANTILLA!I5</f>
        <v>23.7</v>
      </c>
      <c r="E3" s="315">
        <f>D3</f>
        <v>23.7</v>
      </c>
      <c r="F3" s="315">
        <f>E3+0.1</f>
        <v>23.8</v>
      </c>
      <c r="G3" s="315">
        <f>C3</f>
        <v>6</v>
      </c>
      <c r="H3" s="315">
        <f t="shared" ref="H3" si="0">G3+0.99</f>
        <v>6.99</v>
      </c>
      <c r="I3" s="319">
        <f t="shared" ref="I3:J3" si="1">G3*G3*E3</f>
        <v>853.19999999999993</v>
      </c>
      <c r="J3" s="319">
        <f t="shared" si="1"/>
        <v>1162.8703800000001</v>
      </c>
      <c r="K3" s="316"/>
      <c r="N3" s="4" t="s">
        <v>441</v>
      </c>
      <c r="O3" t="str">
        <f>A3</f>
        <v>D. Gehmacher</v>
      </c>
      <c r="P3" s="317">
        <f>E3</f>
        <v>23.7</v>
      </c>
      <c r="Q3" s="317">
        <f t="shared" ref="Q3:S3" si="2">F3</f>
        <v>23.8</v>
      </c>
      <c r="R3" s="317">
        <f t="shared" si="2"/>
        <v>6</v>
      </c>
      <c r="S3" s="317">
        <f t="shared" si="2"/>
        <v>6.99</v>
      </c>
      <c r="U3" s="4" t="s">
        <v>441</v>
      </c>
      <c r="V3" s="163" t="str">
        <f>O3</f>
        <v>D. Gehmacher</v>
      </c>
      <c r="W3" s="317">
        <f>P3</f>
        <v>23.7</v>
      </c>
      <c r="X3" s="317">
        <f t="shared" ref="X3:Z3" si="3">Q3</f>
        <v>23.8</v>
      </c>
      <c r="Y3" s="317">
        <f t="shared" si="3"/>
        <v>6</v>
      </c>
      <c r="Z3" s="317">
        <f t="shared" si="3"/>
        <v>6.99</v>
      </c>
    </row>
    <row r="4" spans="1:26" x14ac:dyDescent="0.25">
      <c r="A4" s="320" t="str">
        <f>PLANTILLA!D6</f>
        <v>T. Hammond</v>
      </c>
      <c r="B4" s="154">
        <f>PLANTILLA!E6</f>
        <v>39</v>
      </c>
      <c r="C4" s="154">
        <f>PLANTILLA!H6</f>
        <v>3</v>
      </c>
      <c r="D4" s="322">
        <f>PLANTILLA!I6</f>
        <v>8.4</v>
      </c>
      <c r="E4" s="315">
        <f t="shared" ref="E4:E22" si="4">D4</f>
        <v>8.4</v>
      </c>
      <c r="F4" s="315">
        <f t="shared" ref="F4:F22" si="5">E4+0.1</f>
        <v>8.5</v>
      </c>
      <c r="G4" s="315">
        <f t="shared" ref="G4:G22" si="6">C4</f>
        <v>3</v>
      </c>
      <c r="H4" s="315">
        <f t="shared" ref="H4:H22" si="7">G4+0.99</f>
        <v>3.99</v>
      </c>
      <c r="I4" s="319">
        <f t="shared" ref="I4:I22" si="8">G4*G4*E4</f>
        <v>75.600000000000009</v>
      </c>
      <c r="J4" s="319">
        <f t="shared" ref="J4:J22" si="9">H4*H4*F4</f>
        <v>135.32085000000001</v>
      </c>
      <c r="K4" s="316"/>
      <c r="O4" t="str">
        <f>A7</f>
        <v>E. Toney</v>
      </c>
      <c r="P4" s="317">
        <f>E7</f>
        <v>18</v>
      </c>
      <c r="Q4" s="317">
        <f t="shared" ref="Q4:S4" si="10">F7</f>
        <v>18.100000000000001</v>
      </c>
      <c r="R4" s="317">
        <f t="shared" si="10"/>
        <v>4</v>
      </c>
      <c r="S4" s="317">
        <f t="shared" si="10"/>
        <v>4.99</v>
      </c>
      <c r="V4" s="163" t="str">
        <f t="shared" ref="V4:V13" si="11">O4</f>
        <v>E. Toney</v>
      </c>
      <c r="W4" s="317">
        <f t="shared" ref="W4:W13" si="12">P4</f>
        <v>18</v>
      </c>
      <c r="X4" s="317">
        <f t="shared" ref="X4:X13" si="13">Q4</f>
        <v>18.100000000000001</v>
      </c>
      <c r="Y4" s="317">
        <f t="shared" ref="Y4:Y13" si="14">R4</f>
        <v>4</v>
      </c>
      <c r="Z4" s="317">
        <f t="shared" ref="Z4:Z13" si="15">S4</f>
        <v>4.99</v>
      </c>
    </row>
    <row r="5" spans="1:26" x14ac:dyDescent="0.25">
      <c r="A5" s="320" t="str">
        <f>PLANTILLA!D7</f>
        <v>B. Pinczehelyi</v>
      </c>
      <c r="B5" s="154">
        <f>PLANTILLA!E7</f>
        <v>35</v>
      </c>
      <c r="C5" s="154">
        <f>PLANTILLA!H7</f>
        <v>2</v>
      </c>
      <c r="D5" s="322">
        <f>PLANTILLA!I7</f>
        <v>19</v>
      </c>
      <c r="E5" s="315">
        <f t="shared" si="4"/>
        <v>19</v>
      </c>
      <c r="F5" s="315">
        <f t="shared" si="5"/>
        <v>19.100000000000001</v>
      </c>
      <c r="G5" s="315">
        <f t="shared" si="6"/>
        <v>2</v>
      </c>
      <c r="H5" s="315">
        <f t="shared" si="7"/>
        <v>2.99</v>
      </c>
      <c r="I5" s="319">
        <f t="shared" si="8"/>
        <v>76</v>
      </c>
      <c r="J5" s="319">
        <f t="shared" si="9"/>
        <v>170.75591000000003</v>
      </c>
      <c r="K5" s="316"/>
      <c r="L5" s="162"/>
      <c r="O5" t="str">
        <f>A15</f>
        <v>E. Gross</v>
      </c>
      <c r="P5" s="317">
        <f>E15</f>
        <v>13.1</v>
      </c>
      <c r="Q5" s="317">
        <f t="shared" ref="Q5:S5" si="16">F15</f>
        <v>13.2</v>
      </c>
      <c r="R5" s="317">
        <f t="shared" si="16"/>
        <v>3</v>
      </c>
      <c r="S5" s="317">
        <f t="shared" si="16"/>
        <v>3.99</v>
      </c>
      <c r="V5" s="163" t="str">
        <f t="shared" si="11"/>
        <v>E. Gross</v>
      </c>
      <c r="W5" s="317">
        <f t="shared" si="12"/>
        <v>13.1</v>
      </c>
      <c r="X5" s="317">
        <f t="shared" si="13"/>
        <v>13.2</v>
      </c>
      <c r="Y5" s="317">
        <f t="shared" si="14"/>
        <v>3</v>
      </c>
      <c r="Z5" s="317">
        <f t="shared" si="15"/>
        <v>3.99</v>
      </c>
    </row>
    <row r="6" spans="1:26" x14ac:dyDescent="0.25">
      <c r="A6" s="320" t="e">
        <f>PLANTILLA!#REF!</f>
        <v>#REF!</v>
      </c>
      <c r="B6" s="154" t="e">
        <f>PLANTILLA!#REF!</f>
        <v>#REF!</v>
      </c>
      <c r="C6" s="154" t="e">
        <f>PLANTILLA!#REF!</f>
        <v>#REF!</v>
      </c>
      <c r="D6" s="322" t="e">
        <f>PLANTILLA!#REF!</f>
        <v>#REF!</v>
      </c>
      <c r="E6" s="315" t="e">
        <f t="shared" si="4"/>
        <v>#REF!</v>
      </c>
      <c r="F6" s="315" t="e">
        <f t="shared" si="5"/>
        <v>#REF!</v>
      </c>
      <c r="G6" s="315" t="e">
        <f t="shared" si="6"/>
        <v>#REF!</v>
      </c>
      <c r="H6" s="315" t="e">
        <f t="shared" si="7"/>
        <v>#REF!</v>
      </c>
      <c r="I6" s="319" t="e">
        <f t="shared" si="8"/>
        <v>#REF!</v>
      </c>
      <c r="J6" s="319" t="e">
        <f t="shared" si="9"/>
        <v>#REF!</v>
      </c>
      <c r="K6" s="316"/>
      <c r="O6" t="str">
        <f>A5</f>
        <v>B. Pinczehelyi</v>
      </c>
      <c r="P6" s="317">
        <f>E5</f>
        <v>19</v>
      </c>
      <c r="Q6" s="317">
        <f t="shared" ref="Q6:S6" si="17">F5</f>
        <v>19.100000000000001</v>
      </c>
      <c r="R6" s="317">
        <f t="shared" si="17"/>
        <v>2</v>
      </c>
      <c r="S6" s="317">
        <f t="shared" si="17"/>
        <v>2.99</v>
      </c>
      <c r="V6" s="163" t="str">
        <f t="shared" si="11"/>
        <v>B. Pinczehelyi</v>
      </c>
      <c r="W6" s="317">
        <f t="shared" si="12"/>
        <v>19</v>
      </c>
      <c r="X6" s="317">
        <f t="shared" si="13"/>
        <v>19.100000000000001</v>
      </c>
      <c r="Y6" s="317">
        <f t="shared" si="14"/>
        <v>2</v>
      </c>
      <c r="Z6" s="317">
        <f t="shared" si="15"/>
        <v>2.99</v>
      </c>
    </row>
    <row r="7" spans="1:26" x14ac:dyDescent="0.25">
      <c r="A7" s="320" t="str">
        <f>PLANTILLA!D8</f>
        <v>E. Toney</v>
      </c>
      <c r="B7" s="154">
        <f>PLANTILLA!E8</f>
        <v>36</v>
      </c>
      <c r="C7" s="154">
        <f>PLANTILLA!H8</f>
        <v>4</v>
      </c>
      <c r="D7" s="322">
        <f>PLANTILLA!I8</f>
        <v>18</v>
      </c>
      <c r="E7" s="315">
        <f t="shared" si="4"/>
        <v>18</v>
      </c>
      <c r="F7" s="315">
        <f t="shared" si="5"/>
        <v>18.100000000000001</v>
      </c>
      <c r="G7" s="315">
        <f t="shared" si="6"/>
        <v>4</v>
      </c>
      <c r="H7" s="315">
        <f t="shared" si="7"/>
        <v>4.99</v>
      </c>
      <c r="I7" s="319">
        <f t="shared" si="8"/>
        <v>288</v>
      </c>
      <c r="J7" s="319">
        <f t="shared" si="9"/>
        <v>450.69181000000009</v>
      </c>
      <c r="K7" s="316"/>
      <c r="O7" t="str">
        <f>A10</f>
        <v>E. Romweber</v>
      </c>
      <c r="P7" s="317">
        <f>E10</f>
        <v>17.100000000000001</v>
      </c>
      <c r="Q7" s="317">
        <f t="shared" ref="Q7:S7" si="18">F10</f>
        <v>17.200000000000003</v>
      </c>
      <c r="R7" s="317">
        <f t="shared" si="18"/>
        <v>0</v>
      </c>
      <c r="S7" s="317">
        <f t="shared" si="18"/>
        <v>0.99</v>
      </c>
      <c r="V7" s="163" t="str">
        <f t="shared" si="11"/>
        <v>E. Romweber</v>
      </c>
      <c r="W7" s="317">
        <f t="shared" si="12"/>
        <v>17.100000000000001</v>
      </c>
      <c r="X7" s="317">
        <f t="shared" si="13"/>
        <v>17.200000000000003</v>
      </c>
      <c r="Y7" s="317">
        <f t="shared" si="14"/>
        <v>0</v>
      </c>
      <c r="Z7" s="317">
        <f t="shared" si="15"/>
        <v>0.99</v>
      </c>
    </row>
    <row r="8" spans="1:26" x14ac:dyDescent="0.25">
      <c r="A8" s="320" t="str">
        <f>PLANTILLA!D9</f>
        <v>B. Bartolache</v>
      </c>
      <c r="B8" s="154">
        <f>PLANTILLA!E9</f>
        <v>35</v>
      </c>
      <c r="C8" s="154">
        <f>PLANTILLA!H9</f>
        <v>3</v>
      </c>
      <c r="D8" s="322">
        <f>PLANTILLA!I9</f>
        <v>11.8</v>
      </c>
      <c r="E8" s="315">
        <f t="shared" si="4"/>
        <v>11.8</v>
      </c>
      <c r="F8" s="315">
        <f t="shared" si="5"/>
        <v>11.9</v>
      </c>
      <c r="G8" s="315">
        <f t="shared" si="6"/>
        <v>3</v>
      </c>
      <c r="H8" s="315">
        <f t="shared" si="7"/>
        <v>3.99</v>
      </c>
      <c r="I8" s="319">
        <f t="shared" si="8"/>
        <v>106.2</v>
      </c>
      <c r="J8" s="319">
        <f t="shared" si="9"/>
        <v>189.44919000000002</v>
      </c>
      <c r="K8" s="316"/>
      <c r="O8" t="str">
        <f>A13</f>
        <v>S. Buschelman</v>
      </c>
      <c r="P8" s="317">
        <f>E13</f>
        <v>14.8</v>
      </c>
      <c r="Q8" s="317">
        <f t="shared" ref="Q8:S8" si="19">F13</f>
        <v>14.9</v>
      </c>
      <c r="R8" s="317">
        <f t="shared" si="19"/>
        <v>3</v>
      </c>
      <c r="S8" s="317">
        <f t="shared" si="19"/>
        <v>3.99</v>
      </c>
      <c r="V8" s="163" t="str">
        <f t="shared" si="11"/>
        <v>S. Buschelman</v>
      </c>
      <c r="W8" s="317">
        <f t="shared" si="12"/>
        <v>14.8</v>
      </c>
      <c r="X8" s="317">
        <f t="shared" si="13"/>
        <v>14.9</v>
      </c>
      <c r="Y8" s="317">
        <f t="shared" si="14"/>
        <v>3</v>
      </c>
      <c r="Z8" s="317">
        <f t="shared" si="15"/>
        <v>3.99</v>
      </c>
    </row>
    <row r="9" spans="1:26" x14ac:dyDescent="0.25">
      <c r="A9" s="320" t="str">
        <f>PLANTILLA!D10</f>
        <v>F. Lasprilla</v>
      </c>
      <c r="B9" s="154">
        <f>PLANTILLA!E10</f>
        <v>32</v>
      </c>
      <c r="C9" s="154">
        <f>PLANTILLA!H10</f>
        <v>4</v>
      </c>
      <c r="D9" s="322">
        <f>PLANTILLA!I10</f>
        <v>6.3</v>
      </c>
      <c r="E9" s="315">
        <f t="shared" si="4"/>
        <v>6.3</v>
      </c>
      <c r="F9" s="315">
        <f t="shared" si="5"/>
        <v>6.3999999999999995</v>
      </c>
      <c r="G9" s="315">
        <f t="shared" si="6"/>
        <v>4</v>
      </c>
      <c r="H9" s="315">
        <f t="shared" si="7"/>
        <v>4.99</v>
      </c>
      <c r="I9" s="319">
        <f t="shared" si="8"/>
        <v>100.8</v>
      </c>
      <c r="J9" s="319">
        <f t="shared" si="9"/>
        <v>159.36063999999999</v>
      </c>
      <c r="K9" s="316"/>
      <c r="O9" t="str">
        <f>A16</f>
        <v>L. Bauman</v>
      </c>
      <c r="P9" s="317">
        <f>E16</f>
        <v>12</v>
      </c>
      <c r="Q9" s="317">
        <f t="shared" ref="Q9:S9" si="20">F16</f>
        <v>12.1</v>
      </c>
      <c r="R9" s="317">
        <f t="shared" si="20"/>
        <v>0</v>
      </c>
      <c r="S9" s="317">
        <f t="shared" si="20"/>
        <v>0.99</v>
      </c>
      <c r="V9" s="163" t="str">
        <f t="shared" si="11"/>
        <v>L. Bauman</v>
      </c>
      <c r="W9" s="317">
        <f t="shared" si="12"/>
        <v>12</v>
      </c>
      <c r="X9" s="317">
        <f t="shared" si="13"/>
        <v>12.1</v>
      </c>
      <c r="Y9" s="317">
        <f t="shared" si="14"/>
        <v>0</v>
      </c>
      <c r="Z9" s="317">
        <f t="shared" si="15"/>
        <v>0.99</v>
      </c>
    </row>
    <row r="10" spans="1:26" x14ac:dyDescent="0.25">
      <c r="A10" s="320" t="str">
        <f>PLANTILLA!D11</f>
        <v>E. Romweber</v>
      </c>
      <c r="B10" s="154">
        <f>PLANTILLA!E11</f>
        <v>35</v>
      </c>
      <c r="C10" s="154">
        <f>PLANTILLA!H11</f>
        <v>0</v>
      </c>
      <c r="D10" s="322">
        <f>PLANTILLA!I11</f>
        <v>17.100000000000001</v>
      </c>
      <c r="E10" s="315">
        <f t="shared" si="4"/>
        <v>17.100000000000001</v>
      </c>
      <c r="F10" s="315">
        <f t="shared" si="5"/>
        <v>17.200000000000003</v>
      </c>
      <c r="G10" s="315">
        <f t="shared" si="6"/>
        <v>0</v>
      </c>
      <c r="H10" s="315">
        <f t="shared" si="7"/>
        <v>0.99</v>
      </c>
      <c r="I10" s="319">
        <f t="shared" si="8"/>
        <v>0</v>
      </c>
      <c r="J10" s="319">
        <f t="shared" si="9"/>
        <v>16.857720000000004</v>
      </c>
      <c r="K10" s="316"/>
      <c r="O10" t="str">
        <f>A14</f>
        <v>C. Rojas</v>
      </c>
      <c r="P10" s="317">
        <f>E14</f>
        <v>14.4</v>
      </c>
      <c r="Q10" s="317">
        <f t="shared" ref="Q10:S10" si="21">F14</f>
        <v>14.5</v>
      </c>
      <c r="R10" s="317">
        <f t="shared" si="21"/>
        <v>4</v>
      </c>
      <c r="S10" s="317">
        <f t="shared" si="21"/>
        <v>4.99</v>
      </c>
      <c r="V10" s="163" t="str">
        <f t="shared" si="11"/>
        <v>C. Rojas</v>
      </c>
      <c r="W10" s="317">
        <f t="shared" si="12"/>
        <v>14.4</v>
      </c>
      <c r="X10" s="317">
        <f t="shared" si="13"/>
        <v>14.5</v>
      </c>
      <c r="Y10" s="317">
        <f t="shared" si="14"/>
        <v>4</v>
      </c>
      <c r="Z10" s="317">
        <f t="shared" si="15"/>
        <v>4.99</v>
      </c>
    </row>
    <row r="11" spans="1:26" x14ac:dyDescent="0.25">
      <c r="A11" s="320" t="str">
        <f>PLANTILLA!D12</f>
        <v>K. Helms</v>
      </c>
      <c r="B11" s="154">
        <f>PLANTILLA!E12</f>
        <v>35</v>
      </c>
      <c r="C11" s="154">
        <f>PLANTILLA!H12</f>
        <v>2</v>
      </c>
      <c r="D11" s="322">
        <f>PLANTILLA!I12</f>
        <v>13.5</v>
      </c>
      <c r="E11" s="315">
        <f t="shared" si="4"/>
        <v>13.5</v>
      </c>
      <c r="F11" s="315">
        <f t="shared" si="5"/>
        <v>13.6</v>
      </c>
      <c r="G11" s="315">
        <f t="shared" si="6"/>
        <v>2</v>
      </c>
      <c r="H11" s="315">
        <f t="shared" si="7"/>
        <v>2.99</v>
      </c>
      <c r="I11" s="319">
        <f t="shared" si="8"/>
        <v>54</v>
      </c>
      <c r="J11" s="319">
        <f t="shared" si="9"/>
        <v>121.58536000000001</v>
      </c>
      <c r="K11" s="316"/>
      <c r="O11" t="str">
        <f>A11</f>
        <v>K. Helms</v>
      </c>
      <c r="P11" s="317">
        <f>E11</f>
        <v>13.5</v>
      </c>
      <c r="Q11" s="317">
        <f t="shared" ref="Q11:S11" si="22">F11</f>
        <v>13.6</v>
      </c>
      <c r="R11" s="317">
        <f t="shared" si="22"/>
        <v>2</v>
      </c>
      <c r="S11" s="317">
        <f t="shared" si="22"/>
        <v>2.99</v>
      </c>
      <c r="V11" s="163" t="str">
        <f t="shared" si="11"/>
        <v>K. Helms</v>
      </c>
      <c r="W11" s="317">
        <f t="shared" si="12"/>
        <v>13.5</v>
      </c>
      <c r="X11" s="317">
        <f t="shared" si="13"/>
        <v>13.6</v>
      </c>
      <c r="Y11" s="317">
        <f t="shared" si="14"/>
        <v>2</v>
      </c>
      <c r="Z11" s="317">
        <f t="shared" si="15"/>
        <v>2.99</v>
      </c>
    </row>
    <row r="12" spans="1:26" x14ac:dyDescent="0.25">
      <c r="A12" s="320" t="str">
        <f>PLANTILLA!D13</f>
        <v>S. Zobbe</v>
      </c>
      <c r="B12" s="154">
        <f>PLANTILLA!E13</f>
        <v>32</v>
      </c>
      <c r="C12" s="154">
        <f>PLANTILLA!H13</f>
        <v>2</v>
      </c>
      <c r="D12" s="322">
        <f>PLANTILLA!I13</f>
        <v>13</v>
      </c>
      <c r="E12" s="315">
        <f t="shared" si="4"/>
        <v>13</v>
      </c>
      <c r="F12" s="315">
        <f t="shared" si="5"/>
        <v>13.1</v>
      </c>
      <c r="G12" s="315">
        <f t="shared" si="6"/>
        <v>2</v>
      </c>
      <c r="H12" s="315">
        <f t="shared" si="7"/>
        <v>2.99</v>
      </c>
      <c r="I12" s="319">
        <f t="shared" si="8"/>
        <v>52</v>
      </c>
      <c r="J12" s="319">
        <f t="shared" si="9"/>
        <v>117.11531000000001</v>
      </c>
      <c r="K12" s="316"/>
      <c r="O12" t="str">
        <f>A21</f>
        <v>L. Calosso</v>
      </c>
      <c r="P12" s="317">
        <f>E21</f>
        <v>15.4</v>
      </c>
      <c r="Q12" s="317">
        <f t="shared" ref="Q12:S12" si="23">F21</f>
        <v>15.5</v>
      </c>
      <c r="R12" s="317">
        <f t="shared" si="23"/>
        <v>3</v>
      </c>
      <c r="S12" s="317">
        <f t="shared" si="23"/>
        <v>3.99</v>
      </c>
      <c r="V12" s="163" t="str">
        <f t="shared" si="11"/>
        <v>L. Calosso</v>
      </c>
      <c r="W12" s="317">
        <f t="shared" si="12"/>
        <v>15.4</v>
      </c>
      <c r="X12" s="317">
        <f t="shared" si="13"/>
        <v>15.5</v>
      </c>
      <c r="Y12" s="317">
        <f t="shared" si="14"/>
        <v>3</v>
      </c>
      <c r="Z12" s="317">
        <f t="shared" si="15"/>
        <v>3.99</v>
      </c>
    </row>
    <row r="13" spans="1:26" x14ac:dyDescent="0.25">
      <c r="A13" s="320" t="str">
        <f>PLANTILLA!D14</f>
        <v>S. Buschelman</v>
      </c>
      <c r="B13" s="154">
        <f>PLANTILLA!E14</f>
        <v>34</v>
      </c>
      <c r="C13" s="154">
        <f>PLANTILLA!H14</f>
        <v>3</v>
      </c>
      <c r="D13" s="322">
        <f>PLANTILLA!I14</f>
        <v>14.8</v>
      </c>
      <c r="E13" s="315">
        <f t="shared" si="4"/>
        <v>14.8</v>
      </c>
      <c r="F13" s="315">
        <f t="shared" si="5"/>
        <v>14.9</v>
      </c>
      <c r="G13" s="315">
        <f t="shared" si="6"/>
        <v>3</v>
      </c>
      <c r="H13" s="315">
        <f t="shared" si="7"/>
        <v>3.99</v>
      </c>
      <c r="I13" s="319">
        <f t="shared" si="8"/>
        <v>133.20000000000002</v>
      </c>
      <c r="J13" s="319">
        <f t="shared" si="9"/>
        <v>237.20949000000002</v>
      </c>
      <c r="K13" s="316"/>
      <c r="O13" t="str">
        <f>A20</f>
        <v>J. Limon</v>
      </c>
      <c r="P13" s="317">
        <f>E20</f>
        <v>14.3</v>
      </c>
      <c r="Q13" s="317">
        <f t="shared" ref="Q13:S13" si="24">F20</f>
        <v>14.4</v>
      </c>
      <c r="R13" s="317">
        <f t="shared" si="24"/>
        <v>3</v>
      </c>
      <c r="S13" s="317">
        <f t="shared" si="24"/>
        <v>3.99</v>
      </c>
      <c r="V13" s="163" t="str">
        <f t="shared" si="11"/>
        <v>J. Limon</v>
      </c>
      <c r="W13" s="317">
        <f t="shared" si="12"/>
        <v>14.3</v>
      </c>
      <c r="X13" s="317">
        <f t="shared" si="13"/>
        <v>14.4</v>
      </c>
      <c r="Y13" s="317">
        <f t="shared" si="14"/>
        <v>3</v>
      </c>
      <c r="Z13" s="317">
        <f t="shared" si="15"/>
        <v>3.99</v>
      </c>
    </row>
    <row r="14" spans="1:26" x14ac:dyDescent="0.25">
      <c r="A14" s="320" t="str">
        <f>PLANTILLA!D15</f>
        <v>C. Rojas</v>
      </c>
      <c r="B14" s="154">
        <f>PLANTILLA!E15</f>
        <v>36</v>
      </c>
      <c r="C14" s="154">
        <f>PLANTILLA!H15</f>
        <v>4</v>
      </c>
      <c r="D14" s="322">
        <f>PLANTILLA!I15</f>
        <v>14.4</v>
      </c>
      <c r="E14" s="315">
        <f t="shared" si="4"/>
        <v>14.4</v>
      </c>
      <c r="F14" s="315">
        <f t="shared" si="5"/>
        <v>14.5</v>
      </c>
      <c r="G14" s="315">
        <f t="shared" si="6"/>
        <v>4</v>
      </c>
      <c r="H14" s="315">
        <f t="shared" si="7"/>
        <v>4.99</v>
      </c>
      <c r="I14" s="319">
        <f t="shared" si="8"/>
        <v>230.4</v>
      </c>
      <c r="J14" s="319">
        <f t="shared" si="9"/>
        <v>361.05145000000005</v>
      </c>
      <c r="K14" s="316"/>
      <c r="P14" s="148">
        <f>SUM(P4:P13)/10</f>
        <v>15.160000000000002</v>
      </c>
      <c r="Q14" s="148">
        <f>SUM(Q4:Q13)/10</f>
        <v>15.26</v>
      </c>
      <c r="R14" s="148"/>
      <c r="S14" s="148"/>
      <c r="W14" s="148">
        <f>SUM(W4:W13)/10</f>
        <v>15.160000000000002</v>
      </c>
      <c r="X14" s="148">
        <f>SUM(X4:X13)/10</f>
        <v>15.26</v>
      </c>
      <c r="Y14" s="148"/>
      <c r="Z14" s="148"/>
    </row>
    <row r="15" spans="1:26" x14ac:dyDescent="0.25">
      <c r="A15" s="320" t="str">
        <f>PLANTILLA!D16</f>
        <v>E. Gross</v>
      </c>
      <c r="B15" s="154">
        <f>PLANTILLA!E16</f>
        <v>35</v>
      </c>
      <c r="C15" s="154">
        <f>PLANTILLA!H16</f>
        <v>3</v>
      </c>
      <c r="D15" s="322">
        <f>PLANTILLA!I16</f>
        <v>13.1</v>
      </c>
      <c r="E15" s="315">
        <f t="shared" si="4"/>
        <v>13.1</v>
      </c>
      <c r="F15" s="315">
        <f t="shared" si="5"/>
        <v>13.2</v>
      </c>
      <c r="G15" s="315">
        <f t="shared" si="6"/>
        <v>3</v>
      </c>
      <c r="H15" s="315">
        <f t="shared" si="7"/>
        <v>3.99</v>
      </c>
      <c r="I15" s="319">
        <f t="shared" si="8"/>
        <v>117.89999999999999</v>
      </c>
      <c r="J15" s="319">
        <f t="shared" si="9"/>
        <v>210.14532</v>
      </c>
      <c r="K15" s="316"/>
    </row>
    <row r="16" spans="1:26" x14ac:dyDescent="0.25">
      <c r="A16" s="320" t="str">
        <f>PLANTILLA!D17</f>
        <v>L. Bauman</v>
      </c>
      <c r="B16" s="154">
        <f>PLANTILLA!E17</f>
        <v>35</v>
      </c>
      <c r="C16" s="154">
        <f>PLANTILLA!H17</f>
        <v>0</v>
      </c>
      <c r="D16" s="322">
        <f>PLANTILLA!I17</f>
        <v>12</v>
      </c>
      <c r="E16" s="315">
        <f t="shared" si="4"/>
        <v>12</v>
      </c>
      <c r="F16" s="315">
        <f t="shared" si="5"/>
        <v>12.1</v>
      </c>
      <c r="G16" s="315">
        <f t="shared" si="6"/>
        <v>0</v>
      </c>
      <c r="H16" s="315">
        <f t="shared" si="7"/>
        <v>0.99</v>
      </c>
      <c r="I16" s="319">
        <f t="shared" si="8"/>
        <v>0</v>
      </c>
      <c r="J16" s="319">
        <f t="shared" si="9"/>
        <v>11.859209999999999</v>
      </c>
      <c r="K16" s="316"/>
      <c r="L16" s="167" t="s">
        <v>442</v>
      </c>
      <c r="O16" t="s">
        <v>443</v>
      </c>
      <c r="P16" s="238">
        <f>SUM(P3:P13)</f>
        <v>175.3</v>
      </c>
      <c r="Q16" s="238">
        <f>SUM(Q3:Q13)</f>
        <v>176.40000000000003</v>
      </c>
      <c r="R16" s="238"/>
      <c r="V16" s="163" t="s">
        <v>443</v>
      </c>
      <c r="W16" s="238">
        <f>SUM(W3:W13)</f>
        <v>175.3</v>
      </c>
      <c r="X16" s="238">
        <f>SUM(X3:X13)</f>
        <v>176.40000000000003</v>
      </c>
      <c r="Y16" s="238"/>
    </row>
    <row r="17" spans="1:25" x14ac:dyDescent="0.25">
      <c r="A17" s="320" t="str">
        <f>PLANTILLA!D18</f>
        <v>W. Gelifini</v>
      </c>
      <c r="B17" s="154">
        <f>PLANTILLA!E18</f>
        <v>33</v>
      </c>
      <c r="C17" s="154">
        <f>PLANTILLA!H18</f>
        <v>2</v>
      </c>
      <c r="D17" s="322">
        <f>PLANTILLA!I18</f>
        <v>4.5</v>
      </c>
      <c r="E17" s="315">
        <f t="shared" si="4"/>
        <v>4.5</v>
      </c>
      <c r="F17" s="315">
        <f t="shared" si="5"/>
        <v>4.5999999999999996</v>
      </c>
      <c r="G17" s="315">
        <f t="shared" si="6"/>
        <v>2</v>
      </c>
      <c r="H17" s="315">
        <f t="shared" si="7"/>
        <v>2.99</v>
      </c>
      <c r="I17" s="319">
        <f t="shared" si="8"/>
        <v>18</v>
      </c>
      <c r="J17" s="319">
        <f t="shared" si="9"/>
        <v>41.124459999999999</v>
      </c>
      <c r="K17" s="316"/>
      <c r="O17" s="290" t="s">
        <v>739</v>
      </c>
      <c r="P17" s="148">
        <f>P16/16.5</f>
        <v>10.624242424242425</v>
      </c>
      <c r="Q17" s="148">
        <f>Q16/16.5</f>
        <v>10.690909090909093</v>
      </c>
      <c r="R17" s="148"/>
      <c r="V17" s="163" t="s">
        <v>444</v>
      </c>
      <c r="W17" s="148">
        <f>W16/17</f>
        <v>10.311764705882354</v>
      </c>
      <c r="X17" s="148">
        <f>X16/17</f>
        <v>10.376470588235296</v>
      </c>
      <c r="Y17" s="148"/>
    </row>
    <row r="18" spans="1:25" x14ac:dyDescent="0.25">
      <c r="A18" s="320" t="e">
        <f>PLANTILLA!#REF!</f>
        <v>#REF!</v>
      </c>
      <c r="B18" s="154" t="e">
        <f>PLANTILLA!#REF!</f>
        <v>#REF!</v>
      </c>
      <c r="C18" s="154" t="e">
        <f>PLANTILLA!#REF!</f>
        <v>#REF!</v>
      </c>
      <c r="D18" s="322" t="e">
        <f>PLANTILLA!#REF!</f>
        <v>#REF!</v>
      </c>
      <c r="E18" s="315" t="e">
        <f t="shared" ref="E18" si="25">D18</f>
        <v>#REF!</v>
      </c>
      <c r="F18" s="315" t="e">
        <f t="shared" ref="F18" si="26">E18+0.1</f>
        <v>#REF!</v>
      </c>
      <c r="G18" s="315" t="e">
        <f t="shared" ref="G18" si="27">C18</f>
        <v>#REF!</v>
      </c>
      <c r="H18" s="315" t="e">
        <f t="shared" ref="H18" si="28">G18+0.99</f>
        <v>#REF!</v>
      </c>
      <c r="I18" s="319" t="e">
        <f t="shared" ref="I18" si="29">G18*G18*E18</f>
        <v>#REF!</v>
      </c>
      <c r="J18" s="319" t="e">
        <f t="shared" ref="J18" si="30">H18*H18*F18</f>
        <v>#REF!</v>
      </c>
      <c r="K18" s="316"/>
      <c r="L18" s="167" t="s">
        <v>445</v>
      </c>
      <c r="O18" s="221" t="s">
        <v>446</v>
      </c>
      <c r="P18" s="238">
        <f>R3^2</f>
        <v>36</v>
      </c>
      <c r="Q18" s="238">
        <f>S3^2</f>
        <v>48.860100000000003</v>
      </c>
      <c r="R18" s="238"/>
      <c r="V18" s="163" t="s">
        <v>446</v>
      </c>
      <c r="W18" s="238">
        <f>Y3^2</f>
        <v>36</v>
      </c>
      <c r="X18" s="238">
        <f>Z3^2</f>
        <v>48.860100000000003</v>
      </c>
      <c r="Y18" s="238"/>
    </row>
    <row r="19" spans="1:25" x14ac:dyDescent="0.25">
      <c r="A19" s="320" t="str">
        <f>PLANTILLA!D19</f>
        <v>G. Kerschl</v>
      </c>
      <c r="B19" s="154">
        <f>PLANTILLA!E19</f>
        <v>33</v>
      </c>
      <c r="C19" s="154">
        <f>PLANTILLA!H19</f>
        <v>1</v>
      </c>
      <c r="D19" s="322">
        <f>PLANTILLA!I19</f>
        <v>13.4</v>
      </c>
      <c r="E19" s="315">
        <f t="shared" ref="E19" si="31">D19</f>
        <v>13.4</v>
      </c>
      <c r="F19" s="315">
        <f t="shared" ref="F19" si="32">E19+0.1</f>
        <v>13.5</v>
      </c>
      <c r="G19" s="315">
        <f t="shared" ref="G19" si="33">C19</f>
        <v>1</v>
      </c>
      <c r="H19" s="315">
        <f t="shared" ref="H19" si="34">G19+0.99</f>
        <v>1.99</v>
      </c>
      <c r="I19" s="319">
        <f t="shared" ref="I19" si="35">G19*G19*E19</f>
        <v>13.4</v>
      </c>
      <c r="J19" s="319">
        <f t="shared" ref="J19" si="36">H19*H19*F19</f>
        <v>53.461350000000003</v>
      </c>
      <c r="K19" s="316"/>
      <c r="L19" s="167" t="s">
        <v>447</v>
      </c>
      <c r="O19" s="221" t="s">
        <v>448</v>
      </c>
      <c r="P19" s="238">
        <f>P18*P3</f>
        <v>853.19999999999993</v>
      </c>
      <c r="Q19" s="238">
        <f>Q18*Q3</f>
        <v>1162.8703800000001</v>
      </c>
      <c r="R19" s="238"/>
      <c r="V19" s="163" t="s">
        <v>448</v>
      </c>
      <c r="W19" s="238">
        <f>W18*W3</f>
        <v>853.19999999999993</v>
      </c>
      <c r="X19" s="238">
        <f>X18*X3</f>
        <v>1162.8703800000001</v>
      </c>
      <c r="Y19" s="238"/>
    </row>
    <row r="20" spans="1:25" x14ac:dyDescent="0.25">
      <c r="A20" s="320" t="str">
        <f>PLANTILLA!D20</f>
        <v>J. Limon</v>
      </c>
      <c r="B20" s="154">
        <f>PLANTILLA!E20</f>
        <v>34</v>
      </c>
      <c r="C20" s="154">
        <f>PLANTILLA!H20</f>
        <v>3</v>
      </c>
      <c r="D20" s="322">
        <f>PLANTILLA!I20</f>
        <v>14.3</v>
      </c>
      <c r="E20" s="315">
        <f t="shared" si="4"/>
        <v>14.3</v>
      </c>
      <c r="F20" s="315">
        <f t="shared" si="5"/>
        <v>14.4</v>
      </c>
      <c r="G20" s="315">
        <f t="shared" si="6"/>
        <v>3</v>
      </c>
      <c r="H20" s="315">
        <f t="shared" si="7"/>
        <v>3.99</v>
      </c>
      <c r="I20" s="319">
        <f t="shared" si="8"/>
        <v>128.70000000000002</v>
      </c>
      <c r="J20" s="319">
        <f t="shared" si="9"/>
        <v>229.24944000000002</v>
      </c>
      <c r="K20" s="316"/>
      <c r="L20" s="167" t="s">
        <v>449</v>
      </c>
      <c r="O20" s="290" t="s">
        <v>740</v>
      </c>
      <c r="P20" s="148">
        <f>(P19^(2/3))/27</f>
        <v>3.331732564718342</v>
      </c>
      <c r="Q20" s="148">
        <f>(Q19^(2/3))/27</f>
        <v>4.0956588516953847</v>
      </c>
      <c r="R20" s="148"/>
      <c r="V20" s="163" t="s">
        <v>450</v>
      </c>
      <c r="W20" s="148">
        <f>(W19^(2/3))/30</f>
        <v>2.9985593082465076</v>
      </c>
      <c r="X20" s="148">
        <f>(X19^(2/3))/30</f>
        <v>3.6860929665258464</v>
      </c>
      <c r="Y20" s="148"/>
    </row>
    <row r="21" spans="1:25" x14ac:dyDescent="0.25">
      <c r="A21" s="320" t="str">
        <f>PLANTILLA!D21</f>
        <v>L. Calosso</v>
      </c>
      <c r="B21" s="154">
        <f>PLANTILLA!E21</f>
        <v>35</v>
      </c>
      <c r="C21" s="154">
        <f>PLANTILLA!H21</f>
        <v>3</v>
      </c>
      <c r="D21" s="322">
        <f>PLANTILLA!I21</f>
        <v>15.4</v>
      </c>
      <c r="E21" s="315">
        <f t="shared" si="4"/>
        <v>15.4</v>
      </c>
      <c r="F21" s="315">
        <f t="shared" si="5"/>
        <v>15.5</v>
      </c>
      <c r="G21" s="315">
        <f t="shared" si="6"/>
        <v>3</v>
      </c>
      <c r="H21" s="315">
        <f t="shared" si="7"/>
        <v>3.99</v>
      </c>
      <c r="I21" s="319">
        <f t="shared" si="8"/>
        <v>138.6</v>
      </c>
      <c r="J21" s="319">
        <f t="shared" si="9"/>
        <v>246.76155000000003</v>
      </c>
      <c r="K21" s="316"/>
      <c r="L21" s="167" t="s">
        <v>451</v>
      </c>
      <c r="O21" s="163" t="s">
        <v>452</v>
      </c>
      <c r="P21" s="611">
        <f>P17+P20</f>
        <v>13.955974988960767</v>
      </c>
      <c r="Q21" s="611">
        <f>Q17+Q20</f>
        <v>14.786567942604478</v>
      </c>
      <c r="V21" s="163" t="s">
        <v>452</v>
      </c>
      <c r="W21" s="611">
        <f>W17+W20</f>
        <v>13.310324014128861</v>
      </c>
      <c r="X21" s="611">
        <f>X17+X20</f>
        <v>14.062563554761143</v>
      </c>
    </row>
    <row r="22" spans="1:25" x14ac:dyDescent="0.25">
      <c r="A22" s="320" t="str">
        <f>PLANTILLA!D30</f>
        <v>P .Trivadi</v>
      </c>
      <c r="B22" s="154">
        <f>PLANTILLA!E30</f>
        <v>31</v>
      </c>
      <c r="C22" s="154">
        <f>PLANTILLA!H30</f>
        <v>5</v>
      </c>
      <c r="D22" s="322">
        <f>PLANTILLA!I30</f>
        <v>6.2</v>
      </c>
      <c r="E22" s="315">
        <f t="shared" si="4"/>
        <v>6.2</v>
      </c>
      <c r="F22" s="315">
        <f t="shared" si="5"/>
        <v>6.3</v>
      </c>
      <c r="G22" s="315">
        <f t="shared" si="6"/>
        <v>5</v>
      </c>
      <c r="H22" s="315">
        <f t="shared" si="7"/>
        <v>5.99</v>
      </c>
      <c r="I22" s="319">
        <f t="shared" si="8"/>
        <v>155</v>
      </c>
      <c r="J22" s="319">
        <f t="shared" si="9"/>
        <v>226.04463000000004</v>
      </c>
      <c r="K22" s="316"/>
      <c r="L22" t="s">
        <v>453</v>
      </c>
    </row>
    <row r="23" spans="1:25" x14ac:dyDescent="0.25">
      <c r="A23" s="320"/>
      <c r="B23" s="154"/>
      <c r="C23" s="154"/>
      <c r="D23" s="322"/>
      <c r="E23" s="315"/>
      <c r="F23" s="315"/>
      <c r="G23" s="315"/>
      <c r="H23" s="315"/>
      <c r="I23" s="319"/>
      <c r="J23" s="319"/>
      <c r="K23" s="316"/>
      <c r="O23" s="263">
        <v>42576</v>
      </c>
      <c r="P23">
        <v>6.76</v>
      </c>
      <c r="Q23">
        <v>6.99</v>
      </c>
      <c r="R23" t="s">
        <v>698</v>
      </c>
      <c r="W23" s="148"/>
    </row>
    <row r="24" spans="1:25" x14ac:dyDescent="0.25">
      <c r="A24" s="320"/>
      <c r="B24" s="154"/>
      <c r="C24" s="154"/>
      <c r="D24" s="322"/>
      <c r="E24" s="315"/>
      <c r="F24" s="315"/>
      <c r="G24" s="315"/>
      <c r="H24" s="315"/>
      <c r="I24" s="319"/>
      <c r="J24" s="319"/>
    </row>
    <row r="25" spans="1:25" x14ac:dyDescent="0.25">
      <c r="A25" s="320"/>
      <c r="B25" s="154"/>
      <c r="C25" s="154"/>
      <c r="D25" s="322"/>
      <c r="V25"/>
    </row>
    <row r="26" spans="1:25" x14ac:dyDescent="0.25">
      <c r="A26" s="320"/>
      <c r="B26" s="154"/>
      <c r="C26" s="154"/>
      <c r="D26" s="322"/>
      <c r="V26"/>
    </row>
    <row r="27" spans="1:25" x14ac:dyDescent="0.25">
      <c r="A27" s="320"/>
      <c r="B27" s="154"/>
      <c r="C27" s="154"/>
      <c r="D27" s="322"/>
      <c r="V27"/>
    </row>
    <row r="28" spans="1:25" x14ac:dyDescent="0.25">
      <c r="A28" s="320"/>
      <c r="B28" s="154"/>
      <c r="C28" s="154"/>
      <c r="D28" s="322"/>
    </row>
  </sheetData>
  <conditionalFormatting sqref="I3:J24">
    <cfRule type="cellIs" dxfId="164" priority="1" operator="between">
      <formula>70</formula>
      <formula>100</formula>
    </cfRule>
    <cfRule type="cellIs" dxfId="163"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45"/>
  <sheetViews>
    <sheetView workbookViewId="0">
      <selection activeCell="N17" sqref="N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365" bestFit="1" customWidth="1"/>
    <col min="14" max="14" width="21.5703125" style="365" bestFit="1" customWidth="1"/>
    <col min="15" max="15" width="14" style="409" bestFit="1" customWidth="1"/>
    <col min="16" max="16" width="13" style="365" bestFit="1" customWidth="1"/>
    <col min="17" max="17" width="10.42578125" style="365" bestFit="1" customWidth="1"/>
    <col min="18" max="18" width="10.28515625" style="365" bestFit="1" customWidth="1"/>
    <col min="19" max="19" width="21" style="365" bestFit="1" customWidth="1"/>
    <col min="20" max="20" width="12" style="365" bestFit="1" customWidth="1"/>
    <col min="21" max="21" width="16.85546875" style="365" bestFit="1" customWidth="1"/>
    <col min="22" max="22" width="16.7109375" bestFit="1" customWidth="1"/>
  </cols>
  <sheetData>
    <row r="1" spans="1:22" x14ac:dyDescent="0.25">
      <c r="A1" s="271" t="s">
        <v>362</v>
      </c>
      <c r="B1" s="271" t="s">
        <v>251</v>
      </c>
      <c r="C1" s="272" t="s">
        <v>396</v>
      </c>
      <c r="D1" s="273" t="s">
        <v>174</v>
      </c>
      <c r="E1" s="271" t="s">
        <v>175</v>
      </c>
      <c r="F1" s="271" t="s">
        <v>177</v>
      </c>
      <c r="G1" s="271" t="s">
        <v>178</v>
      </c>
      <c r="H1" s="271" t="s">
        <v>170</v>
      </c>
      <c r="I1" s="274" t="s">
        <v>254</v>
      </c>
      <c r="J1" s="274" t="s">
        <v>255</v>
      </c>
      <c r="K1" s="271" t="s">
        <v>176</v>
      </c>
      <c r="L1" s="271" t="s">
        <v>193</v>
      </c>
      <c r="M1" s="366" t="s">
        <v>482</v>
      </c>
      <c r="N1" s="366" t="s">
        <v>483</v>
      </c>
      <c r="O1" s="366" t="s">
        <v>533</v>
      </c>
      <c r="P1" s="366" t="s">
        <v>480</v>
      </c>
      <c r="Q1" s="366" t="s">
        <v>486</v>
      </c>
      <c r="R1" s="366" t="s">
        <v>487</v>
      </c>
      <c r="S1" s="366" t="s">
        <v>481</v>
      </c>
      <c r="T1" s="366" t="s">
        <v>455</v>
      </c>
      <c r="U1" s="366" t="s">
        <v>484</v>
      </c>
      <c r="V1" s="366" t="s">
        <v>485</v>
      </c>
    </row>
    <row r="2" spans="1:22" x14ac:dyDescent="0.25">
      <c r="A2" s="270"/>
      <c r="B2" s="270" t="s">
        <v>381</v>
      </c>
      <c r="C2" s="270"/>
      <c r="D2" s="266" t="s">
        <v>348</v>
      </c>
      <c r="E2" s="193">
        <v>42</v>
      </c>
      <c r="F2" s="235" t="s">
        <v>426</v>
      </c>
      <c r="G2" s="330">
        <v>3</v>
      </c>
      <c r="H2" s="197">
        <v>16.004000000000001</v>
      </c>
      <c r="I2" s="275">
        <f>(G2)*(G2)*(H2)</f>
        <v>144.036</v>
      </c>
      <c r="J2" s="275">
        <f>(G2+1)*(G2+1)*H2</f>
        <v>256.06400000000002</v>
      </c>
      <c r="K2" s="267">
        <v>0</v>
      </c>
      <c r="L2" s="267">
        <v>300</v>
      </c>
      <c r="M2" s="367">
        <v>41576</v>
      </c>
      <c r="N2" s="367">
        <v>41731</v>
      </c>
      <c r="O2" s="367">
        <v>42305</v>
      </c>
      <c r="P2" s="205">
        <v>772000</v>
      </c>
      <c r="Q2" s="205">
        <f>((N2-M2)/7)*L2</f>
        <v>6642.8571428571431</v>
      </c>
      <c r="R2" s="205">
        <f ca="1">((TODAY()-N2)/7)*L2</f>
        <v>81385.71428571429</v>
      </c>
      <c r="S2" s="205">
        <v>2068800</v>
      </c>
      <c r="T2" s="205">
        <f ca="1">S2+Q2+P2+R2</f>
        <v>2928828.5714285714</v>
      </c>
      <c r="U2" s="210">
        <f ca="1">T2/((O2-N2)/112)</f>
        <v>571478.74564459932</v>
      </c>
      <c r="V2" s="152">
        <f>(O2-N2)/112</f>
        <v>5.125</v>
      </c>
    </row>
    <row r="3" spans="1:22" x14ac:dyDescent="0.25">
      <c r="A3" s="271" t="s">
        <v>362</v>
      </c>
      <c r="B3" s="271" t="s">
        <v>251</v>
      </c>
      <c r="C3" s="272" t="s">
        <v>396</v>
      </c>
      <c r="D3" s="273" t="s">
        <v>174</v>
      </c>
      <c r="E3" s="271" t="s">
        <v>175</v>
      </c>
      <c r="F3" s="271" t="s">
        <v>177</v>
      </c>
      <c r="G3" s="271" t="s">
        <v>178</v>
      </c>
      <c r="H3" s="271" t="s">
        <v>170</v>
      </c>
      <c r="I3" s="274" t="s">
        <v>254</v>
      </c>
      <c r="J3" s="274" t="s">
        <v>255</v>
      </c>
      <c r="K3" s="271" t="s">
        <v>176</v>
      </c>
      <c r="L3" s="271" t="s">
        <v>193</v>
      </c>
      <c r="M3" s="366" t="s">
        <v>482</v>
      </c>
      <c r="N3" s="366" t="s">
        <v>483</v>
      </c>
      <c r="O3" s="366" t="s">
        <v>533</v>
      </c>
      <c r="P3" s="366" t="s">
        <v>480</v>
      </c>
      <c r="Q3" s="366" t="s">
        <v>486</v>
      </c>
      <c r="R3" s="366" t="s">
        <v>487</v>
      </c>
      <c r="S3" s="366" t="s">
        <v>481</v>
      </c>
      <c r="T3" s="366" t="s">
        <v>455</v>
      </c>
      <c r="U3" s="366" t="s">
        <v>484</v>
      </c>
      <c r="V3" s="366" t="s">
        <v>485</v>
      </c>
    </row>
    <row r="4" spans="1:22" x14ac:dyDescent="0.25">
      <c r="A4" s="270"/>
      <c r="B4" s="270" t="s">
        <v>381</v>
      </c>
      <c r="C4" s="270"/>
      <c r="D4" s="266" t="s">
        <v>459</v>
      </c>
      <c r="E4" s="193">
        <v>44</v>
      </c>
      <c r="F4" s="235" t="s">
        <v>426</v>
      </c>
      <c r="G4" s="330">
        <v>5</v>
      </c>
      <c r="H4" s="197">
        <v>16.109000000000002</v>
      </c>
      <c r="I4" s="275">
        <f t="shared" ref="I4" si="0">(G4)*(G4)*(H4)</f>
        <v>402.72500000000002</v>
      </c>
      <c r="J4" s="275">
        <f t="shared" ref="J4" si="1">(G4+1)*(G4+1)*H4</f>
        <v>579.92400000000009</v>
      </c>
      <c r="K4" s="267">
        <v>0</v>
      </c>
      <c r="L4" s="267">
        <v>300</v>
      </c>
      <c r="M4" s="367">
        <v>41976</v>
      </c>
      <c r="N4" s="367">
        <v>42305</v>
      </c>
      <c r="O4" s="367">
        <v>42908</v>
      </c>
      <c r="P4" s="205">
        <v>1052640</v>
      </c>
      <c r="Q4" s="205">
        <f>((N4-M4)/7)*L4</f>
        <v>14100</v>
      </c>
      <c r="R4" s="205">
        <f ca="1">((TODAY()-N4)/7)*L4</f>
        <v>56785.714285714283</v>
      </c>
      <c r="S4" s="205">
        <v>2059800</v>
      </c>
      <c r="T4" s="205">
        <f>S4+Q4+P4</f>
        <v>3126540</v>
      </c>
      <c r="U4" s="210">
        <f>T4/((O4-N4)/112)</f>
        <v>580717.21393034828</v>
      </c>
      <c r="V4" s="152">
        <f ca="1">(A7-N4)/112</f>
        <v>11.830357142857142</v>
      </c>
    </row>
    <row r="5" spans="1:22" x14ac:dyDescent="0.25">
      <c r="M5" s="409"/>
      <c r="N5" s="409"/>
      <c r="O5" s="563"/>
      <c r="P5" s="409"/>
      <c r="Q5" s="409"/>
      <c r="R5" s="409"/>
      <c r="S5" s="409"/>
      <c r="T5" s="409"/>
      <c r="U5" s="409"/>
    </row>
    <row r="6" spans="1:22" x14ac:dyDescent="0.25">
      <c r="M6" s="409"/>
      <c r="N6" s="409"/>
      <c r="P6" s="409"/>
      <c r="Q6" s="409"/>
      <c r="R6" s="409"/>
      <c r="S6" s="409"/>
      <c r="T6" s="409"/>
      <c r="U6" s="409"/>
    </row>
    <row r="7" spans="1:22" x14ac:dyDescent="0.25">
      <c r="A7" s="161">
        <f ca="1">TODAY()</f>
        <v>43630</v>
      </c>
    </row>
    <row r="8" spans="1:22" x14ac:dyDescent="0.25">
      <c r="A8" s="161">
        <v>41757</v>
      </c>
    </row>
    <row r="9" spans="1:22" x14ac:dyDescent="0.25">
      <c r="A9" s="163">
        <f ca="1">A7-A8</f>
        <v>1873</v>
      </c>
    </row>
    <row r="10" spans="1:22" x14ac:dyDescent="0.25">
      <c r="A10" s="364">
        <f ca="1">A9/112</f>
        <v>16.723214285714285</v>
      </c>
    </row>
    <row r="12" spans="1:22" x14ac:dyDescent="0.25">
      <c r="A12" s="271" t="s">
        <v>362</v>
      </c>
      <c r="B12" s="271" t="s">
        <v>251</v>
      </c>
      <c r="C12" s="272" t="s">
        <v>396</v>
      </c>
      <c r="D12" s="273" t="s">
        <v>174</v>
      </c>
      <c r="E12" s="271" t="s">
        <v>175</v>
      </c>
      <c r="F12" s="271" t="s">
        <v>177</v>
      </c>
      <c r="G12" s="271" t="s">
        <v>178</v>
      </c>
      <c r="H12" s="271" t="s">
        <v>170</v>
      </c>
      <c r="I12" s="274" t="s">
        <v>254</v>
      </c>
      <c r="J12" s="274" t="s">
        <v>255</v>
      </c>
      <c r="K12" s="271" t="s">
        <v>176</v>
      </c>
      <c r="L12" s="271" t="s">
        <v>193</v>
      </c>
      <c r="M12" s="366" t="s">
        <v>482</v>
      </c>
      <c r="N12" s="366" t="s">
        <v>483</v>
      </c>
      <c r="O12" s="366" t="s">
        <v>533</v>
      </c>
      <c r="P12" s="366" t="s">
        <v>480</v>
      </c>
      <c r="Q12" s="366" t="s">
        <v>486</v>
      </c>
      <c r="R12" s="366" t="s">
        <v>487</v>
      </c>
      <c r="S12" s="366" t="s">
        <v>481</v>
      </c>
      <c r="T12" s="366" t="s">
        <v>455</v>
      </c>
      <c r="U12" s="366" t="s">
        <v>484</v>
      </c>
      <c r="V12" s="366" t="s">
        <v>485</v>
      </c>
    </row>
    <row r="13" spans="1:22" x14ac:dyDescent="0.25">
      <c r="D13" s="266" t="s">
        <v>712</v>
      </c>
      <c r="E13" s="193">
        <v>39</v>
      </c>
      <c r="F13" s="235"/>
      <c r="G13" s="330">
        <v>6</v>
      </c>
      <c r="H13" s="197">
        <v>13</v>
      </c>
      <c r="I13" s="275">
        <f t="shared" ref="I13" si="2">(G13)*(G13)*(H13)</f>
        <v>468</v>
      </c>
      <c r="J13" s="275">
        <f t="shared" ref="J13" si="3">(G13+1)*(G13+1)*H13</f>
        <v>637</v>
      </c>
      <c r="K13" s="267">
        <v>1130</v>
      </c>
      <c r="L13" s="267">
        <v>864</v>
      </c>
      <c r="M13" s="367">
        <v>42628</v>
      </c>
      <c r="N13" s="367">
        <f>O4</f>
        <v>42908</v>
      </c>
      <c r="O13" s="367">
        <f ca="1">TODAY()</f>
        <v>43630</v>
      </c>
      <c r="P13" s="565">
        <v>1800000</v>
      </c>
      <c r="Q13" s="205">
        <v>372</v>
      </c>
      <c r="R13" s="205">
        <f t="shared" ref="R13" ca="1" si="4">((TODAY()-N13)/7)*L13</f>
        <v>89115.428571428565</v>
      </c>
      <c r="S13" s="565">
        <v>2553000</v>
      </c>
      <c r="T13" s="205">
        <f t="shared" ref="T13" si="5">S13+Q13+P13</f>
        <v>4353372</v>
      </c>
      <c r="U13" s="210">
        <f t="shared" ref="U13" ca="1" si="6">T13/((O13-N13)/112)</f>
        <v>675315.32409972302</v>
      </c>
      <c r="V13" s="152">
        <v>7</v>
      </c>
    </row>
    <row r="16" spans="1:22" x14ac:dyDescent="0.25">
      <c r="N16" s="618"/>
    </row>
    <row r="17" spans="1:22" ht="18" x14ac:dyDescent="0.25">
      <c r="A17" s="550">
        <v>42908</v>
      </c>
      <c r="B17" s="263"/>
      <c r="C17">
        <v>112</v>
      </c>
      <c r="D17">
        <v>0</v>
      </c>
    </row>
    <row r="18" spans="1:22" x14ac:dyDescent="0.25">
      <c r="A18" s="263">
        <f ca="1">TODAY()</f>
        <v>43630</v>
      </c>
      <c r="B18" s="263"/>
      <c r="C18">
        <v>400</v>
      </c>
      <c r="D18">
        <v>1</v>
      </c>
    </row>
    <row r="19" spans="1:22" x14ac:dyDescent="0.25">
      <c r="A19">
        <f ca="1">A18-A17</f>
        <v>722</v>
      </c>
      <c r="C19">
        <f>C18-C17</f>
        <v>288</v>
      </c>
      <c r="D19" s="551">
        <f ca="1">(A19-C17)/C19</f>
        <v>2.1180555555555554</v>
      </c>
    </row>
    <row r="20" spans="1:22" x14ac:dyDescent="0.25">
      <c r="D20" t="s">
        <v>733</v>
      </c>
    </row>
    <row r="24" spans="1:22" x14ac:dyDescent="0.25">
      <c r="A24" s="271" t="s">
        <v>362</v>
      </c>
      <c r="B24" s="271" t="s">
        <v>251</v>
      </c>
      <c r="C24" s="272" t="s">
        <v>396</v>
      </c>
      <c r="D24" s="273" t="s">
        <v>174</v>
      </c>
      <c r="E24" s="271" t="s">
        <v>175</v>
      </c>
      <c r="F24" s="271" t="s">
        <v>177</v>
      </c>
      <c r="G24" s="271" t="s">
        <v>178</v>
      </c>
      <c r="H24" s="271" t="s">
        <v>170</v>
      </c>
      <c r="I24" s="274" t="s">
        <v>254</v>
      </c>
      <c r="J24" s="274" t="s">
        <v>255</v>
      </c>
      <c r="K24" s="271" t="s">
        <v>176</v>
      </c>
      <c r="L24" s="271" t="s">
        <v>193</v>
      </c>
      <c r="M24" s="366" t="s">
        <v>482</v>
      </c>
      <c r="N24" s="366" t="s">
        <v>483</v>
      </c>
      <c r="O24" s="366" t="s">
        <v>533</v>
      </c>
      <c r="P24" s="366" t="s">
        <v>480</v>
      </c>
      <c r="Q24" s="366" t="s">
        <v>486</v>
      </c>
      <c r="R24" s="366" t="s">
        <v>487</v>
      </c>
      <c r="S24" s="366" t="s">
        <v>481</v>
      </c>
      <c r="T24" s="366" t="s">
        <v>455</v>
      </c>
      <c r="U24" s="366" t="s">
        <v>484</v>
      </c>
      <c r="V24" s="366" t="s">
        <v>485</v>
      </c>
    </row>
    <row r="28" spans="1:22" ht="19.5" x14ac:dyDescent="0.25">
      <c r="A28" s="645" t="s">
        <v>286</v>
      </c>
      <c r="B28" s="645"/>
      <c r="C28" s="645"/>
      <c r="D28" s="645"/>
    </row>
    <row r="29" spans="1:22" x14ac:dyDescent="0.25">
      <c r="A29" s="646" t="s">
        <v>237</v>
      </c>
      <c r="B29" s="647" t="s">
        <v>287</v>
      </c>
      <c r="C29" s="647" t="s">
        <v>288</v>
      </c>
      <c r="D29" s="647" t="s">
        <v>289</v>
      </c>
    </row>
    <row r="30" spans="1:22" x14ac:dyDescent="0.25">
      <c r="A30" s="646"/>
      <c r="B30" s="647"/>
      <c r="C30" s="647"/>
      <c r="D30" s="647"/>
    </row>
    <row r="31" spans="1:22" x14ac:dyDescent="0.25">
      <c r="A31" s="206" t="s">
        <v>287</v>
      </c>
      <c r="B31" s="207" t="s">
        <v>290</v>
      </c>
      <c r="C31" s="207" t="s">
        <v>291</v>
      </c>
      <c r="D31" s="207" t="s">
        <v>291</v>
      </c>
    </row>
    <row r="32" spans="1:22" x14ac:dyDescent="0.25">
      <c r="A32" s="564" t="s">
        <v>288</v>
      </c>
      <c r="B32" s="209" t="s">
        <v>292</v>
      </c>
      <c r="C32" s="209" t="s">
        <v>293</v>
      </c>
      <c r="D32" s="209" t="s">
        <v>291</v>
      </c>
    </row>
    <row r="33" spans="1:4" x14ac:dyDescent="0.25">
      <c r="A33" s="206" t="s">
        <v>289</v>
      </c>
      <c r="B33" s="207" t="s">
        <v>294</v>
      </c>
      <c r="C33" s="207" t="s">
        <v>295</v>
      </c>
      <c r="D33" s="207" t="s">
        <v>296</v>
      </c>
    </row>
    <row r="34" spans="1:4" x14ac:dyDescent="0.25">
      <c r="A34" s="564" t="s">
        <v>297</v>
      </c>
      <c r="B34" s="209" t="s">
        <v>298</v>
      </c>
      <c r="C34" s="209" t="s">
        <v>299</v>
      </c>
      <c r="D34" s="209" t="s">
        <v>300</v>
      </c>
    </row>
    <row r="35" spans="1:4" x14ac:dyDescent="0.25">
      <c r="A35" s="206" t="s">
        <v>301</v>
      </c>
      <c r="B35" s="207" t="s">
        <v>302</v>
      </c>
      <c r="C35" s="207" t="s">
        <v>303</v>
      </c>
      <c r="D35" s="207" t="s">
        <v>304</v>
      </c>
    </row>
    <row r="36" spans="1:4" x14ac:dyDescent="0.25">
      <c r="A36" s="564" t="s">
        <v>305</v>
      </c>
      <c r="B36" s="209" t="s">
        <v>306</v>
      </c>
      <c r="C36" s="209" t="s">
        <v>307</v>
      </c>
      <c r="D36" s="209" t="s">
        <v>308</v>
      </c>
    </row>
    <row r="37" spans="1:4" x14ac:dyDescent="0.25">
      <c r="A37" s="206" t="s">
        <v>309</v>
      </c>
      <c r="B37" s="207" t="s">
        <v>310</v>
      </c>
      <c r="C37" s="207" t="s">
        <v>311</v>
      </c>
      <c r="D37" s="207" t="s">
        <v>312</v>
      </c>
    </row>
    <row r="38" spans="1:4" x14ac:dyDescent="0.25">
      <c r="A38" s="564" t="s">
        <v>313</v>
      </c>
      <c r="B38" s="209" t="s">
        <v>314</v>
      </c>
      <c r="C38" s="209" t="s">
        <v>315</v>
      </c>
      <c r="D38" s="209" t="s">
        <v>316</v>
      </c>
    </row>
    <row r="39" spans="1:4" x14ac:dyDescent="0.25">
      <c r="A39" s="206" t="s">
        <v>317</v>
      </c>
      <c r="B39" s="207" t="s">
        <v>318</v>
      </c>
      <c r="C39" s="207" t="s">
        <v>319</v>
      </c>
      <c r="D39" s="207" t="s">
        <v>320</v>
      </c>
    </row>
    <row r="40" spans="1:4" x14ac:dyDescent="0.25">
      <c r="A40" s="564" t="s">
        <v>321</v>
      </c>
      <c r="B40" s="209" t="s">
        <v>322</v>
      </c>
      <c r="C40" s="209" t="s">
        <v>323</v>
      </c>
      <c r="D40" s="209" t="s">
        <v>324</v>
      </c>
    </row>
    <row r="41" spans="1:4" x14ac:dyDescent="0.25">
      <c r="A41" s="206" t="s">
        <v>325</v>
      </c>
      <c r="B41" s="207" t="s">
        <v>326</v>
      </c>
      <c r="C41" s="207" t="s">
        <v>327</v>
      </c>
      <c r="D41" s="207" t="s">
        <v>328</v>
      </c>
    </row>
    <row r="42" spans="1:4" x14ac:dyDescent="0.25">
      <c r="A42" s="564" t="s">
        <v>329</v>
      </c>
      <c r="B42" s="209" t="s">
        <v>330</v>
      </c>
      <c r="C42" s="209" t="s">
        <v>331</v>
      </c>
      <c r="D42" s="209" t="s">
        <v>332</v>
      </c>
    </row>
    <row r="43" spans="1:4" x14ac:dyDescent="0.25">
      <c r="A43" s="206" t="s">
        <v>333</v>
      </c>
      <c r="B43" s="207" t="s">
        <v>334</v>
      </c>
      <c r="C43" s="207" t="s">
        <v>335</v>
      </c>
      <c r="D43" s="207" t="s">
        <v>336</v>
      </c>
    </row>
    <row r="44" spans="1:4" x14ac:dyDescent="0.25">
      <c r="A44" s="564" t="s">
        <v>337</v>
      </c>
      <c r="B44" s="209" t="s">
        <v>338</v>
      </c>
      <c r="C44" s="209" t="s">
        <v>339</v>
      </c>
      <c r="D44" s="209" t="s">
        <v>340</v>
      </c>
    </row>
    <row r="45" spans="1:4" x14ac:dyDescent="0.25">
      <c r="A45" s="206" t="s">
        <v>341</v>
      </c>
      <c r="B45" s="207" t="s">
        <v>342</v>
      </c>
      <c r="C45" s="207" t="s">
        <v>343</v>
      </c>
      <c r="D45" s="207" t="s">
        <v>344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44123-E583-471A-95B2-4B0CA00E637B}">
  <dimension ref="A1:C33"/>
  <sheetViews>
    <sheetView workbookViewId="0">
      <selection activeCell="B12" sqref="B12:B17"/>
    </sheetView>
  </sheetViews>
  <sheetFormatPr baseColWidth="10" defaultRowHeight="15" x14ac:dyDescent="0.25"/>
  <cols>
    <col min="1" max="3" width="11.42578125" style="628"/>
  </cols>
  <sheetData>
    <row r="1" spans="1:3" s="4" customFormat="1" x14ac:dyDescent="0.25">
      <c r="A1" s="3" t="s">
        <v>750</v>
      </c>
      <c r="B1" s="3" t="s">
        <v>751</v>
      </c>
      <c r="C1" s="3" t="s">
        <v>752</v>
      </c>
    </row>
    <row r="2" spans="1:3" x14ac:dyDescent="0.25">
      <c r="A2" s="563">
        <v>43535</v>
      </c>
      <c r="B2" s="628">
        <v>1</v>
      </c>
      <c r="C2" s="628">
        <v>71</v>
      </c>
    </row>
    <row r="3" spans="1:3" x14ac:dyDescent="0.25">
      <c r="A3" s="563">
        <f>A2+7</f>
        <v>43542</v>
      </c>
      <c r="B3" s="628">
        <f>B2+1</f>
        <v>2</v>
      </c>
      <c r="C3" s="628">
        <v>71</v>
      </c>
    </row>
    <row r="4" spans="1:3" x14ac:dyDescent="0.25">
      <c r="A4" s="563">
        <f t="shared" ref="A4:A19" si="0">A3+7</f>
        <v>43549</v>
      </c>
      <c r="B4" s="628">
        <f t="shared" ref="B4:B19" si="1">B3+1</f>
        <v>3</v>
      </c>
      <c r="C4" s="628">
        <v>71</v>
      </c>
    </row>
    <row r="5" spans="1:3" x14ac:dyDescent="0.25">
      <c r="A5" s="563">
        <f t="shared" si="0"/>
        <v>43556</v>
      </c>
      <c r="B5" s="628">
        <f t="shared" si="1"/>
        <v>4</v>
      </c>
      <c r="C5" s="628">
        <v>71</v>
      </c>
    </row>
    <row r="6" spans="1:3" x14ac:dyDescent="0.25">
      <c r="A6" s="563">
        <f t="shared" si="0"/>
        <v>43563</v>
      </c>
      <c r="B6" s="628">
        <f t="shared" si="1"/>
        <v>5</v>
      </c>
      <c r="C6" s="628">
        <v>71</v>
      </c>
    </row>
    <row r="7" spans="1:3" x14ac:dyDescent="0.25">
      <c r="A7" s="563">
        <f t="shared" si="0"/>
        <v>43570</v>
      </c>
      <c r="B7" s="628">
        <f t="shared" si="1"/>
        <v>6</v>
      </c>
      <c r="C7" s="628">
        <v>71</v>
      </c>
    </row>
    <row r="8" spans="1:3" x14ac:dyDescent="0.25">
      <c r="A8" s="563">
        <f t="shared" si="0"/>
        <v>43577</v>
      </c>
      <c r="B8" s="628">
        <f t="shared" si="1"/>
        <v>7</v>
      </c>
      <c r="C8" s="628">
        <v>71</v>
      </c>
    </row>
    <row r="9" spans="1:3" x14ac:dyDescent="0.25">
      <c r="A9" s="563">
        <f t="shared" si="0"/>
        <v>43584</v>
      </c>
      <c r="B9" s="628">
        <f t="shared" si="1"/>
        <v>8</v>
      </c>
      <c r="C9" s="628">
        <v>71</v>
      </c>
    </row>
    <row r="10" spans="1:3" x14ac:dyDescent="0.25">
      <c r="A10" s="563">
        <f t="shared" si="0"/>
        <v>43591</v>
      </c>
      <c r="B10" s="628">
        <f t="shared" si="1"/>
        <v>9</v>
      </c>
      <c r="C10" s="628">
        <v>71</v>
      </c>
    </row>
    <row r="11" spans="1:3" x14ac:dyDescent="0.25">
      <c r="A11" s="563">
        <f t="shared" si="0"/>
        <v>43598</v>
      </c>
      <c r="B11" s="628">
        <f t="shared" si="1"/>
        <v>10</v>
      </c>
      <c r="C11" s="628">
        <v>71</v>
      </c>
    </row>
    <row r="12" spans="1:3" x14ac:dyDescent="0.25">
      <c r="A12" s="563">
        <f t="shared" si="0"/>
        <v>43605</v>
      </c>
      <c r="B12" s="628">
        <f t="shared" si="1"/>
        <v>11</v>
      </c>
      <c r="C12" s="628">
        <v>71</v>
      </c>
    </row>
    <row r="13" spans="1:3" x14ac:dyDescent="0.25">
      <c r="A13" s="563">
        <f t="shared" si="0"/>
        <v>43612</v>
      </c>
      <c r="B13" s="628">
        <f t="shared" si="1"/>
        <v>12</v>
      </c>
      <c r="C13" s="628">
        <v>71</v>
      </c>
    </row>
    <row r="14" spans="1:3" x14ac:dyDescent="0.25">
      <c r="A14" s="563">
        <f t="shared" si="0"/>
        <v>43619</v>
      </c>
      <c r="B14" s="628">
        <f t="shared" si="1"/>
        <v>13</v>
      </c>
      <c r="C14" s="628">
        <v>71</v>
      </c>
    </row>
    <row r="15" spans="1:3" x14ac:dyDescent="0.25">
      <c r="A15" s="563">
        <f t="shared" si="0"/>
        <v>43626</v>
      </c>
      <c r="B15" s="628">
        <f t="shared" si="1"/>
        <v>14</v>
      </c>
      <c r="C15" s="628">
        <v>71</v>
      </c>
    </row>
    <row r="16" spans="1:3" x14ac:dyDescent="0.25">
      <c r="A16" s="563">
        <f t="shared" si="0"/>
        <v>43633</v>
      </c>
      <c r="B16" s="628">
        <f t="shared" si="1"/>
        <v>15</v>
      </c>
      <c r="C16" s="628">
        <v>71</v>
      </c>
    </row>
    <row r="17" spans="1:3" x14ac:dyDescent="0.25">
      <c r="A17" s="563">
        <f t="shared" si="0"/>
        <v>43640</v>
      </c>
      <c r="B17" s="628">
        <f t="shared" si="1"/>
        <v>16</v>
      </c>
      <c r="C17" s="628">
        <v>71</v>
      </c>
    </row>
    <row r="18" spans="1:3" x14ac:dyDescent="0.25">
      <c r="A18" s="563">
        <f t="shared" si="0"/>
        <v>43647</v>
      </c>
      <c r="B18" s="628">
        <v>1</v>
      </c>
      <c r="C18" s="628">
        <v>72</v>
      </c>
    </row>
    <row r="19" spans="1:3" x14ac:dyDescent="0.25">
      <c r="A19" s="563">
        <f t="shared" si="0"/>
        <v>43654</v>
      </c>
      <c r="B19" s="628">
        <f t="shared" si="1"/>
        <v>2</v>
      </c>
      <c r="C19" s="628">
        <v>72</v>
      </c>
    </row>
    <row r="20" spans="1:3" x14ac:dyDescent="0.25">
      <c r="A20" s="563">
        <f t="shared" ref="A20:A33" si="2">A19+7</f>
        <v>43661</v>
      </c>
      <c r="B20" s="628">
        <f t="shared" ref="B20:B33" si="3">B19+1</f>
        <v>3</v>
      </c>
      <c r="C20" s="628">
        <v>72</v>
      </c>
    </row>
    <row r="21" spans="1:3" x14ac:dyDescent="0.25">
      <c r="A21" s="563">
        <f t="shared" si="2"/>
        <v>43668</v>
      </c>
      <c r="B21" s="628">
        <f t="shared" si="3"/>
        <v>4</v>
      </c>
      <c r="C21" s="628">
        <v>72</v>
      </c>
    </row>
    <row r="22" spans="1:3" x14ac:dyDescent="0.25">
      <c r="A22" s="563">
        <f t="shared" si="2"/>
        <v>43675</v>
      </c>
      <c r="B22" s="628">
        <f t="shared" si="3"/>
        <v>5</v>
      </c>
      <c r="C22" s="628">
        <v>72</v>
      </c>
    </row>
    <row r="23" spans="1:3" x14ac:dyDescent="0.25">
      <c r="A23" s="563">
        <f t="shared" si="2"/>
        <v>43682</v>
      </c>
      <c r="B23" s="628">
        <f t="shared" si="3"/>
        <v>6</v>
      </c>
      <c r="C23" s="628">
        <v>72</v>
      </c>
    </row>
    <row r="24" spans="1:3" x14ac:dyDescent="0.25">
      <c r="A24" s="563">
        <f t="shared" si="2"/>
        <v>43689</v>
      </c>
      <c r="B24" s="628">
        <f t="shared" si="3"/>
        <v>7</v>
      </c>
      <c r="C24" s="628">
        <v>72</v>
      </c>
    </row>
    <row r="25" spans="1:3" x14ac:dyDescent="0.25">
      <c r="A25" s="563">
        <f t="shared" si="2"/>
        <v>43696</v>
      </c>
      <c r="B25" s="628">
        <f t="shared" si="3"/>
        <v>8</v>
      </c>
      <c r="C25" s="628">
        <v>72</v>
      </c>
    </row>
    <row r="26" spans="1:3" x14ac:dyDescent="0.25">
      <c r="A26" s="563">
        <f t="shared" si="2"/>
        <v>43703</v>
      </c>
      <c r="B26" s="628">
        <f t="shared" si="3"/>
        <v>9</v>
      </c>
      <c r="C26" s="628">
        <v>72</v>
      </c>
    </row>
    <row r="27" spans="1:3" x14ac:dyDescent="0.25">
      <c r="A27" s="563">
        <f t="shared" si="2"/>
        <v>43710</v>
      </c>
      <c r="B27" s="628">
        <f t="shared" si="3"/>
        <v>10</v>
      </c>
      <c r="C27" s="628">
        <v>72</v>
      </c>
    </row>
    <row r="28" spans="1:3" x14ac:dyDescent="0.25">
      <c r="A28" s="563">
        <f t="shared" si="2"/>
        <v>43717</v>
      </c>
      <c r="B28" s="628">
        <f t="shared" si="3"/>
        <v>11</v>
      </c>
      <c r="C28" s="628">
        <v>72</v>
      </c>
    </row>
    <row r="29" spans="1:3" x14ac:dyDescent="0.25">
      <c r="A29" s="563">
        <f t="shared" si="2"/>
        <v>43724</v>
      </c>
      <c r="B29" s="628">
        <f t="shared" si="3"/>
        <v>12</v>
      </c>
      <c r="C29" s="628">
        <v>72</v>
      </c>
    </row>
    <row r="30" spans="1:3" x14ac:dyDescent="0.25">
      <c r="A30" s="563">
        <f t="shared" si="2"/>
        <v>43731</v>
      </c>
      <c r="B30" s="628">
        <f t="shared" si="3"/>
        <v>13</v>
      </c>
      <c r="C30" s="628">
        <v>72</v>
      </c>
    </row>
    <row r="31" spans="1:3" x14ac:dyDescent="0.25">
      <c r="A31" s="563">
        <f t="shared" si="2"/>
        <v>43738</v>
      </c>
      <c r="B31" s="628">
        <f t="shared" si="3"/>
        <v>14</v>
      </c>
      <c r="C31" s="628">
        <v>72</v>
      </c>
    </row>
    <row r="32" spans="1:3" x14ac:dyDescent="0.25">
      <c r="A32" s="563">
        <f t="shared" si="2"/>
        <v>43745</v>
      </c>
      <c r="B32" s="628">
        <f t="shared" si="3"/>
        <v>15</v>
      </c>
      <c r="C32" s="628">
        <v>72</v>
      </c>
    </row>
    <row r="33" spans="1:3" x14ac:dyDescent="0.25">
      <c r="A33" s="563">
        <f t="shared" si="2"/>
        <v>43752</v>
      </c>
      <c r="B33" s="628">
        <f t="shared" si="3"/>
        <v>16</v>
      </c>
      <c r="C33" s="628">
        <v>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39997558519241921"/>
    <pageSetUpPr fitToPage="1"/>
  </sheetPr>
  <dimension ref="A1:BK44"/>
  <sheetViews>
    <sheetView tabSelected="1" zoomScale="120" zoomScaleNormal="120" workbookViewId="0">
      <pane xSplit="9" ySplit="4" topLeftCell="J5" activePane="bottomRight" state="frozen"/>
      <selection pane="topRight" activeCell="J1" sqref="J1"/>
      <selection pane="bottomLeft" activeCell="A5" sqref="A5"/>
      <selection pane="bottomRight" activeCell="P15" sqref="P15"/>
    </sheetView>
  </sheetViews>
  <sheetFormatPr baseColWidth="10" defaultColWidth="11.42578125" defaultRowHeight="15" x14ac:dyDescent="0.25"/>
  <cols>
    <col min="1" max="1" width="4.7109375" bestFit="1" customWidth="1"/>
    <col min="2" max="2" width="5.42578125" bestFit="1" customWidth="1"/>
    <col min="3" max="3" width="5.5703125" style="199" bestFit="1" customWidth="1"/>
    <col min="4" max="4" width="15.140625" style="163" bestFit="1" customWidth="1"/>
    <col min="5" max="5" width="5.5703125" bestFit="1" customWidth="1"/>
    <col min="6" max="6" width="5" bestFit="1" customWidth="1"/>
    <col min="7" max="7" width="4.5703125" style="198" bestFit="1" customWidth="1"/>
    <col min="8" max="8" width="3.7109375" style="4" bestFit="1" customWidth="1"/>
    <col min="9" max="9" width="4.85546875" bestFit="1" customWidth="1"/>
    <col min="10" max="10" width="4.5703125" bestFit="1" customWidth="1"/>
    <col min="11" max="11" width="4.7109375" style="257" bestFit="1" customWidth="1"/>
    <col min="12" max="12" width="4.7109375" bestFit="1" customWidth="1"/>
    <col min="13" max="13" width="4.28515625" style="257" bestFit="1" customWidth="1"/>
    <col min="14" max="14" width="5" style="392" bestFit="1" customWidth="1"/>
    <col min="15" max="15" width="10.42578125" style="613" bestFit="1" customWidth="1"/>
    <col min="16" max="16" width="5.5703125" style="613" bestFit="1" customWidth="1"/>
    <col min="17" max="17" width="4.140625" style="363" bestFit="1" customWidth="1"/>
    <col min="18" max="19" width="5.7109375" style="430" bestFit="1" customWidth="1"/>
    <col min="20" max="20" width="12" bestFit="1" customWidth="1"/>
    <col min="21" max="21" width="11.140625" bestFit="1" customWidth="1"/>
    <col min="22" max="22" width="11.140625" style="145" bestFit="1" customWidth="1"/>
    <col min="23" max="23" width="7.5703125" style="145" bestFit="1" customWidth="1"/>
    <col min="24" max="24" width="6.140625" style="145" bestFit="1" customWidth="1"/>
    <col min="25" max="28" width="6.140625" bestFit="1" customWidth="1"/>
    <col min="29" max="29" width="5.5703125" bestFit="1" customWidth="1"/>
    <col min="30" max="30" width="6.140625" bestFit="1" customWidth="1"/>
    <col min="31" max="31" width="9.5703125" style="145" bestFit="1" customWidth="1"/>
    <col min="32" max="33" width="4.85546875" bestFit="1" customWidth="1"/>
    <col min="34" max="34" width="6.5703125" style="145" bestFit="1" customWidth="1"/>
    <col min="35" max="35" width="7.5703125" style="145" bestFit="1" customWidth="1"/>
    <col min="36" max="36" width="7.5703125" bestFit="1" customWidth="1"/>
    <col min="37" max="38" width="6.5703125" style="145" bestFit="1" customWidth="1"/>
    <col min="39" max="40" width="7" style="145" bestFit="1" customWidth="1"/>
    <col min="41" max="41" width="4.140625" bestFit="1" customWidth="1"/>
    <col min="42" max="42" width="4.28515625" bestFit="1" customWidth="1"/>
    <col min="43" max="43" width="5.28515625" bestFit="1" customWidth="1"/>
    <col min="44" max="46" width="6" bestFit="1" customWidth="1"/>
    <col min="47" max="47" width="6.85546875" bestFit="1" customWidth="1"/>
    <col min="48" max="58" width="6" bestFit="1" customWidth="1"/>
    <col min="60" max="60" width="11.28515625" bestFit="1" customWidth="1"/>
  </cols>
  <sheetData>
    <row r="1" spans="1:63" s="224" customFormat="1" x14ac:dyDescent="0.25">
      <c r="C1" s="571"/>
      <c r="D1" s="306">
        <f ca="1">TODAY()</f>
        <v>43630</v>
      </c>
      <c r="E1" s="638">
        <v>41471</v>
      </c>
      <c r="F1" s="638"/>
      <c r="G1" s="638"/>
      <c r="H1" s="226"/>
      <c r="I1" s="226"/>
      <c r="J1" s="226"/>
      <c r="K1" s="227"/>
      <c r="L1" s="226"/>
      <c r="M1" s="227"/>
      <c r="N1" s="227"/>
      <c r="O1" s="227"/>
      <c r="P1" s="227"/>
      <c r="Q1" s="571"/>
      <c r="R1" s="227"/>
      <c r="S1" s="227"/>
      <c r="T1" s="226"/>
      <c r="U1" s="226"/>
      <c r="V1" s="226"/>
      <c r="W1" s="226"/>
      <c r="X1" s="282"/>
      <c r="Y1" s="226"/>
      <c r="Z1" s="226"/>
      <c r="AA1" s="226"/>
      <c r="AB1" s="226"/>
      <c r="AC1" s="226"/>
      <c r="AD1" s="226"/>
      <c r="AE1" s="282"/>
      <c r="AH1" s="282"/>
      <c r="AI1" s="282"/>
      <c r="AJ1" s="226"/>
      <c r="AK1" s="282"/>
      <c r="AL1" s="282"/>
      <c r="AM1" s="282"/>
      <c r="AN1" s="282"/>
      <c r="AO1" s="226"/>
      <c r="AP1" s="226"/>
      <c r="AQ1" s="226"/>
      <c r="AR1" s="226"/>
      <c r="AS1" s="226"/>
      <c r="AT1" s="226"/>
      <c r="AU1" s="226"/>
      <c r="AV1" s="226"/>
      <c r="AW1" s="226"/>
      <c r="AX1" s="226"/>
      <c r="AY1" s="226"/>
      <c r="AZ1" s="226"/>
      <c r="BA1" s="226"/>
      <c r="BB1" s="226"/>
      <c r="BC1" s="226"/>
      <c r="BD1" s="226"/>
      <c r="BE1" s="226"/>
      <c r="BF1" s="226"/>
    </row>
    <row r="2" spans="1:63" s="3" customFormat="1" x14ac:dyDescent="0.25">
      <c r="A2" s="3">
        <v>16</v>
      </c>
      <c r="B2" s="258"/>
      <c r="C2" s="259"/>
      <c r="D2" s="286"/>
      <c r="E2" s="269"/>
      <c r="F2" s="269"/>
      <c r="I2" s="308">
        <f>AVERAGE(I5:I30)</f>
        <v>9.4769230769230788</v>
      </c>
      <c r="J2" s="269"/>
      <c r="K2" s="269"/>
      <c r="M2" s="308">
        <f>AVERAGE(M5:M30)</f>
        <v>5.8538461538461544</v>
      </c>
      <c r="N2" s="269"/>
      <c r="O2" s="269"/>
      <c r="P2" s="269"/>
      <c r="Q2" s="308">
        <f>AVERAGE(Q5:Q30)</f>
        <v>5.0384615384615383</v>
      </c>
      <c r="R2" s="444">
        <f>AVERAGE(R5:R30)</f>
        <v>0.84339228866927485</v>
      </c>
      <c r="S2" s="444">
        <f>AVERAGE(S5:S30)</f>
        <v>0.92169923154774347</v>
      </c>
      <c r="T2" s="309">
        <f>AVERAGE(T5:T30)</f>
        <v>20684.615384615383</v>
      </c>
      <c r="U2" s="309"/>
      <c r="V2" s="309">
        <f>AVERAGE(V5:V30)</f>
        <v>5199.3076923076924</v>
      </c>
      <c r="W2" s="265"/>
      <c r="X2" s="307">
        <f>(X5+X6)/2</f>
        <v>12.308333333333334</v>
      </c>
      <c r="Y2" s="307">
        <f>AVERAGE(Y5:Y10)</f>
        <v>11.284111111111111</v>
      </c>
      <c r="Z2" s="307">
        <f>AVERAGE(Z11:Z18)</f>
        <v>12.552190476190477</v>
      </c>
      <c r="AA2" s="307">
        <f>AVERAGE(AA11:AA13)</f>
        <v>13.12388888888889</v>
      </c>
      <c r="AB2" s="307">
        <f>AVERAGE(AB6:AB30)</f>
        <v>7.5067999999999993</v>
      </c>
      <c r="AC2" s="307">
        <f>AVERAGE(AC20:AC30)</f>
        <v>7.6227272727272739</v>
      </c>
      <c r="AD2" s="307">
        <f>AVERAGE(AD5:AD30)</f>
        <v>11.884059829059829</v>
      </c>
      <c r="AE2" s="265"/>
      <c r="AH2" s="265"/>
      <c r="AI2" s="265"/>
      <c r="AJ2" s="265"/>
      <c r="AK2" s="265"/>
      <c r="AL2" s="265"/>
      <c r="AM2" s="265"/>
      <c r="AN2" s="265"/>
    </row>
    <row r="3" spans="1:63" s="228" customFormat="1" x14ac:dyDescent="0.25">
      <c r="A3" s="270"/>
      <c r="B3" s="270" t="s">
        <v>717</v>
      </c>
      <c r="C3" s="270"/>
      <c r="D3" s="266" t="s">
        <v>712</v>
      </c>
      <c r="E3" s="193">
        <v>41</v>
      </c>
      <c r="F3" s="194">
        <v>101</v>
      </c>
      <c r="G3" s="235"/>
      <c r="H3" s="330">
        <v>6</v>
      </c>
      <c r="I3" s="197">
        <v>13.2</v>
      </c>
      <c r="J3" s="197"/>
      <c r="K3" s="275">
        <f>(H3)*(H3)*(I3)</f>
        <v>475.2</v>
      </c>
      <c r="L3" s="275">
        <f>(H3+1)*(H3+1)*I3</f>
        <v>646.79999999999995</v>
      </c>
      <c r="M3" s="235">
        <v>2</v>
      </c>
      <c r="N3" s="235"/>
      <c r="O3" s="235"/>
      <c r="P3" s="235"/>
      <c r="Q3" s="235"/>
      <c r="R3" s="566"/>
      <c r="S3" s="566"/>
      <c r="T3" s="267">
        <v>110</v>
      </c>
      <c r="U3" s="235"/>
      <c r="V3" s="267">
        <v>324</v>
      </c>
      <c r="W3" s="288"/>
      <c r="X3" s="279">
        <v>0</v>
      </c>
      <c r="Y3" s="197">
        <v>7</v>
      </c>
      <c r="Z3" s="196">
        <v>0</v>
      </c>
      <c r="AA3" s="197">
        <v>0</v>
      </c>
      <c r="AB3" s="196">
        <v>2</v>
      </c>
      <c r="AC3" s="197">
        <v>0</v>
      </c>
      <c r="AD3" s="196">
        <v>6</v>
      </c>
      <c r="AE3" s="296"/>
      <c r="AH3" s="296"/>
      <c r="AI3" s="296"/>
      <c r="AJ3" s="296"/>
      <c r="AK3" s="296"/>
      <c r="AL3" s="296"/>
      <c r="AM3" s="296"/>
      <c r="AN3" s="296"/>
      <c r="AO3" s="235"/>
      <c r="AP3" s="235"/>
      <c r="AQ3" s="235"/>
      <c r="AR3" s="566"/>
      <c r="AS3" s="566"/>
      <c r="AT3" s="566"/>
      <c r="AU3" s="566"/>
      <c r="AV3" s="566"/>
      <c r="AW3" s="566"/>
      <c r="AX3" s="566"/>
      <c r="AY3" s="566"/>
      <c r="AZ3" s="566"/>
      <c r="BA3" s="566"/>
      <c r="BB3" s="566"/>
      <c r="BC3" s="566"/>
      <c r="BD3" s="566"/>
      <c r="BE3" s="566"/>
      <c r="BF3" s="566"/>
    </row>
    <row r="4" spans="1:63" x14ac:dyDescent="0.25">
      <c r="A4" s="271" t="s">
        <v>362</v>
      </c>
      <c r="B4" s="271" t="s">
        <v>251</v>
      </c>
      <c r="C4" s="272" t="s">
        <v>515</v>
      </c>
      <c r="D4" s="273" t="s">
        <v>174</v>
      </c>
      <c r="E4" s="271" t="s">
        <v>175</v>
      </c>
      <c r="F4" s="271" t="s">
        <v>62</v>
      </c>
      <c r="G4" s="271" t="s">
        <v>177</v>
      </c>
      <c r="H4" s="271" t="s">
        <v>178</v>
      </c>
      <c r="I4" s="271" t="s">
        <v>170</v>
      </c>
      <c r="J4" s="271" t="s">
        <v>576</v>
      </c>
      <c r="K4" s="274" t="s">
        <v>516</v>
      </c>
      <c r="L4" s="274" t="s">
        <v>517</v>
      </c>
      <c r="M4" s="271" t="s">
        <v>179</v>
      </c>
      <c r="N4" s="271" t="s">
        <v>502</v>
      </c>
      <c r="O4" s="271" t="s">
        <v>742</v>
      </c>
      <c r="P4" s="271" t="s">
        <v>566</v>
      </c>
      <c r="Q4" s="271" t="s">
        <v>479</v>
      </c>
      <c r="R4" s="433" t="s">
        <v>564</v>
      </c>
      <c r="S4" s="433" t="s">
        <v>565</v>
      </c>
      <c r="T4" s="271" t="s">
        <v>176</v>
      </c>
      <c r="U4" s="271" t="s">
        <v>491</v>
      </c>
      <c r="V4" s="271" t="s">
        <v>193</v>
      </c>
      <c r="W4" s="271" t="s">
        <v>395</v>
      </c>
      <c r="X4" s="271" t="s">
        <v>257</v>
      </c>
      <c r="Y4" s="271" t="s">
        <v>180</v>
      </c>
      <c r="Z4" s="271" t="s">
        <v>181</v>
      </c>
      <c r="AA4" s="271" t="s">
        <v>182</v>
      </c>
      <c r="AB4" s="271" t="s">
        <v>183</v>
      </c>
      <c r="AC4" s="271" t="s">
        <v>184</v>
      </c>
      <c r="AD4" s="271" t="s">
        <v>177</v>
      </c>
      <c r="AE4" s="271" t="s">
        <v>413</v>
      </c>
      <c r="AF4" s="305" t="s">
        <v>771</v>
      </c>
      <c r="AG4" s="305" t="s">
        <v>772</v>
      </c>
      <c r="AH4" s="305" t="s">
        <v>695</v>
      </c>
      <c r="AI4" s="305" t="s">
        <v>696</v>
      </c>
      <c r="AJ4" s="305" t="s">
        <v>432</v>
      </c>
      <c r="AK4" s="305" t="s">
        <v>433</v>
      </c>
      <c r="AL4" s="305" t="s">
        <v>434</v>
      </c>
      <c r="AM4" s="305" t="s">
        <v>477</v>
      </c>
      <c r="AN4" s="305" t="s">
        <v>478</v>
      </c>
      <c r="AO4" s="271" t="s">
        <v>669</v>
      </c>
      <c r="AP4" s="271" t="s">
        <v>670</v>
      </c>
      <c r="AQ4" s="271" t="s">
        <v>671</v>
      </c>
      <c r="AR4" s="366" t="s">
        <v>759</v>
      </c>
      <c r="AS4" s="366" t="s">
        <v>769</v>
      </c>
      <c r="AT4" s="366" t="s">
        <v>760</v>
      </c>
      <c r="AU4" s="366" t="s">
        <v>761</v>
      </c>
      <c r="AV4" s="366" t="s">
        <v>762</v>
      </c>
      <c r="AW4" s="366" t="s">
        <v>763</v>
      </c>
      <c r="AX4" s="366" t="s">
        <v>684</v>
      </c>
      <c r="AY4" s="366" t="s">
        <v>764</v>
      </c>
      <c r="AZ4" s="366" t="s">
        <v>765</v>
      </c>
      <c r="BA4" s="366" t="s">
        <v>675</v>
      </c>
      <c r="BB4" s="366" t="s">
        <v>766</v>
      </c>
      <c r="BC4" s="366" t="s">
        <v>521</v>
      </c>
      <c r="BD4" s="366" t="s">
        <v>767</v>
      </c>
      <c r="BE4" s="366" t="s">
        <v>768</v>
      </c>
      <c r="BF4" s="366" t="s">
        <v>489</v>
      </c>
      <c r="BG4" s="366" t="s">
        <v>720</v>
      </c>
      <c r="BH4" s="634" t="s">
        <v>774</v>
      </c>
    </row>
    <row r="5" spans="1:63" x14ac:dyDescent="0.25">
      <c r="A5" s="335" t="s">
        <v>352</v>
      </c>
      <c r="B5" s="335" t="s">
        <v>1</v>
      </c>
      <c r="C5" s="336">
        <f ca="1">((34*112)-(E5*112)-(F5))/112</f>
        <v>-0.9285714285714286</v>
      </c>
      <c r="D5" s="598" t="s">
        <v>653</v>
      </c>
      <c r="E5" s="338">
        <v>34</v>
      </c>
      <c r="F5" s="343">
        <f ca="1">-42406+$D$1-112-112-112-112-112-112-112-112-112-112</f>
        <v>104</v>
      </c>
      <c r="G5" s="339"/>
      <c r="H5" s="624">
        <v>6</v>
      </c>
      <c r="I5" s="280">
        <v>23.7</v>
      </c>
      <c r="J5" s="429">
        <f>LOG(I5+1)*4/3</f>
        <v>1.8569292710128877</v>
      </c>
      <c r="K5" s="275">
        <f t="shared" ref="K5" si="0">(H5)*(H5)*(I5)</f>
        <v>853.19999999999993</v>
      </c>
      <c r="L5" s="275">
        <f t="shared" ref="L5" si="1">(H5+1)*(H5+1)*I5</f>
        <v>1161.3</v>
      </c>
      <c r="M5" s="340">
        <v>6.5</v>
      </c>
      <c r="N5" s="393">
        <f>M5*10+19</f>
        <v>84</v>
      </c>
      <c r="O5" s="615">
        <v>42468</v>
      </c>
      <c r="P5" s="616">
        <f ca="1">IF((TODAY()-O5)&gt;335,1,((TODAY()-O5)^0.64)/(336^0.64))</f>
        <v>1</v>
      </c>
      <c r="Q5" s="393">
        <v>6</v>
      </c>
      <c r="R5" s="443">
        <f>(Q5/7)^0.5</f>
        <v>0.92582009977255142</v>
      </c>
      <c r="S5" s="443">
        <f>IF(Q5=7,1,((Q5+0.99)/7)^0.5)</f>
        <v>0.99928545900129484</v>
      </c>
      <c r="T5" s="296">
        <v>51950</v>
      </c>
      <c r="U5" s="569">
        <f t="shared" ref="U5:U30" si="2">T5-BG5</f>
        <v>-1630</v>
      </c>
      <c r="V5" s="296">
        <v>19032</v>
      </c>
      <c r="W5" s="288">
        <f t="shared" ref="W5:W31" si="3">T5/V5</f>
        <v>2.7296132828919712</v>
      </c>
      <c r="X5" s="428">
        <f>16+12/18</f>
        <v>16.666666666666668</v>
      </c>
      <c r="Y5" s="429">
        <v>11.95</v>
      </c>
      <c r="Z5" s="428">
        <f>2+0.01+0.01+0.01+0.01+0.01+0.01+0.01</f>
        <v>2.0699999999999985</v>
      </c>
      <c r="AA5" s="429">
        <f>1.94+0.03+0.03+0.03+0.03+0.03+0.03+0.02+0.01</f>
        <v>2.149999999999999</v>
      </c>
      <c r="AB5" s="428">
        <v>0.95</v>
      </c>
      <c r="AC5" s="429">
        <v>0</v>
      </c>
      <c r="AD5" s="428">
        <f>18+0.2</f>
        <v>18.2</v>
      </c>
      <c r="AE5" s="629">
        <v>1379</v>
      </c>
      <c r="AF5" s="546">
        <f ca="1">(Z5+P5+J5)*(Q5/7)^0.5</f>
        <v>4.5614501492614545</v>
      </c>
      <c r="AG5" s="546">
        <f ca="1">(Z5+P5+J5)*(IF(Q5=7, (Q5/7)^0.5, ((Q5+1)/7)^0.5))</f>
        <v>4.9269292710128862</v>
      </c>
      <c r="AH5" s="288">
        <f ca="1">(((Y5+P5+J5)+(AB5+P5+J5)*2)/8)*(Q5/7)^0.5</f>
        <v>2.5947020012558326</v>
      </c>
      <c r="AI5" s="288">
        <f ca="1">(1.66*(AC5+J5+P5)+0.55*(AD5+J5+P5)-7.6)*(Q5/7)^0.5</f>
        <v>8.0766820598901763</v>
      </c>
      <c r="AJ5" s="288">
        <f ca="1">((AD5+J5+P5)*0.7+(AC5+J5+P5)*0.3)*(Q5/7)^0.5</f>
        <v>14.439950613834577</v>
      </c>
      <c r="AK5" s="288">
        <f ca="1">(0.5*(AC5+P5+J5)+ 0.3*(AD5+P5+J5))/10</f>
        <v>0.77455434168103099</v>
      </c>
      <c r="AL5" s="288">
        <f ca="1">(0.4*(Y5+P5+J5)+0.3*(AD5+P5+J5))/10</f>
        <v>1.2239850489709021</v>
      </c>
      <c r="AM5" s="283">
        <f ca="1">(AD5+P5+(LOG(I5)*4/3))*(Q5/7)^0.5</f>
        <v>19.472772116786619</v>
      </c>
      <c r="AN5" s="283">
        <f ca="1">(AD5+P5+(LOG(I5)*4/3))*(IF(Q5=7, (Q5/7)^0.5, ((Q5+1)/7)^0.5))</f>
        <v>21.032997794680139</v>
      </c>
      <c r="AO5" s="393">
        <v>2</v>
      </c>
      <c r="AP5" s="393">
        <v>2</v>
      </c>
      <c r="AQ5" s="533">
        <f>IF(AO5=4,IF(AP5=0,0.137+0.0697,0.137+0.02),IF(AO5=3,IF(AP5=0,0.0958+0.0697,0.0958+0.02),IF(AO5=2,IF(AP5=0,0.0415+0.0697,0.0415+0.02),IF(AO5=1,IF(AP5=0,0.0294+0.0697,0.0294+0.02),IF(AO5=0,IF(AP5=0,0.0063+0.0697,0.0063+0.02))))))</f>
        <v>6.1499999999999999E-2</v>
      </c>
      <c r="AR5" s="632"/>
      <c r="AS5" s="632"/>
      <c r="AT5" s="632"/>
      <c r="AU5" s="632"/>
      <c r="AV5" s="533"/>
      <c r="AW5" s="533"/>
      <c r="AX5" s="533"/>
      <c r="AY5" s="533"/>
      <c r="AZ5" s="533"/>
      <c r="BA5" s="533"/>
      <c r="BB5" s="533"/>
      <c r="BC5" s="533"/>
      <c r="BD5" s="533"/>
      <c r="BE5" s="533"/>
      <c r="BF5" s="533"/>
      <c r="BG5" s="296">
        <v>53580</v>
      </c>
      <c r="BH5" s="635"/>
      <c r="BJ5" s="341"/>
      <c r="BK5" s="351"/>
    </row>
    <row r="6" spans="1:63" s="236" customFormat="1" x14ac:dyDescent="0.25">
      <c r="A6" s="335" t="s">
        <v>415</v>
      </c>
      <c r="B6" s="335" t="s">
        <v>1</v>
      </c>
      <c r="C6" s="336">
        <f ca="1">((34*112)-(E6*112)-(F6))/112</f>
        <v>-5.0089285714285712</v>
      </c>
      <c r="D6" s="598" t="s">
        <v>242</v>
      </c>
      <c r="E6" s="338">
        <v>39</v>
      </c>
      <c r="F6" s="343">
        <f ca="1">82-41471+$D$1-112-112-112-112-112-112-112-112-112-112-112-112-112-112-112-112-112-112-112-112</f>
        <v>1</v>
      </c>
      <c r="G6" s="339" t="s">
        <v>426</v>
      </c>
      <c r="H6" s="330">
        <v>3</v>
      </c>
      <c r="I6" s="280">
        <v>8.4</v>
      </c>
      <c r="J6" s="429">
        <f t="shared" ref="J6:J30" si="4">LOG(I6+1)*4/3</f>
        <v>1.2975038047995981</v>
      </c>
      <c r="K6" s="275">
        <f t="shared" ref="K6:K30" si="5">(H6)*(H6)*(I6)</f>
        <v>75.600000000000009</v>
      </c>
      <c r="L6" s="275">
        <f t="shared" ref="L6:L30" si="6">(H6+1)*(H6+1)*I6</f>
        <v>134.4</v>
      </c>
      <c r="M6" s="340">
        <v>4.5</v>
      </c>
      <c r="N6" s="393">
        <f t="shared" ref="N6:N30" si="7">M6*10+19</f>
        <v>64</v>
      </c>
      <c r="O6" s="393" t="s">
        <v>463</v>
      </c>
      <c r="P6" s="616">
        <v>1.5</v>
      </c>
      <c r="Q6" s="393">
        <v>4</v>
      </c>
      <c r="R6" s="443">
        <f t="shared" ref="R6:R30" si="8">(Q6/7)^0.5</f>
        <v>0.7559289460184544</v>
      </c>
      <c r="S6" s="443">
        <f t="shared" ref="S6:S30" si="9">IF(Q6=7,1,((Q6+0.99)/7)^0.5)</f>
        <v>0.84430867747355465</v>
      </c>
      <c r="T6" s="296">
        <v>1290</v>
      </c>
      <c r="U6" s="569">
        <f t="shared" si="2"/>
        <v>-580</v>
      </c>
      <c r="V6" s="296">
        <v>450</v>
      </c>
      <c r="W6" s="288">
        <f t="shared" si="3"/>
        <v>2.8666666666666667</v>
      </c>
      <c r="X6" s="428">
        <v>7.95</v>
      </c>
      <c r="Y6" s="429">
        <v>7.95</v>
      </c>
      <c r="Z6" s="428">
        <v>0.95</v>
      </c>
      <c r="AA6" s="429">
        <v>0.95</v>
      </c>
      <c r="AB6" s="428">
        <v>1.95</v>
      </c>
      <c r="AC6" s="429">
        <v>0</v>
      </c>
      <c r="AD6" s="428">
        <v>14.95</v>
      </c>
      <c r="AE6" s="629">
        <v>495</v>
      </c>
      <c r="AF6" s="546">
        <f t="shared" ref="AF6:AF30" si="10">(Z6+P6+J6)*(Q6/7)^0.5</f>
        <v>2.8328466013623084</v>
      </c>
      <c r="AG6" s="546">
        <f t="shared" ref="AG6:AG30" si="11">(Z6+P6+J6)*(IF(Q6=7, (Q6/7)^0.5, ((Q6+1)/7)^0.5))</f>
        <v>3.1672187852376847</v>
      </c>
      <c r="AH6" s="288">
        <f t="shared" ref="AH6:AH30" si="12">(((Y6+P6+J6)+(AB6+P6+J6)*2)/8)*(Q6/7)^0.5</f>
        <v>1.9127375397816266</v>
      </c>
      <c r="AI6" s="288">
        <f t="shared" ref="AI6:AI30" si="13">(1.66*(AC6+J6+P6)+0.55*(AD6+J6+P6)-7.6)*(Q6/7)^0.5</f>
        <v>5.1440839357414436</v>
      </c>
      <c r="AJ6" s="288">
        <f t="shared" ref="AJ6:AJ30" si="14">((AD6+J6+P6)*0.7+(AC6+J6+P6)*0.3)*(Q6/7)^0.5</f>
        <v>10.025510522727901</v>
      </c>
      <c r="AK6" s="288">
        <f t="shared" ref="AK6:AK30" si="15">(0.5*(AC6+P6+J6)+ 0.3*(AD6+P6+J6))/10</f>
        <v>0.67230030438396782</v>
      </c>
      <c r="AL6" s="288">
        <f t="shared" ref="AL6:AL30" si="16">(0.4*(Y6+P6+J6)+0.3*(AD6+P6+J6))/10</f>
        <v>0.96232526633597182</v>
      </c>
      <c r="AM6" s="283">
        <f t="shared" ref="AM6:AM30" si="17">(AD6+P6+(LOG(I6)*4/3))*(Q6/7)^0.5</f>
        <v>13.366617117389504</v>
      </c>
      <c r="AN6" s="283">
        <f t="shared" ref="AN6:AN30" si="18">(AD6+P6+(LOG(I6)*4/3))*(IF(Q6=7, (Q6/7)^0.5, ((Q6+1)/7)^0.5))</f>
        <v>14.94433225184761</v>
      </c>
      <c r="AO6" s="393">
        <v>4</v>
      </c>
      <c r="AP6" s="393">
        <v>3</v>
      </c>
      <c r="AQ6" s="533">
        <f t="shared" ref="AQ6:AQ30" si="19">IF(AO6=4,IF(AP6=0,0.137+0.0697,0.137+0.02),IF(AO6=3,IF(AP6=0,0.0958+0.0697,0.0958+0.02),IF(AO6=2,IF(AP6=0,0.0415+0.0697,0.0415+0.02),IF(AO6=1,IF(AP6=0,0.0294+0.0697,0.0294+0.02),IF(AO6=0,IF(AP6=0,0.0063+0.0697,0.0063+0.02))))))</f>
        <v>0.157</v>
      </c>
      <c r="AR6" s="632"/>
      <c r="AS6" s="632"/>
      <c r="AT6" s="632"/>
      <c r="AU6" s="632"/>
      <c r="AV6" s="533"/>
      <c r="AW6" s="533"/>
      <c r="AX6" s="533"/>
      <c r="AY6" s="533"/>
      <c r="AZ6" s="533"/>
      <c r="BA6" s="533"/>
      <c r="BB6" s="533"/>
      <c r="BC6" s="533"/>
      <c r="BD6" s="533"/>
      <c r="BE6" s="533"/>
      <c r="BF6" s="533"/>
      <c r="BG6" s="296">
        <v>1870</v>
      </c>
      <c r="BH6" s="635"/>
      <c r="BJ6" s="341"/>
      <c r="BK6" s="351"/>
    </row>
    <row r="7" spans="1:63" s="223" customFormat="1" x14ac:dyDescent="0.25">
      <c r="A7" s="335" t="s">
        <v>472</v>
      </c>
      <c r="B7" s="335" t="s">
        <v>2</v>
      </c>
      <c r="C7" s="336">
        <f t="shared" ref="C7:C30" si="20">((34*112)-(E7*112)-(F7))/112</f>
        <v>-1</v>
      </c>
      <c r="D7" s="598" t="s">
        <v>724</v>
      </c>
      <c r="E7" s="338">
        <v>35</v>
      </c>
      <c r="F7" s="343">
        <v>0</v>
      </c>
      <c r="G7" s="339" t="s">
        <v>426</v>
      </c>
      <c r="H7" s="342">
        <v>2</v>
      </c>
      <c r="I7" s="280">
        <v>19</v>
      </c>
      <c r="J7" s="429">
        <f t="shared" si="4"/>
        <v>1.7347066608853083</v>
      </c>
      <c r="K7" s="275">
        <f>(H7)*(H7)*(I7)</f>
        <v>76</v>
      </c>
      <c r="L7" s="275">
        <f>(H7+1)*(H7+1)*I7</f>
        <v>171</v>
      </c>
      <c r="M7" s="340">
        <v>6.5</v>
      </c>
      <c r="N7" s="393">
        <f>M7*10+19</f>
        <v>84</v>
      </c>
      <c r="O7" s="615">
        <v>42716</v>
      </c>
      <c r="P7" s="616">
        <f ca="1">IF((TODAY()-O7)&gt;335,1,((TODAY()-O7)^0.64)/(336^0.64))</f>
        <v>1</v>
      </c>
      <c r="Q7" s="393">
        <v>5</v>
      </c>
      <c r="R7" s="443">
        <f>(Q7/7)^0.5</f>
        <v>0.84515425472851657</v>
      </c>
      <c r="S7" s="443">
        <f>IF(Q7=7,1,((Q7+0.99)/7)^0.5)</f>
        <v>0.92504826128926143</v>
      </c>
      <c r="T7" s="296">
        <v>31740</v>
      </c>
      <c r="U7" s="569">
        <f t="shared" si="2"/>
        <v>-7010</v>
      </c>
      <c r="V7" s="296">
        <v>9420</v>
      </c>
      <c r="W7" s="288">
        <f>T7/V7</f>
        <v>3.3694267515923566</v>
      </c>
      <c r="X7" s="428">
        <v>0</v>
      </c>
      <c r="Y7" s="429">
        <f>14+1/20+1/20+1/20+1/20+1/20+1/20</f>
        <v>14.300000000000004</v>
      </c>
      <c r="Z7" s="428">
        <f>9+1/9*0.5+1/9*0.16+0.1*0.5+0.1*0.5+0.1*0.5+0.01+0.1*0.5+0.1*0.16+0.01+0.01+0.1*0.5+0.01</f>
        <v>9.3793333333333351</v>
      </c>
      <c r="AA7" s="429">
        <v>13.95</v>
      </c>
      <c r="AB7" s="428">
        <v>8.9499999999999993</v>
      </c>
      <c r="AC7" s="429">
        <v>0</v>
      </c>
      <c r="AD7" s="428">
        <v>11.25</v>
      </c>
      <c r="AE7" s="629">
        <v>1791</v>
      </c>
      <c r="AF7" s="546">
        <f t="shared" ca="1" si="10"/>
        <v>10.2382324430653</v>
      </c>
      <c r="AG7" s="546">
        <f t="shared" ca="1" si="11"/>
        <v>11.215421716096182</v>
      </c>
      <c r="AH7" s="288">
        <f t="shared" ca="1" si="12"/>
        <v>4.2684642389878915</v>
      </c>
      <c r="AI7" s="288">
        <f t="shared" ca="1" si="13"/>
        <v>3.9140798386343785</v>
      </c>
      <c r="AJ7" s="288">
        <f t="shared" ca="1" si="14"/>
        <v>8.9668387258687012</v>
      </c>
      <c r="AK7" s="288">
        <f t="shared" ca="1" si="15"/>
        <v>0.55627653287082457</v>
      </c>
      <c r="AL7" s="288">
        <f t="shared" ca="1" si="16"/>
        <v>1.1009294662619715</v>
      </c>
      <c r="AM7" s="283">
        <f t="shared" ca="1" si="17"/>
        <v>11.794131682550589</v>
      </c>
      <c r="AN7" s="283">
        <f t="shared" ca="1" si="18"/>
        <v>12.919823937438633</v>
      </c>
      <c r="AO7" s="393">
        <v>1</v>
      </c>
      <c r="AP7" s="393">
        <v>2</v>
      </c>
      <c r="AQ7" s="533">
        <f>IF(AO7=4,IF(AP7=0,0.137+0.0697,0.137+0.02),IF(AO7=3,IF(AP7=0,0.0958+0.0697,0.0958+0.02),IF(AO7=2,IF(AP7=0,0.0415+0.0697,0.0415+0.02),IF(AO7=1,IF(AP7=0,0.0294+0.0697,0.0294+0.02),IF(AO7=0,IF(AP7=0,0.0063+0.0697,0.0063+0.02))))))</f>
        <v>4.9399999999999999E-2</v>
      </c>
      <c r="AR7" s="632"/>
      <c r="AS7" s="632"/>
      <c r="AT7" s="632"/>
      <c r="AU7" s="632"/>
      <c r="AV7" s="533"/>
      <c r="AW7" s="533"/>
      <c r="AX7" s="533"/>
      <c r="AY7" s="533"/>
      <c r="AZ7" s="533"/>
      <c r="BA7" s="533"/>
      <c r="BB7" s="533"/>
      <c r="BC7" s="533"/>
      <c r="BD7" s="533"/>
      <c r="BE7" s="533"/>
      <c r="BF7" s="533"/>
      <c r="BG7" s="296">
        <v>38750</v>
      </c>
      <c r="BH7" s="635"/>
      <c r="BJ7" s="341"/>
      <c r="BK7" s="351"/>
    </row>
    <row r="8" spans="1:63" s="221" customFormat="1" x14ac:dyDescent="0.25">
      <c r="A8" s="335" t="s">
        <v>428</v>
      </c>
      <c r="B8" s="335" t="s">
        <v>2</v>
      </c>
      <c r="C8" s="336">
        <f t="shared" ca="1" si="20"/>
        <v>-2.0267857142857144</v>
      </c>
      <c r="D8" s="598" t="s">
        <v>244</v>
      </c>
      <c r="E8" s="338">
        <v>36</v>
      </c>
      <c r="F8" s="343">
        <f ca="1">84-41471+$D$1-112-112-112-112-112-112-112-112-112-112-112-112-112-112-112-112-112-112-112-112</f>
        <v>3</v>
      </c>
      <c r="G8" s="339"/>
      <c r="H8" s="342">
        <v>4</v>
      </c>
      <c r="I8" s="280">
        <v>18</v>
      </c>
      <c r="J8" s="429">
        <f t="shared" si="4"/>
        <v>1.7050048012704384</v>
      </c>
      <c r="K8" s="275">
        <f t="shared" si="5"/>
        <v>288</v>
      </c>
      <c r="L8" s="275">
        <f t="shared" si="6"/>
        <v>450</v>
      </c>
      <c r="M8" s="340">
        <v>6</v>
      </c>
      <c r="N8" s="393">
        <f t="shared" si="7"/>
        <v>79</v>
      </c>
      <c r="O8" s="393" t="s">
        <v>463</v>
      </c>
      <c r="P8" s="616">
        <v>1.5</v>
      </c>
      <c r="Q8" s="393">
        <v>5</v>
      </c>
      <c r="R8" s="443">
        <f t="shared" si="8"/>
        <v>0.84515425472851657</v>
      </c>
      <c r="S8" s="443">
        <f t="shared" si="9"/>
        <v>0.92504826128926143</v>
      </c>
      <c r="T8" s="296">
        <v>15850</v>
      </c>
      <c r="U8" s="569">
        <f t="shared" si="2"/>
        <v>-3920</v>
      </c>
      <c r="V8" s="296">
        <v>2980</v>
      </c>
      <c r="W8" s="288">
        <f t="shared" si="3"/>
        <v>5.3187919463087248</v>
      </c>
      <c r="X8" s="428">
        <v>0</v>
      </c>
      <c r="Y8" s="429">
        <v>11.95</v>
      </c>
      <c r="Z8" s="428">
        <v>12.95</v>
      </c>
      <c r="AA8" s="429">
        <v>8.9499999999999993</v>
      </c>
      <c r="AB8" s="428">
        <v>8.9499999999999993</v>
      </c>
      <c r="AC8" s="429">
        <v>1.95</v>
      </c>
      <c r="AD8" s="428">
        <f>10.7+0.5+0.5*77/90+0.5+0.45+0.45+0.4+0.35+0.35+0.3+0.35+0.3+0.3+0.3+0.25+0.25+0.2+0.2+0.2+0.2+0.2</f>
        <v>17.177777777777774</v>
      </c>
      <c r="AE8" s="629">
        <v>1578</v>
      </c>
      <c r="AF8" s="546">
        <f t="shared" si="10"/>
        <v>13.653471042953322</v>
      </c>
      <c r="AG8" s="546">
        <f t="shared" si="11"/>
        <v>14.956628156938242</v>
      </c>
      <c r="AH8" s="288">
        <f t="shared" si="12"/>
        <v>4.1692531045379155</v>
      </c>
      <c r="AI8" s="288">
        <f t="shared" si="13"/>
        <v>10.283700384961968</v>
      </c>
      <c r="AJ8" s="288">
        <f t="shared" si="14"/>
        <v>13.365649066204108</v>
      </c>
      <c r="AK8" s="288">
        <f t="shared" si="15"/>
        <v>0.86923371743496813</v>
      </c>
      <c r="AL8" s="288">
        <f t="shared" si="16"/>
        <v>1.2176836694222639</v>
      </c>
      <c r="AM8" s="283">
        <f t="shared" si="17"/>
        <v>17.200135222471665</v>
      </c>
      <c r="AN8" s="283">
        <f t="shared" si="18"/>
        <v>18.84180410697374</v>
      </c>
      <c r="AO8" s="393">
        <v>2</v>
      </c>
      <c r="AP8" s="393">
        <v>3</v>
      </c>
      <c r="AQ8" s="533">
        <f t="shared" si="19"/>
        <v>6.1499999999999999E-2</v>
      </c>
      <c r="AR8" s="632"/>
      <c r="AS8" s="632"/>
      <c r="AT8" s="632"/>
      <c r="AU8" s="632"/>
      <c r="AV8" s="533"/>
      <c r="AW8" s="533"/>
      <c r="AX8" s="533"/>
      <c r="AY8" s="533"/>
      <c r="AZ8" s="533"/>
      <c r="BA8" s="533"/>
      <c r="BB8" s="533"/>
      <c r="BC8" s="533"/>
      <c r="BD8" s="533"/>
      <c r="BE8" s="533"/>
      <c r="BF8" s="533"/>
      <c r="BG8" s="296">
        <v>19770</v>
      </c>
      <c r="BH8" s="635"/>
      <c r="BJ8" s="341"/>
      <c r="BK8" s="351"/>
    </row>
    <row r="9" spans="1:63" s="222" customFormat="1" x14ac:dyDescent="0.25">
      <c r="A9" s="335" t="s">
        <v>354</v>
      </c>
      <c r="B9" s="233" t="s">
        <v>2</v>
      </c>
      <c r="C9" s="336">
        <f t="shared" ca="1" si="20"/>
        <v>-1.8928571428571428</v>
      </c>
      <c r="D9" s="598" t="s">
        <v>248</v>
      </c>
      <c r="E9" s="193">
        <v>35</v>
      </c>
      <c r="F9" s="194">
        <f ca="1">69-41471+$D$1-112-112-112-112-112-112-112-112-112-112-112-112-112-112-112-112-112-112-112</f>
        <v>100</v>
      </c>
      <c r="G9" s="235"/>
      <c r="H9" s="330">
        <v>3</v>
      </c>
      <c r="I9" s="197">
        <v>11.8</v>
      </c>
      <c r="J9" s="429">
        <f t="shared" si="4"/>
        <v>1.4762799595304912</v>
      </c>
      <c r="K9" s="275">
        <f t="shared" si="5"/>
        <v>106.2</v>
      </c>
      <c r="L9" s="275">
        <f t="shared" si="6"/>
        <v>188.8</v>
      </c>
      <c r="M9" s="268">
        <v>6</v>
      </c>
      <c r="N9" s="393">
        <f t="shared" si="7"/>
        <v>79</v>
      </c>
      <c r="O9" s="393" t="s">
        <v>463</v>
      </c>
      <c r="P9" s="616">
        <v>1.5</v>
      </c>
      <c r="Q9" s="394">
        <v>2</v>
      </c>
      <c r="R9" s="443">
        <f t="shared" si="8"/>
        <v>0.53452248382484879</v>
      </c>
      <c r="S9" s="443">
        <f t="shared" si="9"/>
        <v>0.65356167049702141</v>
      </c>
      <c r="T9" s="296">
        <v>4690</v>
      </c>
      <c r="U9" s="569">
        <f t="shared" si="2"/>
        <v>690</v>
      </c>
      <c r="V9" s="570">
        <v>2120</v>
      </c>
      <c r="W9" s="288">
        <f t="shared" si="3"/>
        <v>2.2122641509433962</v>
      </c>
      <c r="X9" s="428">
        <v>0</v>
      </c>
      <c r="Y9" s="429">
        <v>11.95</v>
      </c>
      <c r="Z9" s="428">
        <v>5.95</v>
      </c>
      <c r="AA9" s="429">
        <v>6.95</v>
      </c>
      <c r="AB9" s="428">
        <v>7.95</v>
      </c>
      <c r="AC9" s="429">
        <v>2.95</v>
      </c>
      <c r="AD9" s="428">
        <v>16</v>
      </c>
      <c r="AE9" s="629">
        <v>1081</v>
      </c>
      <c r="AF9" s="546">
        <f t="shared" si="10"/>
        <v>4.771297335284209</v>
      </c>
      <c r="AG9" s="546">
        <f t="shared" si="11"/>
        <v>5.8436219412736898</v>
      </c>
      <c r="AH9" s="288">
        <f t="shared" si="12"/>
        <v>2.4573896055126392</v>
      </c>
      <c r="AI9" s="288">
        <f t="shared" si="13"/>
        <v>6.774847293803357</v>
      </c>
      <c r="AJ9" s="288">
        <f t="shared" si="14"/>
        <v>8.0505927735496563</v>
      </c>
      <c r="AK9" s="288">
        <f t="shared" si="15"/>
        <v>0.86560239676243922</v>
      </c>
      <c r="AL9" s="288">
        <f t="shared" si="16"/>
        <v>1.1663395971671342</v>
      </c>
      <c r="AM9" s="283">
        <f t="shared" si="17"/>
        <v>10.118070177484768</v>
      </c>
      <c r="AN9" s="283">
        <f t="shared" si="18"/>
        <v>12.392054558254651</v>
      </c>
      <c r="AO9" s="394">
        <v>3</v>
      </c>
      <c r="AP9" s="394">
        <v>2</v>
      </c>
      <c r="AQ9" s="533">
        <f t="shared" si="19"/>
        <v>0.1158</v>
      </c>
      <c r="AR9" s="632"/>
      <c r="AS9" s="632"/>
      <c r="AT9" s="632"/>
      <c r="AU9" s="632"/>
      <c r="AV9" s="533"/>
      <c r="AW9" s="533"/>
      <c r="AX9" s="533"/>
      <c r="AY9" s="533"/>
      <c r="AZ9" s="533"/>
      <c r="BA9" s="533"/>
      <c r="BB9" s="533"/>
      <c r="BC9" s="533"/>
      <c r="BD9" s="533"/>
      <c r="BE9" s="533"/>
      <c r="BF9" s="533"/>
      <c r="BG9" s="296">
        <v>4000</v>
      </c>
      <c r="BH9" s="635"/>
      <c r="BJ9" s="341"/>
      <c r="BK9" s="351"/>
    </row>
    <row r="10" spans="1:63" s="237" customFormat="1" x14ac:dyDescent="0.25">
      <c r="A10" s="276" t="s">
        <v>421</v>
      </c>
      <c r="B10" s="233" t="s">
        <v>2</v>
      </c>
      <c r="C10" s="336">
        <f t="shared" ca="1" si="20"/>
        <v>1.9017857142857142</v>
      </c>
      <c r="D10" s="599" t="s">
        <v>465</v>
      </c>
      <c r="E10" s="193">
        <v>32</v>
      </c>
      <c r="F10" s="194">
        <f ca="1">75-41471+$D$1-24-112-10-112-112+6-112-112-112+45-112-112-112-112-112-112-112-112-112-112-112-112-112-112</f>
        <v>11</v>
      </c>
      <c r="G10" s="235"/>
      <c r="H10" s="342">
        <v>4</v>
      </c>
      <c r="I10" s="197">
        <v>6.3</v>
      </c>
      <c r="J10" s="429">
        <f t="shared" si="4"/>
        <v>1.1510971468272746</v>
      </c>
      <c r="K10" s="275">
        <f t="shared" si="5"/>
        <v>100.8</v>
      </c>
      <c r="L10" s="275">
        <f t="shared" si="6"/>
        <v>157.5</v>
      </c>
      <c r="M10" s="268">
        <v>7.6</v>
      </c>
      <c r="N10" s="393">
        <f t="shared" si="7"/>
        <v>95</v>
      </c>
      <c r="O10" s="393" t="s">
        <v>463</v>
      </c>
      <c r="P10" s="616">
        <v>1.5</v>
      </c>
      <c r="Q10" s="394">
        <v>4</v>
      </c>
      <c r="R10" s="443">
        <f t="shared" si="8"/>
        <v>0.7559289460184544</v>
      </c>
      <c r="S10" s="443">
        <f t="shared" si="9"/>
        <v>0.84430867747355465</v>
      </c>
      <c r="T10" s="570">
        <v>12080</v>
      </c>
      <c r="U10" s="569">
        <f t="shared" si="2"/>
        <v>-8590</v>
      </c>
      <c r="V10" s="570">
        <v>1710</v>
      </c>
      <c r="W10" s="288">
        <f t="shared" si="3"/>
        <v>7.064327485380117</v>
      </c>
      <c r="X10" s="428">
        <v>0</v>
      </c>
      <c r="Y10" s="429">
        <f>6.51+0.25+0.25+0.25+0.2+0.2+0.2+0.2+0.19+0.19+0.17+0.16+0.16+0.03+0.16+0.15*33/90+0.14+0.13+0.13*36/90+0.02+0.12*32/90+0.02+0.02+0.15*3/90</f>
        <v>9.6046666666666667</v>
      </c>
      <c r="Z10" s="428">
        <f>6.92+0.04+0.04+0.04+0.13+0.04+0.03+0.03+(0.25*30/90*0.5)+(0.25*60/90*0.16)+0.03+0.03+0.25*0.5*1/90+0.026+0.03+0.03+0.03+0.03+0.25*0.5+0.02+0.02+0.02+0.01+0.01+0.01</f>
        <v>7.7607222222222223</v>
      </c>
      <c r="AA10" s="429">
        <f>5.8+0.05+0.05+0.05+0.05+0.04+0.04+0.03+0.02+0.02+0.01</f>
        <v>6.1599999999999984</v>
      </c>
      <c r="AB10" s="428">
        <f>4.28+(0.4/3)+0.4+0.4+0.35+0.35+0.35+0.35+0.3+0.3+0.25+0.25+0.25+0.2+0.04+0.17+0.16+0.03+0.15+0.13+0.02</f>
        <v>8.8633333333333315</v>
      </c>
      <c r="AC10" s="429">
        <v>2.95</v>
      </c>
      <c r="AD10" s="428">
        <f>9+1*5/90+0.85+0.85*30/90+0.65+0.55+0.5+0.4+0.35+0.35+0.25+0.25*35/90</f>
        <v>13.33611111111111</v>
      </c>
      <c r="AE10" s="629">
        <v>988</v>
      </c>
      <c r="AF10" s="546">
        <f t="shared" si="10"/>
        <v>7.8705956417801142</v>
      </c>
      <c r="AG10" s="546">
        <f t="shared" si="11"/>
        <v>8.7995934392169612</v>
      </c>
      <c r="AH10" s="288">
        <f t="shared" si="12"/>
        <v>3.3340836519908419</v>
      </c>
      <c r="AI10" s="288">
        <f t="shared" si="13"/>
        <v>7.9302886569321078</v>
      </c>
      <c r="AJ10" s="288">
        <f t="shared" si="14"/>
        <v>9.729844880565059</v>
      </c>
      <c r="AK10" s="288">
        <f t="shared" si="15"/>
        <v>0.7596711050795153</v>
      </c>
      <c r="AL10" s="288">
        <f t="shared" si="16"/>
        <v>0.96984680027790904</v>
      </c>
      <c r="AM10" s="283">
        <f t="shared" si="17"/>
        <v>12.020705380645913</v>
      </c>
      <c r="AN10" s="283">
        <f t="shared" si="18"/>
        <v>13.439557184310875</v>
      </c>
      <c r="AO10" s="394">
        <v>3</v>
      </c>
      <c r="AP10" s="394">
        <v>2</v>
      </c>
      <c r="AQ10" s="533">
        <f t="shared" si="19"/>
        <v>0.1158</v>
      </c>
      <c r="AR10" s="632"/>
      <c r="AS10" s="632"/>
      <c r="AT10" s="632"/>
      <c r="AU10" s="632"/>
      <c r="AV10" s="533"/>
      <c r="AW10" s="533"/>
      <c r="AX10" s="533"/>
      <c r="AY10" s="533"/>
      <c r="AZ10" s="533"/>
      <c r="BA10" s="533"/>
      <c r="BB10" s="533"/>
      <c r="BC10" s="533"/>
      <c r="BD10" s="533"/>
      <c r="BE10" s="533"/>
      <c r="BF10" s="533"/>
      <c r="BG10" s="570">
        <v>20670</v>
      </c>
      <c r="BH10" s="636"/>
      <c r="BJ10" s="341"/>
      <c r="BK10" s="351"/>
    </row>
    <row r="11" spans="1:63" s="237" customFormat="1" x14ac:dyDescent="0.25">
      <c r="A11" s="335" t="s">
        <v>357</v>
      </c>
      <c r="B11" s="335" t="s">
        <v>65</v>
      </c>
      <c r="C11" s="336">
        <f t="shared" ca="1" si="20"/>
        <v>-1.6875</v>
      </c>
      <c r="D11" s="598" t="s">
        <v>686</v>
      </c>
      <c r="E11" s="338">
        <v>35</v>
      </c>
      <c r="F11" s="194">
        <f ca="1">46-41471+$D$1-112-112-112-112-112-112-112-112-112-112-112-112-112-112-112-112-112-112-112</f>
        <v>77</v>
      </c>
      <c r="G11" s="339" t="s">
        <v>246</v>
      </c>
      <c r="H11" s="330">
        <v>0</v>
      </c>
      <c r="I11" s="280">
        <v>17.100000000000001</v>
      </c>
      <c r="J11" s="429">
        <f t="shared" si="4"/>
        <v>1.6769047664922461</v>
      </c>
      <c r="K11" s="275">
        <f t="shared" si="5"/>
        <v>0</v>
      </c>
      <c r="L11" s="275">
        <f t="shared" si="6"/>
        <v>17.100000000000001</v>
      </c>
      <c r="M11" s="340">
        <v>6</v>
      </c>
      <c r="N11" s="393">
        <f t="shared" si="7"/>
        <v>79</v>
      </c>
      <c r="O11" s="393" t="s">
        <v>463</v>
      </c>
      <c r="P11" s="616">
        <v>1.5</v>
      </c>
      <c r="Q11" s="393">
        <v>6</v>
      </c>
      <c r="R11" s="443">
        <f t="shared" si="8"/>
        <v>0.92582009977255142</v>
      </c>
      <c r="S11" s="443">
        <f t="shared" si="9"/>
        <v>0.99928545900129484</v>
      </c>
      <c r="T11" s="296">
        <v>30280</v>
      </c>
      <c r="U11" s="569">
        <f t="shared" si="2"/>
        <v>-6780</v>
      </c>
      <c r="V11" s="296">
        <v>5520</v>
      </c>
      <c r="W11" s="288">
        <f t="shared" si="3"/>
        <v>5.4855072463768115</v>
      </c>
      <c r="X11" s="428">
        <v>0</v>
      </c>
      <c r="Y11" s="429">
        <v>11.95</v>
      </c>
      <c r="Z11" s="428">
        <f>9.9+0.17+(0.17/90*26)+0.17+0.15+0.15+0.15+0.13+0.13+(1/8)+0.13+0.13+0.13*0.5+0.11+0.11+0.11*0.5+0.11*0.5+0.1*0.5+0.1*0.5+0.1+0.1+0.1*0.5+0.09+0.09*0.5+0.09*0.5+0.09*0.5+0.09*0.5+0.09*0.5+0.09*0.5+0.09*0.5+0.09*0.5+0.07*0.5</f>
        <v>12.614111111111114</v>
      </c>
      <c r="AA11" s="429">
        <v>12.95</v>
      </c>
      <c r="AB11" s="428">
        <v>10.95</v>
      </c>
      <c r="AC11" s="429">
        <v>5.95</v>
      </c>
      <c r="AD11" s="428">
        <f>10.8+0.67+0.55+0.55+0.45+0.45+0.4+0.4+0.35+0.35+0.33+0.33+0.3+0.3+0.25+0.25+0.2+0.2+0.2+0.2</f>
        <v>17.529999999999998</v>
      </c>
      <c r="AE11" s="629">
        <v>1965</v>
      </c>
      <c r="AF11" s="546">
        <f t="shared" si="10"/>
        <v>14.619639895312687</v>
      </c>
      <c r="AG11" s="546">
        <f t="shared" si="11"/>
        <v>15.79101587760336</v>
      </c>
      <c r="AH11" s="288">
        <f t="shared" si="12"/>
        <v>5.0203421551182625</v>
      </c>
      <c r="AI11" s="288">
        <f t="shared" si="13"/>
        <v>17.534532315357808</v>
      </c>
      <c r="AJ11" s="288">
        <f t="shared" si="14"/>
        <v>15.954569610284725</v>
      </c>
      <c r="AK11" s="288">
        <f t="shared" si="15"/>
        <v>1.0775523813193797</v>
      </c>
      <c r="AL11" s="288">
        <f t="shared" si="16"/>
        <v>1.226283333654457</v>
      </c>
      <c r="AM11" s="283">
        <f t="shared" si="17"/>
        <v>19.140399941261563</v>
      </c>
      <c r="AN11" s="283">
        <f t="shared" si="18"/>
        <v>20.673994813856204</v>
      </c>
      <c r="AO11" s="393">
        <v>1</v>
      </c>
      <c r="AP11" s="393">
        <v>2</v>
      </c>
      <c r="AQ11" s="533">
        <f t="shared" si="19"/>
        <v>4.9399999999999999E-2</v>
      </c>
      <c r="AR11" s="632"/>
      <c r="AS11" s="632"/>
      <c r="AT11" s="632"/>
      <c r="AU11" s="632"/>
      <c r="AV11" s="533"/>
      <c r="AW11" s="533"/>
      <c r="AX11" s="533"/>
      <c r="AY11" s="533"/>
      <c r="AZ11" s="533"/>
      <c r="BA11" s="533"/>
      <c r="BB11" s="533"/>
      <c r="BC11" s="533"/>
      <c r="BD11" s="533"/>
      <c r="BE11" s="533"/>
      <c r="BF11" s="533"/>
      <c r="BG11" s="296">
        <v>37060</v>
      </c>
      <c r="BH11" s="635"/>
      <c r="BJ11" s="341"/>
      <c r="BK11" s="351"/>
    </row>
    <row r="12" spans="1:63" s="229" customFormat="1" x14ac:dyDescent="0.25">
      <c r="A12" s="335" t="s">
        <v>359</v>
      </c>
      <c r="B12" s="335" t="s">
        <v>65</v>
      </c>
      <c r="C12" s="336">
        <f t="shared" ca="1" si="20"/>
        <v>-1.2142857142857142</v>
      </c>
      <c r="D12" s="598" t="s">
        <v>258</v>
      </c>
      <c r="E12" s="338">
        <v>35</v>
      </c>
      <c r="F12" s="343">
        <f ca="1">75-41471+$D$1-24-112-10-112-40-8-112-112-112-112-112-112-112-112-112-112-112-112-112-112-112-112-112</f>
        <v>24</v>
      </c>
      <c r="G12" s="339" t="s">
        <v>243</v>
      </c>
      <c r="H12" s="330">
        <v>2</v>
      </c>
      <c r="I12" s="280">
        <v>13.5</v>
      </c>
      <c r="J12" s="429">
        <f t="shared" si="4"/>
        <v>1.5484906696466332</v>
      </c>
      <c r="K12" s="275">
        <f t="shared" si="5"/>
        <v>54</v>
      </c>
      <c r="L12" s="275">
        <f t="shared" si="6"/>
        <v>121.5</v>
      </c>
      <c r="M12" s="340">
        <v>6</v>
      </c>
      <c r="N12" s="393">
        <f t="shared" si="7"/>
        <v>79</v>
      </c>
      <c r="O12" s="393" t="s">
        <v>463</v>
      </c>
      <c r="P12" s="616">
        <v>1.5</v>
      </c>
      <c r="Q12" s="393">
        <v>6</v>
      </c>
      <c r="R12" s="443">
        <f t="shared" si="8"/>
        <v>0.92582009977255142</v>
      </c>
      <c r="S12" s="443">
        <f t="shared" si="9"/>
        <v>0.99928545900129484</v>
      </c>
      <c r="T12" s="630">
        <v>15760</v>
      </c>
      <c r="U12" s="569">
        <f t="shared" si="2"/>
        <v>-400</v>
      </c>
      <c r="V12" s="296">
        <v>3410</v>
      </c>
      <c r="W12" s="288">
        <f t="shared" si="3"/>
        <v>4.6217008797653962</v>
      </c>
      <c r="X12" s="428">
        <v>0</v>
      </c>
      <c r="Y12" s="429">
        <f>7+0.11+0.11+1/33</f>
        <v>7.2503030303030309</v>
      </c>
      <c r="Z12" s="428">
        <f>10+0.1*0.5+0.1*0.5+0.1*0.5+0.1*0.5+0.1*0.5+0.1+0.1+0.1*0.5+0.1*0.5+0.1*0.5</f>
        <v>10.600000000000005</v>
      </c>
      <c r="AA12" s="429">
        <f>12+0.165+0.15+0.15+0.15+0.13+0.13+0.12+0.11+0.1+0.1+1/12+1/12</f>
        <v>13.471666666666668</v>
      </c>
      <c r="AB12" s="428">
        <v>9.9499999999999993</v>
      </c>
      <c r="AC12" s="429">
        <v>3.95</v>
      </c>
      <c r="AD12" s="428">
        <v>18</v>
      </c>
      <c r="AE12" s="629">
        <v>1533</v>
      </c>
      <c r="AF12" s="546">
        <f t="shared" si="10"/>
        <v>12.636046993516986</v>
      </c>
      <c r="AG12" s="546">
        <f t="shared" si="11"/>
        <v>13.648490669646637</v>
      </c>
      <c r="AH12" s="288">
        <f t="shared" si="12"/>
        <v>4.2004197585192458</v>
      </c>
      <c r="AI12" s="288">
        <f t="shared" si="13"/>
        <v>14.437390822086231</v>
      </c>
      <c r="AJ12" s="288">
        <f t="shared" si="14"/>
        <v>15.584784011292559</v>
      </c>
      <c r="AK12" s="288">
        <f t="shared" si="15"/>
        <v>0.98137925357173061</v>
      </c>
      <c r="AL12" s="288">
        <f t="shared" si="16"/>
        <v>1.0434064680873854</v>
      </c>
      <c r="AM12" s="283">
        <f t="shared" si="17"/>
        <v>19.448806241997193</v>
      </c>
      <c r="AN12" s="283">
        <f t="shared" si="18"/>
        <v>21.007111691326674</v>
      </c>
      <c r="AO12" s="393">
        <v>4</v>
      </c>
      <c r="AP12" s="393">
        <v>4</v>
      </c>
      <c r="AQ12" s="533">
        <f t="shared" si="19"/>
        <v>0.157</v>
      </c>
      <c r="AR12" s="632"/>
      <c r="AS12" s="632"/>
      <c r="AT12" s="632"/>
      <c r="AU12" s="632"/>
      <c r="AV12" s="533"/>
      <c r="AW12" s="533"/>
      <c r="AX12" s="533"/>
      <c r="AY12" s="533"/>
      <c r="AZ12" s="533"/>
      <c r="BA12" s="533"/>
      <c r="BB12" s="533"/>
      <c r="BC12" s="533"/>
      <c r="BD12" s="533"/>
      <c r="BE12" s="533"/>
      <c r="BF12" s="533"/>
      <c r="BG12" s="630">
        <v>16160</v>
      </c>
      <c r="BH12" s="637"/>
      <c r="BJ12" s="341"/>
      <c r="BK12" s="351"/>
    </row>
    <row r="13" spans="1:63" s="236" customFormat="1" x14ac:dyDescent="0.25">
      <c r="A13" s="335" t="s">
        <v>358</v>
      </c>
      <c r="B13" s="335" t="s">
        <v>65</v>
      </c>
      <c r="C13" s="336">
        <f t="shared" ca="1" si="20"/>
        <v>1.6517857142857142</v>
      </c>
      <c r="D13" s="598" t="s">
        <v>431</v>
      </c>
      <c r="E13" s="338">
        <v>32</v>
      </c>
      <c r="F13" s="194">
        <f ca="1">7-41471+$D$1-112-111-112+4-112-116-112-112-112-112-112-112-112-112-112-112-112-112-112-112</f>
        <v>39</v>
      </c>
      <c r="G13" s="339" t="s">
        <v>426</v>
      </c>
      <c r="H13" s="330">
        <v>2</v>
      </c>
      <c r="I13" s="280">
        <v>13</v>
      </c>
      <c r="J13" s="429">
        <f t="shared" si="4"/>
        <v>1.5281707142376506</v>
      </c>
      <c r="K13" s="275">
        <f t="shared" si="5"/>
        <v>52</v>
      </c>
      <c r="L13" s="275">
        <f t="shared" si="6"/>
        <v>117</v>
      </c>
      <c r="M13" s="340">
        <v>7.3</v>
      </c>
      <c r="N13" s="393">
        <f t="shared" si="7"/>
        <v>92</v>
      </c>
      <c r="O13" s="393" t="s">
        <v>463</v>
      </c>
      <c r="P13" s="616">
        <v>1.5</v>
      </c>
      <c r="Q13" s="393">
        <v>6</v>
      </c>
      <c r="R13" s="443">
        <f t="shared" si="8"/>
        <v>0.92582009977255142</v>
      </c>
      <c r="S13" s="443">
        <f t="shared" si="9"/>
        <v>0.99928545900129484</v>
      </c>
      <c r="T13" s="296">
        <v>101490</v>
      </c>
      <c r="U13" s="569">
        <f t="shared" si="2"/>
        <v>-43450</v>
      </c>
      <c r="V13" s="296">
        <v>12210</v>
      </c>
      <c r="W13" s="288">
        <f t="shared" si="3"/>
        <v>8.3120393120393121</v>
      </c>
      <c r="X13" s="428">
        <v>0</v>
      </c>
      <c r="Y13" s="429">
        <f>8+0.12+0.12+0.12</f>
        <v>8.3599999999999977</v>
      </c>
      <c r="Z13" s="428">
        <f>8.4+0.22+0.22+(0.22*75/90)+(0.05*15/90)+0.17+0.17+0.17+0.17+0.17+1/7+0.16+0.16+0.16+0.125+0.16+0.16+0.14+0.14+0.05*61/90+0.11+0.11*0.5+0.11+0.11+0.11+0.1+0.1+0.1*0.5+0.1*0.5+0.1+0.1*0.5+0.09*0.5</f>
        <v>12.253412698412699</v>
      </c>
      <c r="AA13" s="429">
        <v>12.95</v>
      </c>
      <c r="AB13" s="428">
        <f>6+0.33+0.33+0.33+0.3+0.25+0.25+0.24+0.24+0.23+0.2+0.2+0.18+0.15+0.15+0.15+0.15+0.13+0.13+0.12+0.1+0.08</f>
        <v>10.24</v>
      </c>
      <c r="AC13" s="429">
        <v>6.95</v>
      </c>
      <c r="AD13" s="428">
        <v>16</v>
      </c>
      <c r="AE13" s="629">
        <v>1760</v>
      </c>
      <c r="AF13" s="546">
        <f t="shared" si="10"/>
        <v>14.147997079782513</v>
      </c>
      <c r="AG13" s="546">
        <f t="shared" si="11"/>
        <v>15.281583412650349</v>
      </c>
      <c r="AH13" s="288">
        <f t="shared" si="12"/>
        <v>4.3889094519739809</v>
      </c>
      <c r="AI13" s="288">
        <f t="shared" si="13"/>
        <v>17.98799691205523</v>
      </c>
      <c r="AJ13" s="288">
        <f t="shared" si="14"/>
        <v>15.103061338262165</v>
      </c>
      <c r="AK13" s="288">
        <f t="shared" si="15"/>
        <v>1.069753657139012</v>
      </c>
      <c r="AL13" s="288">
        <f t="shared" si="16"/>
        <v>1.0263719499966355</v>
      </c>
      <c r="AM13" s="283">
        <f t="shared" si="17"/>
        <v>17.576933273451232</v>
      </c>
      <c r="AN13" s="283">
        <f t="shared" si="18"/>
        <v>18.985257803075783</v>
      </c>
      <c r="AO13" s="393">
        <v>3</v>
      </c>
      <c r="AP13" s="393">
        <v>2</v>
      </c>
      <c r="AQ13" s="533">
        <f t="shared" si="19"/>
        <v>0.1158</v>
      </c>
      <c r="AR13" s="632"/>
      <c r="AS13" s="632"/>
      <c r="AT13" s="632"/>
      <c r="AU13" s="632"/>
      <c r="AV13" s="533"/>
      <c r="AW13" s="533"/>
      <c r="AX13" s="533"/>
      <c r="AY13" s="533"/>
      <c r="AZ13" s="533"/>
      <c r="BA13" s="533"/>
      <c r="BB13" s="533"/>
      <c r="BC13" s="533"/>
      <c r="BD13" s="533"/>
      <c r="BE13" s="533"/>
      <c r="BF13" s="533"/>
      <c r="BG13" s="296">
        <v>144940</v>
      </c>
      <c r="BH13" s="635"/>
      <c r="BJ13" s="341"/>
      <c r="BK13" s="351"/>
    </row>
    <row r="14" spans="1:63" s="237" customFormat="1" x14ac:dyDescent="0.25">
      <c r="A14" s="335" t="s">
        <v>355</v>
      </c>
      <c r="B14" s="233" t="s">
        <v>64</v>
      </c>
      <c r="C14" s="336">
        <f t="shared" ca="1" si="20"/>
        <v>-0.32142857142857145</v>
      </c>
      <c r="D14" s="599" t="s">
        <v>503</v>
      </c>
      <c r="E14" s="193">
        <v>34</v>
      </c>
      <c r="F14" s="194">
        <f ca="1">7-41471+$D$1-112-111-3-112-112-112-112-112-112-112-112-112-112-112-112-112-112-112-112-112</f>
        <v>36</v>
      </c>
      <c r="G14" s="339" t="s">
        <v>243</v>
      </c>
      <c r="H14" s="330">
        <v>3</v>
      </c>
      <c r="I14" s="197">
        <v>14.8</v>
      </c>
      <c r="J14" s="429">
        <f t="shared" si="4"/>
        <v>1.5982094492725636</v>
      </c>
      <c r="K14" s="275">
        <f t="shared" si="5"/>
        <v>133.20000000000002</v>
      </c>
      <c r="L14" s="275">
        <f t="shared" si="6"/>
        <v>236.8</v>
      </c>
      <c r="M14" s="268">
        <v>6.5</v>
      </c>
      <c r="N14" s="393">
        <f t="shared" si="7"/>
        <v>84</v>
      </c>
      <c r="O14" s="393" t="s">
        <v>463</v>
      </c>
      <c r="P14" s="616">
        <v>1.5</v>
      </c>
      <c r="Q14" s="394">
        <v>6</v>
      </c>
      <c r="R14" s="443">
        <f t="shared" si="8"/>
        <v>0.92582009977255142</v>
      </c>
      <c r="S14" s="443">
        <f t="shared" si="9"/>
        <v>0.99928545900129484</v>
      </c>
      <c r="T14" s="296">
        <v>34800</v>
      </c>
      <c r="U14" s="569">
        <f t="shared" si="2"/>
        <v>-43180</v>
      </c>
      <c r="V14" s="570">
        <v>12280</v>
      </c>
      <c r="W14" s="288">
        <f t="shared" si="3"/>
        <v>2.8338762214983713</v>
      </c>
      <c r="X14" s="428">
        <v>0</v>
      </c>
      <c r="Y14" s="429">
        <f>5.6+0.26+0.26+0.26+(0.26*23/90)+(0.05*(90-23)/90)+0.26+0.26+0.23+0.23+0.22+0.15+0.15+0.14+0.13+0.13+0.13+0.12+0.12+0.12+0.02+0.1+0.1+0.1+0.01+0.1</f>
        <v>9.3036666666666648</v>
      </c>
      <c r="Z14" s="428">
        <v>14</v>
      </c>
      <c r="AA14" s="429">
        <f>11.58+0.17+(0.17/2)+0.17+0.15+0.03+0.15+0.14+0.13+0.12+0.11+0.11</f>
        <v>12.945</v>
      </c>
      <c r="AB14" s="428">
        <v>9.9499999999999993</v>
      </c>
      <c r="AC14" s="429">
        <v>3.95</v>
      </c>
      <c r="AD14" s="428">
        <v>16</v>
      </c>
      <c r="AE14" s="629">
        <v>1856</v>
      </c>
      <c r="AF14" s="546">
        <f t="shared" si="10"/>
        <v>15.829865978257505</v>
      </c>
      <c r="AG14" s="546">
        <f t="shared" si="11"/>
        <v>17.098209449272563</v>
      </c>
      <c r="AH14" s="288">
        <f t="shared" si="12"/>
        <v>4.455311916422878</v>
      </c>
      <c r="AI14" s="288">
        <f t="shared" si="13"/>
        <v>13.520716438922031</v>
      </c>
      <c r="AJ14" s="288">
        <f t="shared" si="14"/>
        <v>14.334666517124836</v>
      </c>
      <c r="AK14" s="288">
        <f t="shared" si="15"/>
        <v>0.92535675594180522</v>
      </c>
      <c r="AL14" s="288">
        <f t="shared" si="16"/>
        <v>1.0690213281157459</v>
      </c>
      <c r="AM14" s="283">
        <f t="shared" si="17"/>
        <v>17.646454170162258</v>
      </c>
      <c r="AN14" s="283">
        <f t="shared" si="18"/>
        <v>19.060348953859943</v>
      </c>
      <c r="AO14" s="394">
        <v>3</v>
      </c>
      <c r="AP14" s="394">
        <v>3</v>
      </c>
      <c r="AQ14" s="533">
        <f t="shared" si="19"/>
        <v>0.1158</v>
      </c>
      <c r="AR14" s="632"/>
      <c r="AS14" s="632"/>
      <c r="AT14" s="632"/>
      <c r="AU14" s="632"/>
      <c r="AV14" s="533"/>
      <c r="AW14" s="533"/>
      <c r="AX14" s="533"/>
      <c r="AY14" s="533"/>
      <c r="AZ14" s="533"/>
      <c r="BA14" s="533"/>
      <c r="BB14" s="533"/>
      <c r="BC14" s="533"/>
      <c r="BD14" s="533"/>
      <c r="BE14" s="533"/>
      <c r="BF14" s="533"/>
      <c r="BG14" s="296">
        <v>77980</v>
      </c>
      <c r="BH14" s="635"/>
      <c r="BJ14" s="341"/>
      <c r="BK14" s="351"/>
    </row>
    <row r="15" spans="1:63" x14ac:dyDescent="0.25">
      <c r="A15" s="277" t="s">
        <v>356</v>
      </c>
      <c r="B15" s="335" t="s">
        <v>64</v>
      </c>
      <c r="C15" s="336">
        <f t="shared" ca="1" si="20"/>
        <v>-2.625</v>
      </c>
      <c r="D15" s="598" t="s">
        <v>252</v>
      </c>
      <c r="E15" s="338">
        <v>36</v>
      </c>
      <c r="F15" s="343">
        <f ca="1">33-41471+$D$1-112+6-112-112-112-112-112-112-112-112-112-112-112-112-112-112-112-112-112-112</f>
        <v>70</v>
      </c>
      <c r="G15" s="339" t="s">
        <v>243</v>
      </c>
      <c r="H15" s="342">
        <v>4</v>
      </c>
      <c r="I15" s="280">
        <v>14.4</v>
      </c>
      <c r="J15" s="429">
        <f t="shared" si="4"/>
        <v>1.5833609611152841</v>
      </c>
      <c r="K15" s="275">
        <f t="shared" si="5"/>
        <v>230.4</v>
      </c>
      <c r="L15" s="275">
        <f t="shared" si="6"/>
        <v>360</v>
      </c>
      <c r="M15" s="340">
        <v>5.6</v>
      </c>
      <c r="N15" s="393">
        <f t="shared" si="7"/>
        <v>75</v>
      </c>
      <c r="O15" s="393" t="s">
        <v>463</v>
      </c>
      <c r="P15" s="616">
        <v>1.5</v>
      </c>
      <c r="Q15" s="393">
        <v>6</v>
      </c>
      <c r="R15" s="443">
        <f t="shared" si="8"/>
        <v>0.92582009977255142</v>
      </c>
      <c r="S15" s="443">
        <f t="shared" si="9"/>
        <v>0.99928545900129484</v>
      </c>
      <c r="T15" s="296">
        <v>11130</v>
      </c>
      <c r="U15" s="569">
        <f t="shared" si="2"/>
        <v>-3960</v>
      </c>
      <c r="V15" s="296">
        <v>4300</v>
      </c>
      <c r="W15" s="288">
        <f t="shared" si="3"/>
        <v>2.5883720930232559</v>
      </c>
      <c r="X15" s="428">
        <v>0</v>
      </c>
      <c r="Y15" s="429">
        <v>7.95</v>
      </c>
      <c r="Z15" s="428">
        <v>13.95</v>
      </c>
      <c r="AA15" s="429">
        <v>8.9499999999999993</v>
      </c>
      <c r="AB15" s="428">
        <v>9.9499999999999993</v>
      </c>
      <c r="AC15" s="429">
        <v>1.95</v>
      </c>
      <c r="AD15" s="428">
        <f>10.7+0.5+0.5*80/90+0.5+0.45+0.45+0.45+0.45+0.35+0.3+0.3+0.25+0.25+0.25+0.25+0.25+0.2+0.2+0.2+0.2+0.2</f>
        <v>17.144444444444439</v>
      </c>
      <c r="AE15" s="629">
        <v>1406</v>
      </c>
      <c r="AF15" s="546">
        <f t="shared" si="10"/>
        <v>15.769827944481635</v>
      </c>
      <c r="AG15" s="546">
        <f t="shared" si="11"/>
        <v>17.033360961115285</v>
      </c>
      <c r="AH15" s="288">
        <f t="shared" si="12"/>
        <v>4.2935003045786475</v>
      </c>
      <c r="AI15" s="288">
        <f t="shared" si="13"/>
        <v>10.99936509241418</v>
      </c>
      <c r="AJ15" s="288">
        <f t="shared" si="14"/>
        <v>14.507112197291844</v>
      </c>
      <c r="AK15" s="288">
        <f t="shared" si="15"/>
        <v>0.85850221022255579</v>
      </c>
      <c r="AL15" s="288">
        <f t="shared" si="16"/>
        <v>1.048168600611403</v>
      </c>
      <c r="AM15" s="283">
        <f t="shared" si="17"/>
        <v>18.691315119765218</v>
      </c>
      <c r="AN15" s="283">
        <f t="shared" si="18"/>
        <v>20.188927767238106</v>
      </c>
      <c r="AO15" s="393">
        <v>2</v>
      </c>
      <c r="AP15" s="393">
        <v>2</v>
      </c>
      <c r="AQ15" s="533">
        <f t="shared" si="19"/>
        <v>6.1499999999999999E-2</v>
      </c>
      <c r="AR15" s="632"/>
      <c r="AS15" s="632"/>
      <c r="AT15" s="632"/>
      <c r="AU15" s="632"/>
      <c r="AV15" s="533"/>
      <c r="AW15" s="533"/>
      <c r="AX15" s="533"/>
      <c r="AY15" s="533"/>
      <c r="AZ15" s="533"/>
      <c r="BA15" s="533"/>
      <c r="BB15" s="533"/>
      <c r="BC15" s="533"/>
      <c r="BD15" s="533"/>
      <c r="BE15" s="533"/>
      <c r="BF15" s="533"/>
      <c r="BG15" s="296">
        <v>15090</v>
      </c>
      <c r="BH15" s="635"/>
      <c r="BJ15" s="341"/>
      <c r="BK15" s="351"/>
    </row>
    <row r="16" spans="1:63" s="4" customFormat="1" x14ac:dyDescent="0.25">
      <c r="A16" s="335" t="s">
        <v>353</v>
      </c>
      <c r="B16" s="335" t="s">
        <v>64</v>
      </c>
      <c r="C16" s="336">
        <f t="shared" ca="1" si="20"/>
        <v>-1.5714285714285714</v>
      </c>
      <c r="D16" s="598" t="s">
        <v>247</v>
      </c>
      <c r="E16" s="338">
        <v>35</v>
      </c>
      <c r="F16" s="343">
        <f ca="1">33-41471+$D$1-112-112-112-112-112-112-112-112-112-112-112-112-112-112-112-112-112-112-112</f>
        <v>64</v>
      </c>
      <c r="G16" s="339"/>
      <c r="H16" s="330">
        <v>3</v>
      </c>
      <c r="I16" s="280">
        <v>13.1</v>
      </c>
      <c r="J16" s="429">
        <f t="shared" si="4"/>
        <v>1.5322921502071731</v>
      </c>
      <c r="K16" s="275">
        <f t="shared" si="5"/>
        <v>117.89999999999999</v>
      </c>
      <c r="L16" s="275">
        <f t="shared" si="6"/>
        <v>209.6</v>
      </c>
      <c r="M16" s="340">
        <v>6</v>
      </c>
      <c r="N16" s="393">
        <f t="shared" si="7"/>
        <v>79</v>
      </c>
      <c r="O16" s="393" t="s">
        <v>463</v>
      </c>
      <c r="P16" s="616">
        <v>1.5</v>
      </c>
      <c r="Q16" s="393">
        <v>5</v>
      </c>
      <c r="R16" s="443">
        <f t="shared" si="8"/>
        <v>0.84515425472851657</v>
      </c>
      <c r="S16" s="443">
        <f t="shared" si="9"/>
        <v>0.92504826128926143</v>
      </c>
      <c r="T16" s="296">
        <v>9450</v>
      </c>
      <c r="U16" s="569">
        <f t="shared" si="2"/>
        <v>-2750</v>
      </c>
      <c r="V16" s="296">
        <v>4400</v>
      </c>
      <c r="W16" s="288">
        <f t="shared" si="3"/>
        <v>2.1477272727272729</v>
      </c>
      <c r="X16" s="428">
        <v>0</v>
      </c>
      <c r="Y16" s="429">
        <f>7.5+0.2+0.2+0.2+0.2+0.2+0.16+0.16+0.14+0.14+0.13+0.13+0.12+0.12+0.12+0.12+0.11+0.1+0.1+0.1+0.1+0.1+0.1</f>
        <v>10.549999999999995</v>
      </c>
      <c r="Z16" s="428">
        <v>12.95</v>
      </c>
      <c r="AA16" s="429">
        <v>4.95</v>
      </c>
      <c r="AB16" s="428">
        <v>8.9499999999999993</v>
      </c>
      <c r="AC16" s="429">
        <v>0.95</v>
      </c>
      <c r="AD16" s="428">
        <v>17.3</v>
      </c>
      <c r="AE16" s="629">
        <v>1383</v>
      </c>
      <c r="AF16" s="546">
        <f t="shared" si="10"/>
        <v>13.507502211061762</v>
      </c>
      <c r="AG16" s="546">
        <f t="shared" si="11"/>
        <v>14.79672731309887</v>
      </c>
      <c r="AH16" s="288">
        <f t="shared" si="12"/>
        <v>3.9666127980010892</v>
      </c>
      <c r="AI16" s="288">
        <f t="shared" si="13"/>
        <v>8.6149663507556991</v>
      </c>
      <c r="AJ16" s="288">
        <f t="shared" si="14"/>
        <v>13.038441599687436</v>
      </c>
      <c r="AK16" s="288">
        <f t="shared" si="15"/>
        <v>0.80908337201657388</v>
      </c>
      <c r="AL16" s="288">
        <f t="shared" si="16"/>
        <v>1.1532604505145021</v>
      </c>
      <c r="AM16" s="283">
        <f t="shared" si="17"/>
        <v>17.147922107842128</v>
      </c>
      <c r="AN16" s="283">
        <f t="shared" si="18"/>
        <v>18.784607505613337</v>
      </c>
      <c r="AO16" s="393">
        <v>4</v>
      </c>
      <c r="AP16" s="393">
        <v>1</v>
      </c>
      <c r="AQ16" s="533">
        <f t="shared" si="19"/>
        <v>0.157</v>
      </c>
      <c r="AR16" s="632"/>
      <c r="AS16" s="632"/>
      <c r="AT16" s="632"/>
      <c r="AU16" s="632"/>
      <c r="AV16" s="533"/>
      <c r="AW16" s="533"/>
      <c r="AX16" s="533"/>
      <c r="AY16" s="533"/>
      <c r="AZ16" s="533"/>
      <c r="BA16" s="533"/>
      <c r="BB16" s="533"/>
      <c r="BC16" s="533"/>
      <c r="BD16" s="533"/>
      <c r="BE16" s="533"/>
      <c r="BF16" s="533"/>
      <c r="BG16" s="296">
        <v>12200</v>
      </c>
      <c r="BH16" s="635"/>
      <c r="BJ16" s="341"/>
      <c r="BK16" s="351"/>
    </row>
    <row r="17" spans="1:63" s="236" customFormat="1" x14ac:dyDescent="0.25">
      <c r="A17" s="277" t="s">
        <v>360</v>
      </c>
      <c r="B17" s="233" t="s">
        <v>64</v>
      </c>
      <c r="C17" s="336">
        <f t="shared" ca="1" si="20"/>
        <v>-1.3482142857142858</v>
      </c>
      <c r="D17" s="599" t="s">
        <v>349</v>
      </c>
      <c r="E17" s="193">
        <v>35</v>
      </c>
      <c r="F17" s="194">
        <f ca="1">7-41471+$D$1-112-111-112-112-112-112-112-112-112-112-112-112-112-112-112-112-112-112-112</f>
        <v>39</v>
      </c>
      <c r="G17" s="235"/>
      <c r="H17" s="330">
        <v>0</v>
      </c>
      <c r="I17" s="197">
        <v>12</v>
      </c>
      <c r="J17" s="429">
        <f t="shared" si="4"/>
        <v>1.4852578030757824</v>
      </c>
      <c r="K17" s="275">
        <f t="shared" si="5"/>
        <v>0</v>
      </c>
      <c r="L17" s="275">
        <f t="shared" si="6"/>
        <v>12</v>
      </c>
      <c r="M17" s="268">
        <v>6</v>
      </c>
      <c r="N17" s="393">
        <f t="shared" si="7"/>
        <v>79</v>
      </c>
      <c r="O17" s="393" t="s">
        <v>463</v>
      </c>
      <c r="P17" s="616">
        <v>1.5</v>
      </c>
      <c r="Q17" s="394">
        <v>4</v>
      </c>
      <c r="R17" s="443">
        <f t="shared" si="8"/>
        <v>0.7559289460184544</v>
      </c>
      <c r="S17" s="443">
        <f t="shared" si="9"/>
        <v>0.84430867747355465</v>
      </c>
      <c r="T17" s="296">
        <v>10900</v>
      </c>
      <c r="U17" s="569">
        <f t="shared" si="2"/>
        <v>-5310</v>
      </c>
      <c r="V17" s="570">
        <v>8340</v>
      </c>
      <c r="W17" s="288">
        <f t="shared" si="3"/>
        <v>1.3069544364508394</v>
      </c>
      <c r="X17" s="428">
        <v>0</v>
      </c>
      <c r="Y17" s="429">
        <v>5.95</v>
      </c>
      <c r="Z17" s="428">
        <v>14.1</v>
      </c>
      <c r="AA17" s="429">
        <v>2.95</v>
      </c>
      <c r="AB17" s="428">
        <v>8.9499999999999993</v>
      </c>
      <c r="AC17" s="429">
        <v>5.95</v>
      </c>
      <c r="AD17" s="428">
        <v>17</v>
      </c>
      <c r="AE17" s="629">
        <v>1388</v>
      </c>
      <c r="AF17" s="546">
        <f t="shared" si="10"/>
        <v>12.915240923532648</v>
      </c>
      <c r="AG17" s="546">
        <f t="shared" si="11"/>
        <v>14.439678325403083</v>
      </c>
      <c r="AH17" s="288">
        <f t="shared" si="12"/>
        <v>3.0998542145696826</v>
      </c>
      <c r="AI17" s="288">
        <f t="shared" si="13"/>
        <v>13.776366409482669</v>
      </c>
      <c r="AJ17" s="288">
        <f t="shared" si="14"/>
        <v>12.601530410934991</v>
      </c>
      <c r="AK17" s="288">
        <f t="shared" si="15"/>
        <v>1.0463206242460625</v>
      </c>
      <c r="AL17" s="288">
        <f t="shared" si="16"/>
        <v>0.95696804621530485</v>
      </c>
      <c r="AM17" s="283">
        <f t="shared" si="17"/>
        <v>15.072397957191626</v>
      </c>
      <c r="AN17" s="283">
        <f t="shared" si="18"/>
        <v>16.851453208104722</v>
      </c>
      <c r="AO17" s="394">
        <v>2</v>
      </c>
      <c r="AP17" s="394">
        <v>1</v>
      </c>
      <c r="AQ17" s="533">
        <f t="shared" si="19"/>
        <v>6.1499999999999999E-2</v>
      </c>
      <c r="AR17" s="632"/>
      <c r="AS17" s="632"/>
      <c r="AT17" s="632"/>
      <c r="AU17" s="632"/>
      <c r="AV17" s="533"/>
      <c r="AW17" s="533"/>
      <c r="AX17" s="533"/>
      <c r="AY17" s="533"/>
      <c r="AZ17" s="533"/>
      <c r="BA17" s="533"/>
      <c r="BB17" s="533"/>
      <c r="BC17" s="533"/>
      <c r="BD17" s="533"/>
      <c r="BE17" s="533"/>
      <c r="BF17" s="533"/>
      <c r="BG17" s="296">
        <v>16210</v>
      </c>
      <c r="BH17" s="635"/>
      <c r="BJ17" s="341"/>
      <c r="BK17" s="351"/>
    </row>
    <row r="18" spans="1:63" s="237" customFormat="1" ht="14.25" customHeight="1" x14ac:dyDescent="0.25">
      <c r="A18" s="277" t="s">
        <v>429</v>
      </c>
      <c r="B18" s="233" t="s">
        <v>64</v>
      </c>
      <c r="C18" s="336">
        <f t="shared" ca="1" si="20"/>
        <v>9.8214285714285712E-2</v>
      </c>
      <c r="D18" s="599" t="s">
        <v>363</v>
      </c>
      <c r="E18" s="193">
        <v>33</v>
      </c>
      <c r="F18" s="194">
        <f ca="1">59-41471+$D$1-325-112-112-112-112-112-112-112-112-112-112-112-112-112-112-112-112</f>
        <v>101</v>
      </c>
      <c r="G18" s="235"/>
      <c r="H18" s="330">
        <v>2</v>
      </c>
      <c r="I18" s="197">
        <v>4.5</v>
      </c>
      <c r="J18" s="429">
        <f t="shared" si="4"/>
        <v>0.98715025265899181</v>
      </c>
      <c r="K18" s="275">
        <f t="shared" si="5"/>
        <v>18</v>
      </c>
      <c r="L18" s="275">
        <f t="shared" si="6"/>
        <v>40.5</v>
      </c>
      <c r="M18" s="268">
        <v>6.7</v>
      </c>
      <c r="N18" s="393">
        <f t="shared" si="7"/>
        <v>86</v>
      </c>
      <c r="O18" s="393" t="s">
        <v>463</v>
      </c>
      <c r="P18" s="616">
        <v>1.5</v>
      </c>
      <c r="Q18" s="394">
        <v>4</v>
      </c>
      <c r="R18" s="443">
        <f t="shared" si="8"/>
        <v>0.7559289460184544</v>
      </c>
      <c r="S18" s="443">
        <f t="shared" si="9"/>
        <v>0.84430867747355465</v>
      </c>
      <c r="T18" s="296">
        <v>5760</v>
      </c>
      <c r="U18" s="569">
        <f t="shared" si="2"/>
        <v>-2630</v>
      </c>
      <c r="V18" s="570">
        <v>1690</v>
      </c>
      <c r="W18" s="288">
        <f t="shared" si="3"/>
        <v>3.4082840236686391</v>
      </c>
      <c r="X18" s="428">
        <v>0</v>
      </c>
      <c r="Y18" s="429">
        <f>4.45+0.06+0.2+0.06+0.06+(0.06*68/90)+0.06+0.06+0.06+0.04+(0.22*35/90)+0.04+0.04+0.04+0.04+0.04+0.04*0.5+0.2*66/90+0.02+0.12*33/90+0.02+0.02</f>
        <v>5.6515555555555519</v>
      </c>
      <c r="Z18" s="428">
        <v>9.9499999999999993</v>
      </c>
      <c r="AA18" s="429">
        <v>6.95</v>
      </c>
      <c r="AB18" s="428">
        <f>5.2+0.38+0.38+0.33+0.3+0.3+0.3+0.3+0.28+0.25+0.2+0.2+0.15+0.15*40/90+0.14+0.13+0.12+0.12+0.11+0.01</f>
        <v>9.2666666666666639</v>
      </c>
      <c r="AC18" s="429">
        <v>2.95</v>
      </c>
      <c r="AD18" s="428">
        <f>10+0.65+0.65+0.5+0.4+0.25+0.2+0.25*71/90</f>
        <v>12.847222222222223</v>
      </c>
      <c r="AE18" s="629">
        <v>910</v>
      </c>
      <c r="AF18" s="546">
        <f t="shared" si="10"/>
        <v>9.4016018819656644</v>
      </c>
      <c r="AG18" s="546">
        <f t="shared" si="11"/>
        <v>10.511310452732591</v>
      </c>
      <c r="AH18" s="288">
        <f t="shared" si="12"/>
        <v>2.9902980218246666</v>
      </c>
      <c r="AI18" s="288">
        <f t="shared" si="13"/>
        <v>7.4531375941235565</v>
      </c>
      <c r="AJ18" s="288">
        <f t="shared" si="14"/>
        <v>9.3472169939048939</v>
      </c>
      <c r="AK18" s="288">
        <f t="shared" si="15"/>
        <v>0.73188868687938613</v>
      </c>
      <c r="AL18" s="288">
        <f t="shared" si="16"/>
        <v>0.78557940657501812</v>
      </c>
      <c r="AM18" s="283">
        <f t="shared" si="17"/>
        <v>11.503856902156008</v>
      </c>
      <c r="AN18" s="283">
        <f t="shared" si="18"/>
        <v>12.861703018325491</v>
      </c>
      <c r="AO18" s="394">
        <v>1</v>
      </c>
      <c r="AP18" s="394">
        <v>2</v>
      </c>
      <c r="AQ18" s="533">
        <f t="shared" si="19"/>
        <v>4.9399999999999999E-2</v>
      </c>
      <c r="AR18" s="632"/>
      <c r="AS18" s="632"/>
      <c r="AT18" s="632"/>
      <c r="AU18" s="632"/>
      <c r="AV18" s="533"/>
      <c r="AW18" s="533"/>
      <c r="AX18" s="533"/>
      <c r="AY18" s="533"/>
      <c r="AZ18" s="533"/>
      <c r="BA18" s="533"/>
      <c r="BB18" s="533"/>
      <c r="BC18" s="533"/>
      <c r="BD18" s="533"/>
      <c r="BE18" s="533"/>
      <c r="BF18" s="533"/>
      <c r="BG18" s="296">
        <v>8390</v>
      </c>
      <c r="BH18" s="635"/>
      <c r="BJ18" s="341"/>
      <c r="BK18" s="351"/>
    </row>
    <row r="19" spans="1:63" s="236" customFormat="1" x14ac:dyDescent="0.25">
      <c r="A19" s="276" t="s">
        <v>505</v>
      </c>
      <c r="B19" s="335" t="s">
        <v>66</v>
      </c>
      <c r="C19" s="336">
        <f t="shared" ca="1" si="20"/>
        <v>0.4107142857142857</v>
      </c>
      <c r="D19" s="599" t="s">
        <v>737</v>
      </c>
      <c r="E19" s="193">
        <v>33</v>
      </c>
      <c r="F19" s="194">
        <f ca="1">64-41471+$D$1-112-112-29-112-112-112-112-112-112-112-112-112-112-112-112-112-112-112-112-112</f>
        <v>66</v>
      </c>
      <c r="G19" s="235" t="s">
        <v>426</v>
      </c>
      <c r="H19" s="342">
        <v>1</v>
      </c>
      <c r="I19" s="197">
        <v>13.4</v>
      </c>
      <c r="J19" s="429">
        <f t="shared" si="4"/>
        <v>1.5444833227936663</v>
      </c>
      <c r="K19" s="275">
        <f t="shared" si="5"/>
        <v>13.4</v>
      </c>
      <c r="L19" s="275">
        <f t="shared" si="6"/>
        <v>53.6</v>
      </c>
      <c r="M19" s="268">
        <v>7</v>
      </c>
      <c r="N19" s="393">
        <f t="shared" si="7"/>
        <v>89</v>
      </c>
      <c r="O19" s="615">
        <v>43060</v>
      </c>
      <c r="P19" s="616">
        <f ca="1">IF((TODAY()-O19)&gt;335,1,((TODAY()-O19)^0.64)/(336^0.64))</f>
        <v>1</v>
      </c>
      <c r="Q19" s="394">
        <v>5</v>
      </c>
      <c r="R19" s="443">
        <f t="shared" si="8"/>
        <v>0.84515425472851657</v>
      </c>
      <c r="S19" s="443">
        <f t="shared" si="9"/>
        <v>0.92504826128926143</v>
      </c>
      <c r="T19" s="296">
        <v>97130</v>
      </c>
      <c r="U19" s="569">
        <f t="shared" si="2"/>
        <v>-67280</v>
      </c>
      <c r="V19" s="570">
        <v>26508</v>
      </c>
      <c r="W19" s="288">
        <f t="shared" si="3"/>
        <v>3.6641768522710123</v>
      </c>
      <c r="X19" s="428">
        <v>0</v>
      </c>
      <c r="Y19" s="429">
        <v>3</v>
      </c>
      <c r="Z19" s="428">
        <f>15+0.01+0.06</f>
        <v>15.07</v>
      </c>
      <c r="AA19" s="429">
        <f>12+0.01+0.01+0.1</f>
        <v>12.12</v>
      </c>
      <c r="AB19" s="428">
        <v>12.95</v>
      </c>
      <c r="AC19" s="429">
        <v>7.95</v>
      </c>
      <c r="AD19" s="428">
        <v>7</v>
      </c>
      <c r="AE19" s="629">
        <v>1900</v>
      </c>
      <c r="AF19" s="546">
        <f t="shared" ca="1" si="10"/>
        <v>14.886955525103566</v>
      </c>
      <c r="AG19" s="546">
        <f t="shared" ca="1" si="11"/>
        <v>16.307842707350776</v>
      </c>
      <c r="AH19" s="288">
        <f t="shared" ca="1" si="12"/>
        <v>3.8595500850860738</v>
      </c>
      <c r="AI19" s="288">
        <f t="shared" ca="1" si="13"/>
        <v>12.736735047442352</v>
      </c>
      <c r="AJ19" s="288">
        <f t="shared" ca="1" si="14"/>
        <v>8.3074296520420639</v>
      </c>
      <c r="AK19" s="288">
        <f t="shared" ca="1" si="15"/>
        <v>0.81105866582349329</v>
      </c>
      <c r="AL19" s="288">
        <f t="shared" ca="1" si="16"/>
        <v>0.50811383259555665</v>
      </c>
      <c r="AM19" s="283">
        <f t="shared" ca="1" si="17"/>
        <v>8.0313372589787235</v>
      </c>
      <c r="AN19" s="283">
        <f t="shared" ca="1" si="18"/>
        <v>8.7978891673487141</v>
      </c>
      <c r="AO19" s="394">
        <v>3</v>
      </c>
      <c r="AP19" s="394">
        <v>3</v>
      </c>
      <c r="AQ19" s="533">
        <f t="shared" si="19"/>
        <v>0.1158</v>
      </c>
      <c r="AR19" s="632"/>
      <c r="AS19" s="632"/>
      <c r="AT19" s="632"/>
      <c r="AU19" s="632"/>
      <c r="AV19" s="533"/>
      <c r="AW19" s="533"/>
      <c r="AX19" s="533"/>
      <c r="AY19" s="533"/>
      <c r="AZ19" s="533"/>
      <c r="BA19" s="533"/>
      <c r="BB19" s="533"/>
      <c r="BC19" s="533"/>
      <c r="BD19" s="533"/>
      <c r="BE19" s="533"/>
      <c r="BF19" s="533"/>
      <c r="BG19" s="296">
        <v>164410</v>
      </c>
      <c r="BH19" s="635"/>
      <c r="BJ19" s="341"/>
      <c r="BK19" s="351"/>
    </row>
    <row r="20" spans="1:63" s="229" customFormat="1" x14ac:dyDescent="0.25">
      <c r="A20" s="335" t="s">
        <v>430</v>
      </c>
      <c r="B20" s="335" t="s">
        <v>66</v>
      </c>
      <c r="C20" s="336">
        <f t="shared" ca="1" si="20"/>
        <v>-0.6785714285714286</v>
      </c>
      <c r="D20" s="598" t="s">
        <v>253</v>
      </c>
      <c r="E20" s="338">
        <v>34</v>
      </c>
      <c r="F20" s="343">
        <f ca="1">74-41471+$D$1-112-112-29-112-112-112-112-112-112-112-112-112-112-112-112-112-112-112-112-112</f>
        <v>76</v>
      </c>
      <c r="G20" s="339" t="s">
        <v>256</v>
      </c>
      <c r="H20" s="330">
        <v>3</v>
      </c>
      <c r="I20" s="280">
        <v>14.3</v>
      </c>
      <c r="J20" s="429">
        <f t="shared" si="4"/>
        <v>1.5795885744234652</v>
      </c>
      <c r="K20" s="275">
        <f t="shared" si="5"/>
        <v>128.70000000000002</v>
      </c>
      <c r="L20" s="275">
        <f t="shared" si="6"/>
        <v>228.8</v>
      </c>
      <c r="M20" s="340">
        <v>6.5</v>
      </c>
      <c r="N20" s="393">
        <f t="shared" si="7"/>
        <v>84</v>
      </c>
      <c r="O20" s="393" t="s">
        <v>463</v>
      </c>
      <c r="P20" s="616">
        <v>1.5</v>
      </c>
      <c r="Q20" s="393">
        <v>4</v>
      </c>
      <c r="R20" s="443">
        <f t="shared" si="8"/>
        <v>0.7559289460184544</v>
      </c>
      <c r="S20" s="443">
        <f t="shared" si="9"/>
        <v>0.84430867747355465</v>
      </c>
      <c r="T20" s="296">
        <v>4820</v>
      </c>
      <c r="U20" s="569">
        <f t="shared" si="2"/>
        <v>-7500</v>
      </c>
      <c r="V20" s="296">
        <v>1200</v>
      </c>
      <c r="W20" s="288">
        <f t="shared" si="3"/>
        <v>4.0166666666666666</v>
      </c>
      <c r="X20" s="428">
        <v>0</v>
      </c>
      <c r="Y20" s="429">
        <f>5+(5/7)+0.07+0.21+0.07+0.07+0.07+0.07+0.07+0.07+0.06+0.03+0.03+0.03+0.03+0.03+0.2*33/90+0.03+0.03+0.02+0.02+0.01+0.01+0.01+0.01</f>
        <v>6.8376190476190493</v>
      </c>
      <c r="Z20" s="428">
        <v>8.9499999999999993</v>
      </c>
      <c r="AA20" s="429">
        <f>7.9+0.165+0.165+0.21+0.13+0.03+0.03+0.03+0.02+0.02+0.02+0.01+0.01</f>
        <v>8.7399999999999967</v>
      </c>
      <c r="AB20" s="428">
        <v>9.9499999999999993</v>
      </c>
      <c r="AC20" s="429">
        <v>7.95</v>
      </c>
      <c r="AD20" s="428">
        <f>17.99+0.2+0.15+0.15+0.15+0.15+0.11+0.1</f>
        <v>18.999999999999993</v>
      </c>
      <c r="AE20" s="629">
        <v>1312</v>
      </c>
      <c r="AF20" s="546">
        <f t="shared" si="10"/>
        <v>9.0935142120995707</v>
      </c>
      <c r="AG20" s="546">
        <f t="shared" si="11"/>
        <v>10.166857966307541</v>
      </c>
      <c r="AH20" s="288">
        <f t="shared" si="12"/>
        <v>3.3994488276766033</v>
      </c>
      <c r="AI20" s="288">
        <f t="shared" si="13"/>
        <v>17.27516161772617</v>
      </c>
      <c r="AJ20" s="288">
        <f t="shared" si="14"/>
        <v>14.184695663533857</v>
      </c>
      <c r="AK20" s="288">
        <f t="shared" si="15"/>
        <v>1.2138670859538769</v>
      </c>
      <c r="AL20" s="288">
        <f t="shared" si="16"/>
        <v>1.0590759621144044</v>
      </c>
      <c r="AM20" s="283">
        <f t="shared" si="17"/>
        <v>16.661012664175779</v>
      </c>
      <c r="AN20" s="283">
        <f t="shared" si="18"/>
        <v>18.627578445540959</v>
      </c>
      <c r="AO20" s="393">
        <v>4</v>
      </c>
      <c r="AP20" s="393">
        <v>2</v>
      </c>
      <c r="AQ20" s="533">
        <f t="shared" si="19"/>
        <v>0.157</v>
      </c>
      <c r="AR20" s="632"/>
      <c r="AS20" s="632"/>
      <c r="AT20" s="632"/>
      <c r="AU20" s="632"/>
      <c r="AV20" s="533"/>
      <c r="AW20" s="533"/>
      <c r="AX20" s="533"/>
      <c r="AY20" s="533"/>
      <c r="AZ20" s="533"/>
      <c r="BA20" s="533"/>
      <c r="BB20" s="533"/>
      <c r="BC20" s="533"/>
      <c r="BD20" s="533"/>
      <c r="BE20" s="533"/>
      <c r="BF20" s="533"/>
      <c r="BG20" s="296">
        <v>12320</v>
      </c>
      <c r="BH20" s="635"/>
      <c r="BJ20" s="341"/>
      <c r="BK20" s="351"/>
    </row>
    <row r="21" spans="1:63" s="232" customFormat="1" x14ac:dyDescent="0.25">
      <c r="A21" s="335" t="s">
        <v>466</v>
      </c>
      <c r="B21" s="335" t="s">
        <v>66</v>
      </c>
      <c r="C21" s="336">
        <f t="shared" ca="1" si="20"/>
        <v>-1.2946428571428572</v>
      </c>
      <c r="D21" s="598" t="s">
        <v>729</v>
      </c>
      <c r="E21" s="338">
        <v>35</v>
      </c>
      <c r="F21" s="194">
        <f ca="1">-41471+$D$1-748-112-112-12-112-112-112-22-112-112-112-112-112-112-112</f>
        <v>33</v>
      </c>
      <c r="G21" s="339" t="s">
        <v>243</v>
      </c>
      <c r="H21" s="330">
        <v>3</v>
      </c>
      <c r="I21" s="280">
        <v>15.4</v>
      </c>
      <c r="J21" s="429">
        <f t="shared" si="4"/>
        <v>1.6197917973969302</v>
      </c>
      <c r="K21" s="275">
        <f t="shared" si="5"/>
        <v>138.6</v>
      </c>
      <c r="L21" s="275">
        <f t="shared" si="6"/>
        <v>246.4</v>
      </c>
      <c r="M21" s="340">
        <v>6</v>
      </c>
      <c r="N21" s="393">
        <f t="shared" si="7"/>
        <v>79</v>
      </c>
      <c r="O21" s="615">
        <v>42869</v>
      </c>
      <c r="P21" s="616">
        <f t="shared" ref="P21:P29" ca="1" si="21">IF((TODAY()-O21)&gt;335,1,((TODAY()-O21)^0.64)/(336^0.64))</f>
        <v>1</v>
      </c>
      <c r="Q21" s="393">
        <v>5</v>
      </c>
      <c r="R21" s="443">
        <f t="shared" si="8"/>
        <v>0.84515425472851657</v>
      </c>
      <c r="S21" s="443">
        <f t="shared" si="9"/>
        <v>0.92504826128926143</v>
      </c>
      <c r="T21" s="296">
        <v>28490</v>
      </c>
      <c r="U21" s="569">
        <f t="shared" si="2"/>
        <v>-10160</v>
      </c>
      <c r="V21" s="296">
        <v>9924</v>
      </c>
      <c r="W21" s="288">
        <f t="shared" si="3"/>
        <v>2.8708182184602982</v>
      </c>
      <c r="X21" s="428">
        <v>0</v>
      </c>
      <c r="Y21" s="429">
        <v>2.95</v>
      </c>
      <c r="Z21" s="428">
        <v>13.95</v>
      </c>
      <c r="AA21" s="429">
        <v>2.95</v>
      </c>
      <c r="AB21" s="428">
        <v>14.95</v>
      </c>
      <c r="AC21" s="429">
        <v>8.9499999999999993</v>
      </c>
      <c r="AD21" s="428">
        <v>11.25</v>
      </c>
      <c r="AE21" s="629">
        <v>1603</v>
      </c>
      <c r="AF21" s="546">
        <f t="shared" ca="1" si="10"/>
        <v>14.00403003753569</v>
      </c>
      <c r="AG21" s="546">
        <f t="shared" ca="1" si="11"/>
        <v>15.34064629507643</v>
      </c>
      <c r="AH21" s="288">
        <f t="shared" ca="1" si="12"/>
        <v>4.3007127275063031</v>
      </c>
      <c r="AI21" s="288">
        <f t="shared" ca="1" si="13"/>
        <v>16.255899664498614</v>
      </c>
      <c r="AJ21" s="288">
        <f t="shared" ca="1" si="14"/>
        <v>11.138957114006018</v>
      </c>
      <c r="AK21" s="288">
        <f t="shared" ca="1" si="15"/>
        <v>0.99458334379175428</v>
      </c>
      <c r="AL21" s="288">
        <f t="shared" ca="1" si="16"/>
        <v>0.63888542581778507</v>
      </c>
      <c r="AM21" s="283">
        <f t="shared" ca="1" si="17"/>
        <v>11.691323873481943</v>
      </c>
      <c r="AN21" s="283">
        <f t="shared" ca="1" si="18"/>
        <v>12.807203625209469</v>
      </c>
      <c r="AO21" s="393">
        <v>1</v>
      </c>
      <c r="AP21" s="393">
        <v>3</v>
      </c>
      <c r="AQ21" s="533">
        <f t="shared" si="19"/>
        <v>4.9399999999999999E-2</v>
      </c>
      <c r="AR21" s="632"/>
      <c r="AS21" s="632"/>
      <c r="AT21" s="632"/>
      <c r="AU21" s="632"/>
      <c r="AV21" s="533"/>
      <c r="AW21" s="533"/>
      <c r="AX21" s="533"/>
      <c r="AY21" s="533"/>
      <c r="AZ21" s="533"/>
      <c r="BA21" s="533"/>
      <c r="BB21" s="533"/>
      <c r="BC21" s="533"/>
      <c r="BD21" s="533"/>
      <c r="BE21" s="533"/>
      <c r="BF21" s="533"/>
      <c r="BG21" s="296">
        <v>38650</v>
      </c>
      <c r="BH21" s="635"/>
      <c r="BJ21" s="341"/>
      <c r="BK21" s="351"/>
    </row>
    <row r="22" spans="1:63" s="232" customFormat="1" x14ac:dyDescent="0.25">
      <c r="A22" s="335"/>
      <c r="B22" s="335" t="s">
        <v>64</v>
      </c>
      <c r="C22" s="336">
        <f t="shared" ca="1" si="20"/>
        <v>15.473214285714286</v>
      </c>
      <c r="D22" s="633" t="s">
        <v>753</v>
      </c>
      <c r="E22" s="338">
        <v>18</v>
      </c>
      <c r="F22" s="194">
        <f ca="1">-43571+$D$1</f>
        <v>59</v>
      </c>
      <c r="G22" s="339" t="s">
        <v>426</v>
      </c>
      <c r="H22" s="330">
        <v>4</v>
      </c>
      <c r="I22" s="280">
        <v>0.4</v>
      </c>
      <c r="J22" s="429">
        <f t="shared" si="4"/>
        <v>0.19483738090431735</v>
      </c>
      <c r="K22" s="275">
        <f t="shared" si="5"/>
        <v>6.4</v>
      </c>
      <c r="L22" s="275">
        <f t="shared" si="6"/>
        <v>10</v>
      </c>
      <c r="M22" s="340">
        <v>5.2</v>
      </c>
      <c r="N22" s="393">
        <f t="shared" si="7"/>
        <v>71</v>
      </c>
      <c r="O22" s="615">
        <v>43626</v>
      </c>
      <c r="P22" s="616">
        <f t="shared" ca="1" si="21"/>
        <v>5.8676102278042847E-2</v>
      </c>
      <c r="Q22" s="393">
        <v>5</v>
      </c>
      <c r="R22" s="443">
        <f t="shared" si="8"/>
        <v>0.84515425472851657</v>
      </c>
      <c r="S22" s="443">
        <f t="shared" si="9"/>
        <v>0.92504826128926143</v>
      </c>
      <c r="T22" s="296">
        <v>4300</v>
      </c>
      <c r="U22" s="569">
        <f t="shared" si="2"/>
        <v>0</v>
      </c>
      <c r="V22" s="296">
        <v>684</v>
      </c>
      <c r="W22" s="288">
        <f t="shared" si="3"/>
        <v>6.2865497076023393</v>
      </c>
      <c r="X22" s="428">
        <v>0</v>
      </c>
      <c r="Y22" s="429">
        <v>4</v>
      </c>
      <c r="Z22" s="428">
        <v>7</v>
      </c>
      <c r="AA22" s="429">
        <v>3</v>
      </c>
      <c r="AB22" s="428">
        <v>4</v>
      </c>
      <c r="AC22" s="429">
        <v>7</v>
      </c>
      <c r="AD22" s="428">
        <v>6</v>
      </c>
      <c r="AE22" s="629">
        <v>631</v>
      </c>
      <c r="AF22" s="546">
        <f t="shared" ca="1" si="10"/>
        <v>6.1303377820422345</v>
      </c>
      <c r="AG22" s="546">
        <f t="shared" ca="1" si="11"/>
        <v>6.7154485767014398</v>
      </c>
      <c r="AH22" s="288">
        <f t="shared" ca="1" si="12"/>
        <v>1.3480781316962569</v>
      </c>
      <c r="AI22" s="288">
        <f t="shared" ca="1" si="13"/>
        <v>6.6600393222759271</v>
      </c>
      <c r="AJ22" s="288">
        <f t="shared" ca="1" si="14"/>
        <v>5.5387298037322727</v>
      </c>
      <c r="AK22" s="288">
        <f t="shared" ca="1" si="15"/>
        <v>0.55028107865458886</v>
      </c>
      <c r="AL22" s="288">
        <f t="shared" ca="1" si="16"/>
        <v>0.35774594382276526</v>
      </c>
      <c r="AM22" s="283">
        <f t="shared" ca="1" si="17"/>
        <v>4.6720882972544393</v>
      </c>
      <c r="AN22" s="283">
        <f t="shared" ca="1" si="18"/>
        <v>5.1180163021243166</v>
      </c>
      <c r="AO22" s="393">
        <v>4</v>
      </c>
      <c r="AP22" s="393">
        <v>3</v>
      </c>
      <c r="AQ22" s="533">
        <f t="shared" si="19"/>
        <v>0.157</v>
      </c>
      <c r="AR22" s="632">
        <v>9</v>
      </c>
      <c r="AS22" s="632">
        <v>21</v>
      </c>
      <c r="AT22" s="632">
        <v>29</v>
      </c>
      <c r="AU22" s="632">
        <v>5</v>
      </c>
      <c r="AV22" s="632">
        <f>AR22*1+AS22*0.066</f>
        <v>10.385999999999999</v>
      </c>
      <c r="AW22" s="632">
        <f>AR22*0.919+AS22*0.167</f>
        <v>11.778</v>
      </c>
      <c r="AX22" s="632">
        <f>AR22*1+AS22*0.236</f>
        <v>13.956</v>
      </c>
      <c r="AY22" s="632">
        <f>AR22*0.75+AS22*0.165</f>
        <v>10.215</v>
      </c>
      <c r="AZ22" s="632">
        <f>AR22*0.73+AS22*0.38</f>
        <v>14.55</v>
      </c>
      <c r="BA22" s="632">
        <f>AR22*0.45+AS22*1</f>
        <v>25.05</v>
      </c>
      <c r="BB22" s="632">
        <f>AR22*0.65+AS22*0.95</f>
        <v>25.8</v>
      </c>
      <c r="BC22" s="632">
        <f>AR22*0.3+AS22*0.53</f>
        <v>13.83</v>
      </c>
      <c r="BD22" s="632">
        <f>AR22*0.4+AS22*0.44</f>
        <v>12.84</v>
      </c>
      <c r="BE22" s="632">
        <f>AR22*0.25+AS22*0.73</f>
        <v>17.579999999999998</v>
      </c>
      <c r="BF22" s="632">
        <f>AS22*0.46</f>
        <v>9.66</v>
      </c>
      <c r="BG22" s="296">
        <v>4300</v>
      </c>
      <c r="BH22" s="635">
        <v>2327</v>
      </c>
      <c r="BJ22" s="341"/>
      <c r="BK22" s="351"/>
    </row>
    <row r="23" spans="1:63" s="232" customFormat="1" x14ac:dyDescent="0.25">
      <c r="A23" s="335"/>
      <c r="B23" s="335" t="s">
        <v>64</v>
      </c>
      <c r="C23" s="336">
        <f t="shared" ca="1" si="20"/>
        <v>15.035714285714286</v>
      </c>
      <c r="D23" s="598" t="s">
        <v>754</v>
      </c>
      <c r="E23" s="338">
        <v>18</v>
      </c>
      <c r="F23" s="194">
        <f ca="1">-43571+$D$1+49</f>
        <v>108</v>
      </c>
      <c r="G23" s="339"/>
      <c r="H23" s="330">
        <v>4</v>
      </c>
      <c r="I23" s="280">
        <v>1.8</v>
      </c>
      <c r="J23" s="429">
        <f t="shared" si="4"/>
        <v>0.59621070845629232</v>
      </c>
      <c r="K23" s="275">
        <f t="shared" si="5"/>
        <v>28.8</v>
      </c>
      <c r="L23" s="275">
        <f t="shared" si="6"/>
        <v>45</v>
      </c>
      <c r="M23" s="340">
        <v>3.7</v>
      </c>
      <c r="N23" s="393">
        <f t="shared" si="7"/>
        <v>56</v>
      </c>
      <c r="O23" s="615">
        <v>43624</v>
      </c>
      <c r="P23" s="616">
        <f t="shared" ca="1" si="21"/>
        <v>7.6060585239192346E-2</v>
      </c>
      <c r="Q23" s="393">
        <v>5</v>
      </c>
      <c r="R23" s="443">
        <f t="shared" si="8"/>
        <v>0.84515425472851657</v>
      </c>
      <c r="S23" s="443">
        <f t="shared" si="9"/>
        <v>0.92504826128926143</v>
      </c>
      <c r="T23" s="296">
        <v>8260</v>
      </c>
      <c r="U23" s="569">
        <f t="shared" si="2"/>
        <v>0</v>
      </c>
      <c r="V23" s="296">
        <v>870</v>
      </c>
      <c r="W23" s="288">
        <f t="shared" si="3"/>
        <v>9.4942528735632177</v>
      </c>
      <c r="X23" s="428">
        <v>0</v>
      </c>
      <c r="Y23" s="429">
        <v>5</v>
      </c>
      <c r="Z23" s="428">
        <v>6</v>
      </c>
      <c r="AA23" s="429">
        <v>2</v>
      </c>
      <c r="AB23" s="428">
        <v>3</v>
      </c>
      <c r="AC23" s="429">
        <v>9</v>
      </c>
      <c r="AD23" s="428">
        <v>1</v>
      </c>
      <c r="AE23" s="629">
        <v>655</v>
      </c>
      <c r="AF23" s="546">
        <f t="shared" ca="1" si="10"/>
        <v>5.6390984725696818</v>
      </c>
      <c r="AG23" s="546">
        <f t="shared" ca="1" si="11"/>
        <v>6.1773228748386844</v>
      </c>
      <c r="AH23" s="288">
        <f t="shared" ca="1" si="12"/>
        <v>1.3751519543261788</v>
      </c>
      <c r="AI23" s="288">
        <f t="shared" ca="1" si="13"/>
        <v>7.9239292764868638</v>
      </c>
      <c r="AJ23" s="288">
        <f t="shared" ca="1" si="14"/>
        <v>3.4416974102755393</v>
      </c>
      <c r="AK23" s="288">
        <f t="shared" ca="1" si="15"/>
        <v>0.53378170349563869</v>
      </c>
      <c r="AL23" s="288">
        <f t="shared" ca="1" si="16"/>
        <v>0.27705899055868388</v>
      </c>
      <c r="AM23" s="283">
        <f t="shared" ca="1" si="17"/>
        <v>1.1970967070315823</v>
      </c>
      <c r="AN23" s="283">
        <f t="shared" ca="1" si="18"/>
        <v>1.3113537399127018</v>
      </c>
      <c r="AO23" s="393">
        <v>2</v>
      </c>
      <c r="AP23" s="393">
        <v>2</v>
      </c>
      <c r="AQ23" s="533">
        <f t="shared" si="19"/>
        <v>6.1499999999999999E-2</v>
      </c>
      <c r="AR23" s="632">
        <v>13</v>
      </c>
      <c r="AS23" s="632">
        <v>16</v>
      </c>
      <c r="AT23" s="632">
        <v>32</v>
      </c>
      <c r="AU23" s="632">
        <v>0</v>
      </c>
      <c r="AV23" s="632">
        <f t="shared" ref="AV23:AV29" si="22">AR23*1+AS23*0.066</f>
        <v>14.056000000000001</v>
      </c>
      <c r="AW23" s="632">
        <f t="shared" ref="AW23:AW29" si="23">AR23*0.919+AS23*0.167</f>
        <v>14.619000000000002</v>
      </c>
      <c r="AX23" s="632">
        <f t="shared" ref="AX23:AX29" si="24">AR23*1+AS23*0.236</f>
        <v>16.776</v>
      </c>
      <c r="AY23" s="632">
        <f t="shared" ref="AY23:AY29" si="25">AR23*0.75+AS23*0.165</f>
        <v>12.39</v>
      </c>
      <c r="AZ23" s="632">
        <f t="shared" ref="AZ23:AZ29" si="26">AR23*0.73+AS23*0.38</f>
        <v>15.57</v>
      </c>
      <c r="BA23" s="632">
        <f t="shared" ref="BA23:BA29" si="27">AR23*0.45+AS23*1</f>
        <v>21.85</v>
      </c>
      <c r="BB23" s="632">
        <f t="shared" ref="BB23:BB29" si="28">AR23*0.65+AS23*0.95</f>
        <v>23.65</v>
      </c>
      <c r="BC23" s="632">
        <f t="shared" ref="BC23:BC29" si="29">AR23*0.3+AS23*0.53</f>
        <v>12.38</v>
      </c>
      <c r="BD23" s="632">
        <f t="shared" ref="BD23:BD29" si="30">AR23*0.4+AS23*0.44</f>
        <v>12.24</v>
      </c>
      <c r="BE23" s="632">
        <f t="shared" ref="BE23:BE29" si="31">AR23*0.25+AS23*0.73</f>
        <v>14.93</v>
      </c>
      <c r="BF23" s="632">
        <f t="shared" ref="BF23:BF29" si="32">AS23*0.46</f>
        <v>7.36</v>
      </c>
      <c r="BG23" s="296">
        <v>8260</v>
      </c>
      <c r="BH23" s="635">
        <v>1170</v>
      </c>
      <c r="BJ23" s="341"/>
      <c r="BK23" s="351"/>
    </row>
    <row r="24" spans="1:63" s="232" customFormat="1" x14ac:dyDescent="0.25">
      <c r="A24" s="335"/>
      <c r="B24" s="335" t="s">
        <v>64</v>
      </c>
      <c r="C24" s="336">
        <f t="shared" ca="1" si="20"/>
        <v>15.464285714285714</v>
      </c>
      <c r="D24" s="633" t="s">
        <v>755</v>
      </c>
      <c r="E24" s="338">
        <v>18</v>
      </c>
      <c r="F24" s="194">
        <f ca="1">-43570+$D$1</f>
        <v>60</v>
      </c>
      <c r="G24" s="339" t="s">
        <v>256</v>
      </c>
      <c r="H24" s="330">
        <v>5</v>
      </c>
      <c r="I24" s="280">
        <v>0.5</v>
      </c>
      <c r="J24" s="429">
        <f t="shared" si="4"/>
        <v>0.23478834540757498</v>
      </c>
      <c r="K24" s="275">
        <f t="shared" si="5"/>
        <v>12.5</v>
      </c>
      <c r="L24" s="275">
        <f t="shared" si="6"/>
        <v>18</v>
      </c>
      <c r="M24" s="340">
        <v>3.5</v>
      </c>
      <c r="N24" s="393">
        <f t="shared" si="7"/>
        <v>54</v>
      </c>
      <c r="O24" s="615">
        <v>43624</v>
      </c>
      <c r="P24" s="616">
        <f t="shared" ca="1" si="21"/>
        <v>7.6060585239192346E-2</v>
      </c>
      <c r="Q24" s="393">
        <v>4</v>
      </c>
      <c r="R24" s="443">
        <f t="shared" si="8"/>
        <v>0.7559289460184544</v>
      </c>
      <c r="S24" s="443">
        <f t="shared" si="9"/>
        <v>0.84430867747355465</v>
      </c>
      <c r="T24" s="296">
        <v>3800</v>
      </c>
      <c r="U24" s="569">
        <f t="shared" si="2"/>
        <v>0</v>
      </c>
      <c r="V24" s="296">
        <v>1092</v>
      </c>
      <c r="W24" s="288">
        <f t="shared" si="3"/>
        <v>3.4798534798534799</v>
      </c>
      <c r="X24" s="428">
        <v>0</v>
      </c>
      <c r="Y24" s="429">
        <v>3</v>
      </c>
      <c r="Z24" s="428">
        <v>7</v>
      </c>
      <c r="AA24" s="429">
        <v>1</v>
      </c>
      <c r="AB24" s="428">
        <v>1</v>
      </c>
      <c r="AC24" s="429">
        <v>8</v>
      </c>
      <c r="AD24" s="428">
        <v>3</v>
      </c>
      <c r="AE24" s="629">
        <v>532</v>
      </c>
      <c r="AF24" s="546">
        <f t="shared" ca="1" si="10"/>
        <v>5.5264823266439551</v>
      </c>
      <c r="AG24" s="546">
        <f t="shared" ca="1" si="11"/>
        <v>6.1787950794135407</v>
      </c>
      <c r="AH24" s="288">
        <f t="shared" ca="1" si="12"/>
        <v>0.56057298045457438</v>
      </c>
      <c r="AI24" s="288">
        <f t="shared" ca="1" si="13"/>
        <v>6.0602643212929213</v>
      </c>
      <c r="AJ24" s="288">
        <f t="shared" ca="1" si="14"/>
        <v>3.636659961597819</v>
      </c>
      <c r="AK24" s="288">
        <f t="shared" ca="1" si="15"/>
        <v>0.5148679144517414</v>
      </c>
      <c r="AL24" s="288">
        <f t="shared" ca="1" si="16"/>
        <v>0.2317594251452737</v>
      </c>
      <c r="AM24" s="283">
        <f t="shared" ca="1" si="17"/>
        <v>2.0218735196324884</v>
      </c>
      <c r="AN24" s="283">
        <f t="shared" ca="1" si="18"/>
        <v>2.2605233159024998</v>
      </c>
      <c r="AO24" s="393">
        <v>1</v>
      </c>
      <c r="AP24" s="393">
        <v>2</v>
      </c>
      <c r="AQ24" s="533">
        <f t="shared" si="19"/>
        <v>4.9399999999999999E-2</v>
      </c>
      <c r="AR24" s="632">
        <v>6</v>
      </c>
      <c r="AS24" s="632">
        <v>21</v>
      </c>
      <c r="AT24" s="632">
        <v>26</v>
      </c>
      <c r="AU24" s="632">
        <v>2</v>
      </c>
      <c r="AV24" s="632">
        <f t="shared" si="22"/>
        <v>7.3860000000000001</v>
      </c>
      <c r="AW24" s="632">
        <f t="shared" si="23"/>
        <v>9.0210000000000008</v>
      </c>
      <c r="AX24" s="632">
        <f t="shared" si="24"/>
        <v>10.956</v>
      </c>
      <c r="AY24" s="632">
        <f t="shared" si="25"/>
        <v>7.9649999999999999</v>
      </c>
      <c r="AZ24" s="632">
        <f t="shared" si="26"/>
        <v>12.36</v>
      </c>
      <c r="BA24" s="632">
        <f t="shared" si="27"/>
        <v>23.7</v>
      </c>
      <c r="BB24" s="632">
        <f t="shared" si="28"/>
        <v>23.85</v>
      </c>
      <c r="BC24" s="632">
        <f t="shared" si="29"/>
        <v>12.93</v>
      </c>
      <c r="BD24" s="632">
        <f t="shared" si="30"/>
        <v>11.64</v>
      </c>
      <c r="BE24" s="632">
        <f t="shared" si="31"/>
        <v>16.829999999999998</v>
      </c>
      <c r="BF24" s="632">
        <f t="shared" si="32"/>
        <v>9.66</v>
      </c>
      <c r="BG24" s="296">
        <v>3800</v>
      </c>
      <c r="BH24" s="635">
        <v>941</v>
      </c>
      <c r="BJ24" s="341"/>
      <c r="BK24" s="351"/>
    </row>
    <row r="25" spans="1:63" s="232" customFormat="1" x14ac:dyDescent="0.25">
      <c r="A25" s="335"/>
      <c r="B25" s="335" t="s">
        <v>64</v>
      </c>
      <c r="C25" s="336">
        <f t="shared" ca="1" si="20"/>
        <v>15.455357142857142</v>
      </c>
      <c r="D25" s="633" t="s">
        <v>756</v>
      </c>
      <c r="E25" s="338">
        <v>18</v>
      </c>
      <c r="F25" s="194">
        <f ca="1">-43569+$D$1</f>
        <v>61</v>
      </c>
      <c r="G25" s="339" t="s">
        <v>426</v>
      </c>
      <c r="H25" s="330">
        <v>4</v>
      </c>
      <c r="I25" s="280">
        <v>0.6</v>
      </c>
      <c r="J25" s="429">
        <f t="shared" si="4"/>
        <v>0.27215997687456639</v>
      </c>
      <c r="K25" s="275">
        <f t="shared" si="5"/>
        <v>9.6</v>
      </c>
      <c r="L25" s="275">
        <f t="shared" si="6"/>
        <v>15</v>
      </c>
      <c r="M25" s="340">
        <v>5.5</v>
      </c>
      <c r="N25" s="393">
        <f t="shared" si="7"/>
        <v>74</v>
      </c>
      <c r="O25" s="615">
        <v>43626</v>
      </c>
      <c r="P25" s="616">
        <f t="shared" ca="1" si="21"/>
        <v>5.8676102278042847E-2</v>
      </c>
      <c r="Q25" s="393">
        <v>7</v>
      </c>
      <c r="R25" s="443">
        <f t="shared" si="8"/>
        <v>1</v>
      </c>
      <c r="S25" s="443">
        <f t="shared" si="9"/>
        <v>1</v>
      </c>
      <c r="T25" s="296">
        <v>5640</v>
      </c>
      <c r="U25" s="569">
        <f t="shared" si="2"/>
        <v>0</v>
      </c>
      <c r="V25" s="296">
        <v>660</v>
      </c>
      <c r="W25" s="288">
        <f t="shared" si="3"/>
        <v>8.545454545454545</v>
      </c>
      <c r="X25" s="428">
        <v>0</v>
      </c>
      <c r="Y25" s="429">
        <v>6</v>
      </c>
      <c r="Z25" s="428">
        <v>6</v>
      </c>
      <c r="AA25" s="429">
        <v>2</v>
      </c>
      <c r="AB25" s="428">
        <v>3</v>
      </c>
      <c r="AC25" s="429">
        <v>6</v>
      </c>
      <c r="AD25" s="428">
        <v>8</v>
      </c>
      <c r="AE25" s="629">
        <v>605</v>
      </c>
      <c r="AF25" s="546">
        <f t="shared" ca="1" si="10"/>
        <v>6.3308360791526095</v>
      </c>
      <c r="AG25" s="546">
        <f t="shared" ca="1" si="11"/>
        <v>6.3308360791526095</v>
      </c>
      <c r="AH25" s="288">
        <f t="shared" ca="1" si="12"/>
        <v>1.6240635296822283</v>
      </c>
      <c r="AI25" s="288">
        <f t="shared" ca="1" si="13"/>
        <v>7.4911477349272655</v>
      </c>
      <c r="AJ25" s="288">
        <f t="shared" ca="1" si="14"/>
        <v>7.7308360791526081</v>
      </c>
      <c r="AK25" s="288">
        <f t="shared" ca="1" si="15"/>
        <v>0.56646688633220865</v>
      </c>
      <c r="AL25" s="288">
        <f t="shared" ca="1" si="16"/>
        <v>0.50315852554068263</v>
      </c>
      <c r="AM25" s="283">
        <f t="shared" ca="1" si="17"/>
        <v>7.7628777694562334</v>
      </c>
      <c r="AN25" s="283">
        <f t="shared" ca="1" si="18"/>
        <v>7.7628777694562334</v>
      </c>
      <c r="AO25" s="393">
        <v>2</v>
      </c>
      <c r="AP25" s="393">
        <v>3</v>
      </c>
      <c r="AQ25" s="533">
        <f t="shared" si="19"/>
        <v>6.1499999999999999E-2</v>
      </c>
      <c r="AR25" s="632">
        <v>18</v>
      </c>
      <c r="AS25" s="632">
        <v>16</v>
      </c>
      <c r="AT25" s="632">
        <v>16</v>
      </c>
      <c r="AU25" s="632">
        <v>8</v>
      </c>
      <c r="AV25" s="632">
        <f t="shared" si="22"/>
        <v>19.056000000000001</v>
      </c>
      <c r="AW25" s="632">
        <f t="shared" si="23"/>
        <v>19.214000000000002</v>
      </c>
      <c r="AX25" s="632">
        <f t="shared" si="24"/>
        <v>21.776</v>
      </c>
      <c r="AY25" s="632">
        <f t="shared" si="25"/>
        <v>16.14</v>
      </c>
      <c r="AZ25" s="632">
        <f t="shared" si="26"/>
        <v>19.22</v>
      </c>
      <c r="BA25" s="632">
        <f t="shared" si="27"/>
        <v>24.1</v>
      </c>
      <c r="BB25" s="632">
        <f t="shared" si="28"/>
        <v>26.9</v>
      </c>
      <c r="BC25" s="632">
        <f t="shared" si="29"/>
        <v>13.879999999999999</v>
      </c>
      <c r="BD25" s="632">
        <f t="shared" si="30"/>
        <v>14.24</v>
      </c>
      <c r="BE25" s="632">
        <f t="shared" si="31"/>
        <v>16.18</v>
      </c>
      <c r="BF25" s="632">
        <f t="shared" si="32"/>
        <v>7.36</v>
      </c>
      <c r="BG25" s="296">
        <v>5640</v>
      </c>
      <c r="BH25" s="635">
        <v>1548</v>
      </c>
      <c r="BJ25" s="341"/>
      <c r="BK25" s="351"/>
    </row>
    <row r="26" spans="1:63" s="232" customFormat="1" x14ac:dyDescent="0.25">
      <c r="A26" s="335"/>
      <c r="B26" s="335" t="s">
        <v>64</v>
      </c>
      <c r="C26" s="336">
        <f t="shared" ca="1" si="20"/>
        <v>15.169642857142858</v>
      </c>
      <c r="D26" s="598" t="s">
        <v>757</v>
      </c>
      <c r="E26" s="338">
        <v>18</v>
      </c>
      <c r="F26" s="194">
        <f ca="1">-43570+$D$1+33</f>
        <v>93</v>
      </c>
      <c r="G26" s="339" t="s">
        <v>256</v>
      </c>
      <c r="H26" s="330">
        <v>4</v>
      </c>
      <c r="I26" s="280">
        <v>0.5</v>
      </c>
      <c r="J26" s="429">
        <f t="shared" si="4"/>
        <v>0.23478834540757498</v>
      </c>
      <c r="K26" s="275">
        <f t="shared" si="5"/>
        <v>8</v>
      </c>
      <c r="L26" s="275">
        <f t="shared" si="6"/>
        <v>12.5</v>
      </c>
      <c r="M26" s="340">
        <v>6.5</v>
      </c>
      <c r="N26" s="393">
        <f t="shared" si="7"/>
        <v>84</v>
      </c>
      <c r="O26" s="615">
        <v>43626</v>
      </c>
      <c r="P26" s="616">
        <f t="shared" ca="1" si="21"/>
        <v>5.8676102278042847E-2</v>
      </c>
      <c r="Q26" s="393">
        <v>6</v>
      </c>
      <c r="R26" s="443">
        <f t="shared" si="8"/>
        <v>0.92582009977255142</v>
      </c>
      <c r="S26" s="443">
        <f t="shared" si="9"/>
        <v>0.99928545900129484</v>
      </c>
      <c r="T26" s="296">
        <v>10310</v>
      </c>
      <c r="U26" s="569">
        <f t="shared" si="2"/>
        <v>0</v>
      </c>
      <c r="V26" s="296">
        <v>1140</v>
      </c>
      <c r="W26" s="288">
        <f t="shared" si="3"/>
        <v>9.0438596491228065</v>
      </c>
      <c r="X26" s="428">
        <v>0</v>
      </c>
      <c r="Y26" s="429">
        <v>4</v>
      </c>
      <c r="Z26" s="428">
        <v>5</v>
      </c>
      <c r="AA26" s="429">
        <v>3</v>
      </c>
      <c r="AB26" s="428">
        <v>4</v>
      </c>
      <c r="AC26" s="429">
        <v>9</v>
      </c>
      <c r="AD26" s="428">
        <v>8</v>
      </c>
      <c r="AE26" s="629">
        <v>658</v>
      </c>
      <c r="AF26" s="546">
        <f t="shared" ca="1" si="10"/>
        <v>4.9007957830987534</v>
      </c>
      <c r="AG26" s="546">
        <f t="shared" ca="1" si="11"/>
        <v>5.2934644476856185</v>
      </c>
      <c r="AH26" s="288">
        <f t="shared" ca="1" si="12"/>
        <v>1.4906158812473256</v>
      </c>
      <c r="AI26" s="288">
        <f t="shared" ca="1" si="13"/>
        <v>11.469574549491302</v>
      </c>
      <c r="AJ26" s="288">
        <f t="shared" ca="1" si="14"/>
        <v>7.9560021123481706</v>
      </c>
      <c r="AK26" s="288">
        <f t="shared" ca="1" si="15"/>
        <v>0.71347715581484938</v>
      </c>
      <c r="AL26" s="288">
        <f t="shared" ca="1" si="16"/>
        <v>0.42054251133799331</v>
      </c>
      <c r="AM26" s="283">
        <f t="shared" ca="1" si="17"/>
        <v>7.0892848188855222</v>
      </c>
      <c r="AN26" s="283">
        <f t="shared" ca="1" si="18"/>
        <v>7.6573027747260669</v>
      </c>
      <c r="AO26" s="393">
        <v>1</v>
      </c>
      <c r="AP26" s="393">
        <v>1</v>
      </c>
      <c r="AQ26" s="533">
        <f t="shared" si="19"/>
        <v>4.9399999999999999E-2</v>
      </c>
      <c r="AR26" s="632">
        <v>9</v>
      </c>
      <c r="AS26" s="632">
        <v>12</v>
      </c>
      <c r="AT26" s="632">
        <v>32</v>
      </c>
      <c r="AU26" s="632">
        <v>6</v>
      </c>
      <c r="AV26" s="632">
        <f t="shared" si="22"/>
        <v>9.7919999999999998</v>
      </c>
      <c r="AW26" s="632">
        <f t="shared" si="23"/>
        <v>10.275</v>
      </c>
      <c r="AX26" s="632">
        <f t="shared" si="24"/>
        <v>11.832000000000001</v>
      </c>
      <c r="AY26" s="632">
        <f t="shared" si="25"/>
        <v>8.73</v>
      </c>
      <c r="AZ26" s="632">
        <f t="shared" si="26"/>
        <v>11.13</v>
      </c>
      <c r="BA26" s="632">
        <f t="shared" si="27"/>
        <v>16.05</v>
      </c>
      <c r="BB26" s="632">
        <f t="shared" si="28"/>
        <v>17.25</v>
      </c>
      <c r="BC26" s="632">
        <f t="shared" si="29"/>
        <v>9.06</v>
      </c>
      <c r="BD26" s="632">
        <f t="shared" si="30"/>
        <v>8.8800000000000008</v>
      </c>
      <c r="BE26" s="632">
        <f t="shared" si="31"/>
        <v>11.01</v>
      </c>
      <c r="BF26" s="632">
        <f t="shared" si="32"/>
        <v>5.5200000000000005</v>
      </c>
      <c r="BG26" s="296">
        <v>10310</v>
      </c>
      <c r="BH26" s="635">
        <v>1841</v>
      </c>
      <c r="BJ26" s="341"/>
      <c r="BK26" s="351"/>
    </row>
    <row r="27" spans="1:63" s="232" customFormat="1" x14ac:dyDescent="0.25">
      <c r="A27" s="335"/>
      <c r="B27" s="335" t="s">
        <v>64</v>
      </c>
      <c r="C27" s="336">
        <f t="shared" ca="1" si="20"/>
        <v>15.330357142857142</v>
      </c>
      <c r="D27" s="633" t="s">
        <v>770</v>
      </c>
      <c r="E27" s="338">
        <v>18</v>
      </c>
      <c r="F27" s="194">
        <f ca="1">-43569+$D$1+14</f>
        <v>75</v>
      </c>
      <c r="G27" s="339" t="s">
        <v>256</v>
      </c>
      <c r="H27" s="330">
        <v>1</v>
      </c>
      <c r="I27" s="280">
        <v>1.6</v>
      </c>
      <c r="J27" s="429">
        <f t="shared" si="4"/>
        <v>0.55329779729442397</v>
      </c>
      <c r="K27" s="275">
        <f t="shared" si="5"/>
        <v>1.6</v>
      </c>
      <c r="L27" s="275">
        <f t="shared" si="6"/>
        <v>6.4</v>
      </c>
      <c r="M27" s="340">
        <v>6.5</v>
      </c>
      <c r="N27" s="393">
        <f t="shared" si="7"/>
        <v>84</v>
      </c>
      <c r="O27" s="615">
        <v>43627</v>
      </c>
      <c r="P27" s="616">
        <f t="shared" ca="1" si="21"/>
        <v>4.8809062439885115E-2</v>
      </c>
      <c r="Q27" s="393">
        <v>5</v>
      </c>
      <c r="R27" s="443">
        <f t="shared" si="8"/>
        <v>0.84515425472851657</v>
      </c>
      <c r="S27" s="443">
        <f t="shared" si="9"/>
        <v>0.92504826128926143</v>
      </c>
      <c r="T27" s="296">
        <v>10580</v>
      </c>
      <c r="U27" s="569">
        <f t="shared" si="2"/>
        <v>0</v>
      </c>
      <c r="V27" s="296">
        <v>924</v>
      </c>
      <c r="W27" s="288">
        <f t="shared" si="3"/>
        <v>11.45021645021645</v>
      </c>
      <c r="X27" s="428">
        <v>0</v>
      </c>
      <c r="Y27" s="429">
        <v>2</v>
      </c>
      <c r="Z27" s="428">
        <v>8</v>
      </c>
      <c r="AA27" s="429">
        <v>5</v>
      </c>
      <c r="AB27" s="428">
        <v>4</v>
      </c>
      <c r="AC27" s="429">
        <v>8</v>
      </c>
      <c r="AD27" s="428">
        <v>6</v>
      </c>
      <c r="AE27" s="629">
        <v>696</v>
      </c>
      <c r="AF27" s="546">
        <f t="shared" ca="1" si="10"/>
        <v>7.2701072121338104</v>
      </c>
      <c r="AG27" s="546">
        <f t="shared" ca="1" si="11"/>
        <v>7.9640034311333672</v>
      </c>
      <c r="AH27" s="288">
        <f t="shared" ca="1" si="12"/>
        <v>1.2472702587752746</v>
      </c>
      <c r="AI27" s="288">
        <f t="shared" ca="1" si="13"/>
        <v>8.7140949226776243</v>
      </c>
      <c r="AJ27" s="288">
        <f t="shared" ca="1" si="14"/>
        <v>6.0868912555138861</v>
      </c>
      <c r="AK27" s="288">
        <f t="shared" ca="1" si="15"/>
        <v>0.62816854877874473</v>
      </c>
      <c r="AL27" s="288">
        <f t="shared" ca="1" si="16"/>
        <v>0.30214748018140164</v>
      </c>
      <c r="AM27" s="283">
        <f t="shared" ca="1" si="17"/>
        <v>5.3421938775838322</v>
      </c>
      <c r="AN27" s="283">
        <f t="shared" ca="1" si="18"/>
        <v>5.8520801866373136</v>
      </c>
      <c r="AO27" s="393">
        <v>4</v>
      </c>
      <c r="AP27" s="393">
        <v>2</v>
      </c>
      <c r="AQ27" s="533">
        <f t="shared" si="19"/>
        <v>0.157</v>
      </c>
      <c r="AR27" s="632">
        <v>3</v>
      </c>
      <c r="AS27" s="632">
        <v>26</v>
      </c>
      <c r="AT27" s="632">
        <v>26</v>
      </c>
      <c r="AU27" s="632">
        <v>5</v>
      </c>
      <c r="AV27" s="632">
        <f t="shared" si="22"/>
        <v>4.7160000000000002</v>
      </c>
      <c r="AW27" s="632">
        <f t="shared" si="23"/>
        <v>7.0990000000000002</v>
      </c>
      <c r="AX27" s="632">
        <f t="shared" si="24"/>
        <v>9.1359999999999992</v>
      </c>
      <c r="AY27" s="632">
        <f t="shared" si="25"/>
        <v>6.54</v>
      </c>
      <c r="AZ27" s="632">
        <f t="shared" si="26"/>
        <v>12.07</v>
      </c>
      <c r="BA27" s="632">
        <f t="shared" si="27"/>
        <v>27.35</v>
      </c>
      <c r="BB27" s="632">
        <f t="shared" si="28"/>
        <v>26.65</v>
      </c>
      <c r="BC27" s="632">
        <f t="shared" si="29"/>
        <v>14.680000000000001</v>
      </c>
      <c r="BD27" s="632">
        <f t="shared" si="30"/>
        <v>12.64</v>
      </c>
      <c r="BE27" s="632">
        <f t="shared" si="31"/>
        <v>19.73</v>
      </c>
      <c r="BF27" s="632">
        <f t="shared" si="32"/>
        <v>11.96</v>
      </c>
      <c r="BG27" s="296">
        <v>10580</v>
      </c>
      <c r="BH27" s="635">
        <v>3853</v>
      </c>
      <c r="BJ27" s="341"/>
      <c r="BK27" s="351"/>
    </row>
    <row r="28" spans="1:63" s="232" customFormat="1" x14ac:dyDescent="0.25">
      <c r="A28" s="335"/>
      <c r="B28" s="335" t="s">
        <v>64</v>
      </c>
      <c r="C28" s="336">
        <f t="shared" ca="1" si="20"/>
        <v>14.919642857142858</v>
      </c>
      <c r="D28" s="633" t="s">
        <v>773</v>
      </c>
      <c r="E28" s="338">
        <v>19</v>
      </c>
      <c r="F28" s="194">
        <f ca="1">-43626+$D$1+5</f>
        <v>9</v>
      </c>
      <c r="G28" s="339" t="s">
        <v>426</v>
      </c>
      <c r="H28" s="330">
        <v>4</v>
      </c>
      <c r="I28" s="280">
        <v>0.3</v>
      </c>
      <c r="J28" s="429">
        <f t="shared" si="4"/>
        <v>0.15192446974244905</v>
      </c>
      <c r="K28" s="275">
        <f t="shared" si="5"/>
        <v>4.8</v>
      </c>
      <c r="L28" s="275">
        <f t="shared" si="6"/>
        <v>7.5</v>
      </c>
      <c r="M28" s="340">
        <v>4.5999999999999996</v>
      </c>
      <c r="N28" s="393">
        <f t="shared" si="7"/>
        <v>65</v>
      </c>
      <c r="O28" s="615">
        <v>43628</v>
      </c>
      <c r="P28" s="616">
        <f t="shared" ca="1" si="21"/>
        <v>3.7653214615844956E-2</v>
      </c>
      <c r="Q28" s="393">
        <v>6</v>
      </c>
      <c r="R28" s="443">
        <f t="shared" si="8"/>
        <v>0.92582009977255142</v>
      </c>
      <c r="S28" s="443">
        <f t="shared" si="9"/>
        <v>0.99928545900129484</v>
      </c>
      <c r="T28" s="296">
        <v>6940</v>
      </c>
      <c r="U28" s="569">
        <f t="shared" si="2"/>
        <v>0</v>
      </c>
      <c r="V28" s="296">
        <v>948</v>
      </c>
      <c r="W28" s="288">
        <f t="shared" si="3"/>
        <v>7.3206751054852317</v>
      </c>
      <c r="X28" s="428">
        <v>0</v>
      </c>
      <c r="Y28" s="429">
        <v>7</v>
      </c>
      <c r="Z28" s="428">
        <v>7</v>
      </c>
      <c r="AA28" s="429">
        <v>1</v>
      </c>
      <c r="AB28" s="428">
        <v>1</v>
      </c>
      <c r="AC28" s="429">
        <v>6</v>
      </c>
      <c r="AD28" s="428">
        <v>1</v>
      </c>
      <c r="AE28" s="629">
        <v>597</v>
      </c>
      <c r="AF28" s="546">
        <f t="shared" ca="1" si="10"/>
        <v>6.6562555290551044</v>
      </c>
      <c r="AG28" s="546">
        <f t="shared" ca="1" si="11"/>
        <v>7.1895776843582935</v>
      </c>
      <c r="AH28" s="288">
        <f t="shared" ca="1" si="12"/>
        <v>1.1073656737368371</v>
      </c>
      <c r="AI28" s="288">
        <f t="shared" ca="1" si="13"/>
        <v>3.0820242660685357</v>
      </c>
      <c r="AJ28" s="288">
        <f t="shared" ca="1" si="14"/>
        <v>2.4900650800786237</v>
      </c>
      <c r="AK28" s="288">
        <f t="shared" ca="1" si="15"/>
        <v>0.34516621474866349</v>
      </c>
      <c r="AL28" s="288">
        <f t="shared" ca="1" si="16"/>
        <v>0.32327043790508059</v>
      </c>
      <c r="AM28" s="283">
        <f t="shared" ca="1" si="17"/>
        <v>0.31522466651909875</v>
      </c>
      <c r="AN28" s="283">
        <f t="shared" ca="1" si="18"/>
        <v>0.3404815542420615</v>
      </c>
      <c r="AO28" s="393">
        <v>4</v>
      </c>
      <c r="AP28" s="393">
        <v>2</v>
      </c>
      <c r="AQ28" s="533">
        <f t="shared" si="19"/>
        <v>0.157</v>
      </c>
      <c r="AR28" s="632">
        <v>23</v>
      </c>
      <c r="AS28" s="632">
        <v>21</v>
      </c>
      <c r="AT28" s="632">
        <v>16</v>
      </c>
      <c r="AU28" s="632">
        <v>0</v>
      </c>
      <c r="AV28" s="632">
        <f t="shared" si="22"/>
        <v>24.385999999999999</v>
      </c>
      <c r="AW28" s="632">
        <f t="shared" si="23"/>
        <v>24.644000000000002</v>
      </c>
      <c r="AX28" s="632">
        <f t="shared" si="24"/>
        <v>27.956</v>
      </c>
      <c r="AY28" s="632">
        <f t="shared" si="25"/>
        <v>20.715</v>
      </c>
      <c r="AZ28" s="632">
        <f t="shared" si="26"/>
        <v>24.77</v>
      </c>
      <c r="BA28" s="632">
        <f t="shared" si="27"/>
        <v>31.35</v>
      </c>
      <c r="BB28" s="632">
        <f t="shared" si="28"/>
        <v>34.9</v>
      </c>
      <c r="BC28" s="632">
        <f t="shared" si="29"/>
        <v>18.03</v>
      </c>
      <c r="BD28" s="632">
        <f t="shared" si="30"/>
        <v>18.440000000000001</v>
      </c>
      <c r="BE28" s="632">
        <f t="shared" si="31"/>
        <v>21.08</v>
      </c>
      <c r="BF28" s="632">
        <f t="shared" si="32"/>
        <v>9.66</v>
      </c>
      <c r="BG28" s="296">
        <v>6940</v>
      </c>
      <c r="BH28" s="635">
        <v>740</v>
      </c>
      <c r="BJ28" s="341"/>
      <c r="BK28" s="351"/>
    </row>
    <row r="29" spans="1:63" s="232" customFormat="1" x14ac:dyDescent="0.25">
      <c r="A29" s="335"/>
      <c r="B29" s="335" t="s">
        <v>64</v>
      </c>
      <c r="C29" s="336">
        <f t="shared" ca="1" si="20"/>
        <v>14.964285714285714</v>
      </c>
      <c r="D29" s="633" t="s">
        <v>758</v>
      </c>
      <c r="E29" s="338">
        <v>19</v>
      </c>
      <c r="F29" s="194">
        <f ca="1">-43626+$D$1</f>
        <v>4</v>
      </c>
      <c r="G29" s="339" t="s">
        <v>169</v>
      </c>
      <c r="H29" s="330">
        <v>4</v>
      </c>
      <c r="I29" s="280">
        <v>1.8</v>
      </c>
      <c r="J29" s="429">
        <f t="shared" si="4"/>
        <v>0.59621070845629232</v>
      </c>
      <c r="K29" s="275">
        <f t="shared" si="5"/>
        <v>28.8</v>
      </c>
      <c r="L29" s="275">
        <f t="shared" si="6"/>
        <v>45</v>
      </c>
      <c r="M29" s="340">
        <v>2.8</v>
      </c>
      <c r="N29" s="393">
        <f t="shared" si="7"/>
        <v>47</v>
      </c>
      <c r="O29" s="615">
        <v>43626</v>
      </c>
      <c r="P29" s="616">
        <f t="shared" ca="1" si="21"/>
        <v>5.8676102278042847E-2</v>
      </c>
      <c r="Q29" s="393">
        <v>5</v>
      </c>
      <c r="R29" s="443">
        <f t="shared" si="8"/>
        <v>0.84515425472851657</v>
      </c>
      <c r="S29" s="443">
        <f t="shared" si="9"/>
        <v>0.92504826128926143</v>
      </c>
      <c r="T29" s="296">
        <v>5750</v>
      </c>
      <c r="U29" s="569">
        <f t="shared" si="2"/>
        <v>0</v>
      </c>
      <c r="V29" s="296">
        <v>870</v>
      </c>
      <c r="W29" s="288">
        <f t="shared" si="3"/>
        <v>6.6091954022988508</v>
      </c>
      <c r="X29" s="428">
        <v>0</v>
      </c>
      <c r="Y29" s="429">
        <v>7</v>
      </c>
      <c r="Z29" s="428">
        <v>7</v>
      </c>
      <c r="AA29" s="429">
        <v>2</v>
      </c>
      <c r="AB29" s="428">
        <v>4</v>
      </c>
      <c r="AC29" s="429">
        <v>6</v>
      </c>
      <c r="AD29" s="428">
        <v>2</v>
      </c>
      <c r="AE29" s="629">
        <v>690</v>
      </c>
      <c r="AF29" s="546">
        <f t="shared" ca="1" si="10"/>
        <v>6.4695601575573285</v>
      </c>
      <c r="AG29" s="546">
        <f t="shared" ca="1" si="11"/>
        <v>7.0870480708616501</v>
      </c>
      <c r="AH29" s="288">
        <f t="shared" ca="1" si="12"/>
        <v>1.7922193680376104</v>
      </c>
      <c r="AI29" s="288">
        <f t="shared" ca="1" si="13"/>
        <v>4.1474253489122113</v>
      </c>
      <c r="AJ29" s="288">
        <f t="shared" ca="1" si="14"/>
        <v>3.2579739895889652</v>
      </c>
      <c r="AK29" s="288">
        <f t="shared" ca="1" si="15"/>
        <v>0.41239094485874678</v>
      </c>
      <c r="AL29" s="288">
        <f t="shared" ca="1" si="16"/>
        <v>0.38584207675140347</v>
      </c>
      <c r="AM29" s="283">
        <f t="shared" ca="1" si="17"/>
        <v>2.0275583920192282</v>
      </c>
      <c r="AN29" s="283">
        <f t="shared" ca="1" si="18"/>
        <v>2.2210789359356675</v>
      </c>
      <c r="AO29" s="393">
        <v>3</v>
      </c>
      <c r="AP29" s="393">
        <v>3</v>
      </c>
      <c r="AQ29" s="533">
        <f t="shared" si="19"/>
        <v>0.1158</v>
      </c>
      <c r="AR29" s="632">
        <v>23</v>
      </c>
      <c r="AS29" s="632">
        <v>21</v>
      </c>
      <c r="AT29" s="632">
        <v>16</v>
      </c>
      <c r="AU29" s="632">
        <v>1</v>
      </c>
      <c r="AV29" s="632">
        <f t="shared" si="22"/>
        <v>24.385999999999999</v>
      </c>
      <c r="AW29" s="632">
        <f t="shared" si="23"/>
        <v>24.644000000000002</v>
      </c>
      <c r="AX29" s="632">
        <f t="shared" si="24"/>
        <v>27.956</v>
      </c>
      <c r="AY29" s="632">
        <f t="shared" si="25"/>
        <v>20.715</v>
      </c>
      <c r="AZ29" s="632">
        <f t="shared" si="26"/>
        <v>24.77</v>
      </c>
      <c r="BA29" s="632">
        <f t="shared" si="27"/>
        <v>31.35</v>
      </c>
      <c r="BB29" s="632">
        <f t="shared" si="28"/>
        <v>34.9</v>
      </c>
      <c r="BC29" s="632">
        <f t="shared" si="29"/>
        <v>18.03</v>
      </c>
      <c r="BD29" s="632">
        <f t="shared" si="30"/>
        <v>18.440000000000001</v>
      </c>
      <c r="BE29" s="632">
        <f t="shared" si="31"/>
        <v>21.08</v>
      </c>
      <c r="BF29" s="632">
        <f t="shared" si="32"/>
        <v>9.66</v>
      </c>
      <c r="BG29" s="296">
        <v>5750</v>
      </c>
      <c r="BH29" s="635">
        <v>1308</v>
      </c>
      <c r="BJ29" s="341"/>
      <c r="BK29" s="351"/>
    </row>
    <row r="30" spans="1:63" s="237" customFormat="1" x14ac:dyDescent="0.25">
      <c r="A30" s="335" t="s">
        <v>457</v>
      </c>
      <c r="B30" s="335" t="s">
        <v>66</v>
      </c>
      <c r="C30" s="336">
        <f t="shared" ca="1" si="20"/>
        <v>2.0446428571428572</v>
      </c>
      <c r="D30" s="599" t="s">
        <v>458</v>
      </c>
      <c r="E30" s="193">
        <v>31</v>
      </c>
      <c r="F30" s="194">
        <f ca="1">7-41471+$D$1-112-111-43-112-112-1-112-112-112-112-112-112-112-112-112-112-112-112-112-112</f>
        <v>107</v>
      </c>
      <c r="G30" s="235"/>
      <c r="H30" s="625">
        <v>5</v>
      </c>
      <c r="I30" s="197">
        <v>6.2</v>
      </c>
      <c r="J30" s="429">
        <f t="shared" si="4"/>
        <v>1.1431099952416914</v>
      </c>
      <c r="K30" s="275">
        <f t="shared" si="5"/>
        <v>155</v>
      </c>
      <c r="L30" s="275">
        <f t="shared" si="6"/>
        <v>223.20000000000002</v>
      </c>
      <c r="M30" s="268">
        <v>7.2</v>
      </c>
      <c r="N30" s="393">
        <f t="shared" si="7"/>
        <v>91</v>
      </c>
      <c r="O30" s="393" t="s">
        <v>463</v>
      </c>
      <c r="P30" s="616">
        <v>1.5</v>
      </c>
      <c r="Q30" s="394">
        <v>5</v>
      </c>
      <c r="R30" s="443">
        <f t="shared" si="8"/>
        <v>0.84515425472851657</v>
      </c>
      <c r="S30" s="443">
        <f t="shared" si="9"/>
        <v>0.92504826128926143</v>
      </c>
      <c r="T30" s="570">
        <v>14610</v>
      </c>
      <c r="U30" s="569">
        <f t="shared" si="2"/>
        <v>-2900</v>
      </c>
      <c r="V30" s="570">
        <v>2500</v>
      </c>
      <c r="W30" s="288">
        <f t="shared" si="3"/>
        <v>5.8440000000000003</v>
      </c>
      <c r="X30" s="428">
        <v>0</v>
      </c>
      <c r="Y30" s="429">
        <f>4+0.01+0.01</f>
        <v>4.0199999999999996</v>
      </c>
      <c r="Z30" s="428">
        <v>5.95</v>
      </c>
      <c r="AA30" s="429">
        <f>4.9+0.25+0.05+0.05+0.05+0.04+0.03+0.03+0.03+0.02+0.02+0.02+0.02</f>
        <v>5.5099999999999989</v>
      </c>
      <c r="AB30" s="428">
        <v>10.95</v>
      </c>
      <c r="AC30" s="429">
        <v>7.95</v>
      </c>
      <c r="AD30" s="428">
        <v>14</v>
      </c>
      <c r="AE30" s="629">
        <v>938</v>
      </c>
      <c r="AF30" s="546">
        <f t="shared" si="10"/>
        <v>7.2625034738286587</v>
      </c>
      <c r="AG30" s="546">
        <f t="shared" si="11"/>
        <v>7.9556739531511722</v>
      </c>
      <c r="AH30" s="288">
        <f t="shared" si="12"/>
        <v>3.5759881571431378</v>
      </c>
      <c r="AI30" s="288">
        <f t="shared" si="13"/>
        <v>16.17479292973379</v>
      </c>
      <c r="AJ30" s="288">
        <f t="shared" si="14"/>
        <v>12.532040252060957</v>
      </c>
      <c r="AK30" s="288">
        <f t="shared" si="15"/>
        <v>1.0289487996193352</v>
      </c>
      <c r="AL30" s="288">
        <f t="shared" si="16"/>
        <v>0.76581769966691837</v>
      </c>
      <c r="AM30" s="283">
        <f t="shared" si="17"/>
        <v>13.992815225346629</v>
      </c>
      <c r="AN30" s="283">
        <f t="shared" si="18"/>
        <v>15.328361083848163</v>
      </c>
      <c r="AO30" s="394">
        <v>2</v>
      </c>
      <c r="AP30" s="394">
        <v>1</v>
      </c>
      <c r="AQ30" s="533">
        <f t="shared" si="19"/>
        <v>6.1499999999999999E-2</v>
      </c>
      <c r="AR30" s="632"/>
      <c r="AS30" s="632"/>
      <c r="AT30" s="632"/>
      <c r="AU30" s="632"/>
      <c r="AV30" s="533"/>
      <c r="AW30" s="533"/>
      <c r="AX30" s="533"/>
      <c r="AY30" s="533"/>
      <c r="AZ30" s="533"/>
      <c r="BA30" s="533"/>
      <c r="BB30" s="533"/>
      <c r="BC30" s="533"/>
      <c r="BD30" s="533"/>
      <c r="BE30" s="533"/>
      <c r="BF30" s="533"/>
      <c r="BG30" s="570">
        <v>17510</v>
      </c>
      <c r="BH30" s="636"/>
      <c r="BJ30" s="341"/>
      <c r="BK30" s="351"/>
    </row>
    <row r="31" spans="1:63" x14ac:dyDescent="0.25">
      <c r="G31" s="4"/>
      <c r="H31"/>
      <c r="I31" s="257"/>
      <c r="J31" s="430"/>
      <c r="K31"/>
      <c r="T31" s="219">
        <f>SUM(T5:T30)+T3</f>
        <v>537910</v>
      </c>
      <c r="U31" s="219">
        <f>SUM(U5:U30)</f>
        <v>-217340</v>
      </c>
      <c r="V31" s="219">
        <f>SUM(V5:V30)+V3</f>
        <v>135506</v>
      </c>
      <c r="W31" s="287">
        <f t="shared" si="3"/>
        <v>3.9696397207503726</v>
      </c>
      <c r="X31"/>
      <c r="AD31" s="284"/>
      <c r="AE31" s="219">
        <f>AVERAGE(AE5:AE30)</f>
        <v>1166.5384615384614</v>
      </c>
      <c r="AH31" s="219"/>
      <c r="AI31" s="219"/>
      <c r="AJ31" s="219"/>
      <c r="AK31" s="219"/>
      <c r="AL31" s="219"/>
      <c r="AM31" s="219"/>
      <c r="AN31" s="219"/>
    </row>
    <row r="32" spans="1:63" x14ac:dyDescent="0.25">
      <c r="G32" s="401"/>
      <c r="K32" s="401"/>
      <c r="M32" s="401"/>
      <c r="N32" s="401"/>
      <c r="Q32" s="401"/>
      <c r="T32" s="285"/>
      <c r="U32" s="285"/>
      <c r="V32" s="285">
        <f>V31-V3</f>
        <v>135182</v>
      </c>
      <c r="W32" s="265"/>
      <c r="AE32" s="265"/>
      <c r="AH32" s="265"/>
      <c r="AI32" s="265"/>
      <c r="AJ32" s="265"/>
      <c r="AK32" s="265"/>
      <c r="AL32" s="265"/>
      <c r="AM32" s="265"/>
      <c r="AN32" s="265"/>
    </row>
    <row r="33" spans="3:40" x14ac:dyDescent="0.25">
      <c r="I33" s="238"/>
      <c r="Y33" s="148"/>
    </row>
    <row r="34" spans="3:40" x14ac:dyDescent="0.25">
      <c r="D34" s="548"/>
      <c r="I34" s="238"/>
      <c r="P34" s="152"/>
      <c r="Y34" s="148"/>
      <c r="AE34" s="601"/>
    </row>
    <row r="35" spans="3:40" x14ac:dyDescent="0.25">
      <c r="D35" s="548"/>
      <c r="I35" s="238"/>
      <c r="P35" s="152"/>
      <c r="V35" s="614"/>
      <c r="Y35" s="148"/>
    </row>
    <row r="36" spans="3:40" x14ac:dyDescent="0.25">
      <c r="D36" s="549"/>
      <c r="I36" s="238"/>
      <c r="V36" s="614"/>
      <c r="Y36" s="148"/>
    </row>
    <row r="37" spans="3:40" x14ac:dyDescent="0.25">
      <c r="I37" s="238"/>
      <c r="Y37" s="148"/>
    </row>
    <row r="38" spans="3:40" x14ac:dyDescent="0.25">
      <c r="I38" s="238"/>
      <c r="V38" s="614"/>
      <c r="Y38" s="148"/>
    </row>
    <row r="39" spans="3:40" x14ac:dyDescent="0.25">
      <c r="I39" s="238"/>
      <c r="Y39" s="148"/>
    </row>
    <row r="40" spans="3:40" x14ac:dyDescent="0.25">
      <c r="I40" s="238"/>
      <c r="Y40" s="148"/>
    </row>
    <row r="41" spans="3:40" x14ac:dyDescent="0.25">
      <c r="C41"/>
      <c r="D41"/>
      <c r="G41"/>
      <c r="H41"/>
      <c r="I41" s="238"/>
      <c r="K41"/>
      <c r="M41"/>
      <c r="N41"/>
      <c r="O41"/>
      <c r="P41"/>
      <c r="Q41"/>
      <c r="R41"/>
      <c r="S41"/>
      <c r="V41"/>
      <c r="W41"/>
      <c r="X41"/>
      <c r="AE41"/>
      <c r="AH41"/>
      <c r="AI41"/>
      <c r="AK41"/>
      <c r="AL41"/>
      <c r="AM41"/>
      <c r="AN41"/>
    </row>
    <row r="42" spans="3:40" x14ac:dyDescent="0.25">
      <c r="C42"/>
      <c r="D42"/>
      <c r="G42"/>
      <c r="H42"/>
      <c r="I42" s="238"/>
      <c r="K42"/>
      <c r="M42"/>
      <c r="N42"/>
      <c r="O42"/>
      <c r="P42"/>
      <c r="Q42"/>
      <c r="R42"/>
      <c r="S42"/>
      <c r="V42"/>
      <c r="W42"/>
      <c r="X42"/>
      <c r="AE42"/>
      <c r="AH42"/>
      <c r="AI42"/>
      <c r="AK42"/>
      <c r="AL42"/>
      <c r="AM42"/>
      <c r="AN42"/>
    </row>
    <row r="43" spans="3:40" x14ac:dyDescent="0.25">
      <c r="C43"/>
      <c r="D43"/>
      <c r="G43"/>
      <c r="H43"/>
      <c r="I43" s="238"/>
      <c r="K43"/>
      <c r="M43"/>
      <c r="N43"/>
      <c r="O43"/>
      <c r="P43"/>
      <c r="Q43"/>
      <c r="R43"/>
      <c r="S43"/>
      <c r="V43"/>
      <c r="W43"/>
      <c r="X43"/>
      <c r="AE43"/>
      <c r="AH43"/>
      <c r="AI43"/>
      <c r="AK43"/>
      <c r="AL43"/>
      <c r="AM43"/>
      <c r="AN43"/>
    </row>
    <row r="44" spans="3:40" x14ac:dyDescent="0.25">
      <c r="C44"/>
      <c r="D44"/>
      <c r="G44"/>
      <c r="H44"/>
      <c r="I44" s="238"/>
      <c r="K44"/>
      <c r="M44"/>
      <c r="N44"/>
      <c r="O44"/>
      <c r="P44"/>
      <c r="Q44"/>
      <c r="R44"/>
      <c r="S44"/>
      <c r="V44"/>
      <c r="W44"/>
      <c r="X44"/>
      <c r="AE44"/>
      <c r="AH44"/>
      <c r="AI44"/>
      <c r="AK44"/>
      <c r="AL44"/>
      <c r="AM44"/>
      <c r="AN44"/>
    </row>
  </sheetData>
  <sortState ref="A6:BG35">
    <sortCondition descending="1" ref="B6:B35"/>
  </sortState>
  <mergeCells count="1">
    <mergeCell ref="E1:G1"/>
  </mergeCells>
  <conditionalFormatting sqref="N6:N30">
    <cfRule type="cellIs" dxfId="162" priority="476" operator="greaterThan">
      <formula>82</formula>
    </cfRule>
    <cfRule type="cellIs" dxfId="161" priority="477" operator="lessThan">
      <formula>79</formula>
    </cfRule>
  </conditionalFormatting>
  <conditionalFormatting sqref="Q6:Q30">
    <cfRule type="cellIs" dxfId="160" priority="450" operator="greaterThan">
      <formula>6</formula>
    </cfRule>
    <cfRule type="cellIs" dxfId="159" priority="451" operator="lessThan">
      <formula>5</formula>
    </cfRule>
  </conditionalFormatting>
  <conditionalFormatting sqref="R6:S30">
    <cfRule type="cellIs" dxfId="158" priority="444" operator="greaterThan">
      <formula>0.95</formula>
    </cfRule>
    <cfRule type="cellIs" dxfId="157" priority="445" operator="lessThan">
      <formula>0.85</formula>
    </cfRule>
  </conditionalFormatting>
  <conditionalFormatting sqref="N5">
    <cfRule type="cellIs" dxfId="156" priority="325" operator="greaterThan">
      <formula>82</formula>
    </cfRule>
    <cfRule type="cellIs" dxfId="155" priority="326" operator="lessThan">
      <formula>79</formula>
    </cfRule>
  </conditionalFormatting>
  <conditionalFormatting sqref="Q5">
    <cfRule type="cellIs" dxfId="154" priority="323" operator="greaterThan">
      <formula>6</formula>
    </cfRule>
    <cfRule type="cellIs" dxfId="153" priority="324" operator="lessThan">
      <formula>5</formula>
    </cfRule>
  </conditionalFormatting>
  <conditionalFormatting sqref="R5:S5">
    <cfRule type="cellIs" dxfId="152" priority="321" operator="greaterThan">
      <formula>0.95</formula>
    </cfRule>
    <cfRule type="cellIs" dxfId="151" priority="322" operator="lessThan">
      <formula>0.85</formula>
    </cfRule>
  </conditionalFormatting>
  <conditionalFormatting sqref="AQ5:AQ30">
    <cfRule type="cellIs" dxfId="150" priority="39" operator="lessThan">
      <formula>0.07</formula>
    </cfRule>
    <cfRule type="cellIs" dxfId="149" priority="40" operator="greaterThan">
      <formula>0.1</formula>
    </cfRule>
  </conditionalFormatting>
  <conditionalFormatting sqref="C3">
    <cfRule type="colorScale" priority="1872">
      <colorScale>
        <cfvo type="min"/>
        <cfvo type="max"/>
        <color rgb="FFFFEF9C"/>
        <color rgb="FF63BE7B"/>
      </colorScale>
    </cfRule>
  </conditionalFormatting>
  <conditionalFormatting sqref="W3">
    <cfRule type="dataBar" priority="1873">
      <dataBar>
        <cfvo type="min"/>
        <cfvo type="max"/>
        <color rgb="FFFFB628"/>
      </dataBar>
    </cfRule>
  </conditionalFormatting>
  <conditionalFormatting sqref="V5:V30">
    <cfRule type="dataBar" priority="3167">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30">
    <cfRule type="dataBar" priority="3169">
      <dataBar>
        <cfvo type="min"/>
        <cfvo type="max"/>
        <color rgb="FFFFB628"/>
      </dataBar>
      <extLst>
        <ext xmlns:x14="http://schemas.microsoft.com/office/spreadsheetml/2009/9/main" uri="{B025F937-C7B1-47D3-B67F-A62EFF666E3E}">
          <x14:id>{3567EDC3-F608-464A-AE0A-1EA832FCF3E8}</x14:id>
        </ext>
      </extLst>
    </cfRule>
  </conditionalFormatting>
  <conditionalFormatting sqref="T5:T30">
    <cfRule type="dataBar" priority="3171">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30">
    <cfRule type="dataBar" priority="3173">
      <dataBar>
        <cfvo type="min"/>
        <cfvo type="max"/>
        <color rgb="FF63C384"/>
      </dataBar>
      <extLst>
        <ext xmlns:x14="http://schemas.microsoft.com/office/spreadsheetml/2009/9/main" uri="{B025F937-C7B1-47D3-B67F-A62EFF666E3E}">
          <x14:id>{48F466DF-8B55-4F4D-A6B0-FEE1C8210348}</x14:id>
        </ext>
      </extLst>
    </cfRule>
  </conditionalFormatting>
  <conditionalFormatting sqref="AE5:AE30">
    <cfRule type="dataBar" priority="3175">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30">
    <cfRule type="colorScale" priority="3177">
      <colorScale>
        <cfvo type="min"/>
        <cfvo type="max"/>
        <color rgb="FFFFEF9C"/>
        <color rgb="FF63BE7B"/>
      </colorScale>
    </cfRule>
  </conditionalFormatting>
  <conditionalFormatting sqref="C5:C30">
    <cfRule type="colorScale" priority="3179">
      <colorScale>
        <cfvo type="min"/>
        <cfvo type="percentile" val="50"/>
        <cfvo type="max"/>
        <color rgb="FFF8696B"/>
        <color rgb="FFFFEB84"/>
        <color rgb="FF63BE7B"/>
      </colorScale>
    </cfRule>
  </conditionalFormatting>
  <conditionalFormatting sqref="AF5:AG30">
    <cfRule type="colorScale" priority="3181">
      <colorScale>
        <cfvo type="min"/>
        <cfvo type="percentile" val="50"/>
        <cfvo type="max"/>
        <color rgb="FFF8696B"/>
        <color rgb="FFFFEB84"/>
        <color rgb="FF63BE7B"/>
      </colorScale>
    </cfRule>
  </conditionalFormatting>
  <conditionalFormatting sqref="AH5:AH30">
    <cfRule type="colorScale" priority="3183">
      <colorScale>
        <cfvo type="min"/>
        <cfvo type="percentile" val="50"/>
        <cfvo type="max"/>
        <color rgb="FFF8696B"/>
        <color rgb="FFFCFCFF"/>
        <color rgb="FF5A8AC6"/>
      </colorScale>
    </cfRule>
  </conditionalFormatting>
  <conditionalFormatting sqref="AI5:AI30">
    <cfRule type="colorScale" priority="3185">
      <colorScale>
        <cfvo type="min"/>
        <cfvo type="percentile" val="50"/>
        <cfvo type="max"/>
        <color rgb="FFF8696B"/>
        <color rgb="FFFFEB84"/>
        <color rgb="FF63BE7B"/>
      </colorScale>
    </cfRule>
  </conditionalFormatting>
  <conditionalFormatting sqref="AJ5:AJ30">
    <cfRule type="colorScale" priority="3187">
      <colorScale>
        <cfvo type="min"/>
        <cfvo type="percentile" val="50"/>
        <cfvo type="max"/>
        <color rgb="FFF8696B"/>
        <color rgb="FFFCFCFF"/>
        <color rgb="FF5A8AC6"/>
      </colorScale>
    </cfRule>
  </conditionalFormatting>
  <conditionalFormatting sqref="AK5:AL30">
    <cfRule type="colorScale" priority="3189">
      <colorScale>
        <cfvo type="min"/>
        <cfvo type="percentile" val="50"/>
        <cfvo type="max"/>
        <color rgb="FFF8696B"/>
        <color rgb="FFFFEB84"/>
        <color rgb="FF63BE7B"/>
      </colorScale>
    </cfRule>
  </conditionalFormatting>
  <conditionalFormatting sqref="AM5:AN30">
    <cfRule type="colorScale" priority="3191">
      <colorScale>
        <cfvo type="min"/>
        <cfvo type="percentile" val="50"/>
        <cfvo type="max"/>
        <color rgb="FFF8696B"/>
        <color rgb="FFFCFCFF"/>
        <color rgb="FF5A8AC6"/>
      </colorScale>
    </cfRule>
  </conditionalFormatting>
  <conditionalFormatting sqref="X5:AD30">
    <cfRule type="cellIs" dxfId="148" priority="3193" operator="greaterThan">
      <formula>10</formula>
    </cfRule>
    <cfRule type="colorScale" priority="3194">
      <colorScale>
        <cfvo type="min"/>
        <cfvo type="max"/>
        <color rgb="FFFCFCFF"/>
        <color rgb="FF63BE7B"/>
      </colorScale>
    </cfRule>
  </conditionalFormatting>
  <conditionalFormatting sqref="I5:I30">
    <cfRule type="colorScale" priority="3197">
      <colorScale>
        <cfvo type="min"/>
        <cfvo type="percentile" val="50"/>
        <cfvo type="max"/>
        <color rgb="FFF8696B"/>
        <color rgb="FFFFEB84"/>
        <color rgb="FF63BE7B"/>
      </colorScale>
    </cfRule>
  </conditionalFormatting>
  <conditionalFormatting sqref="BG5:BH30">
    <cfRule type="dataBar" priority="3199">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5:AU30">
    <cfRule type="colorScale" priority="3201">
      <colorScale>
        <cfvo type="min"/>
        <cfvo type="max"/>
        <color rgb="FFFCFCFF"/>
        <color rgb="FFF8696B"/>
      </colorScale>
    </cfRule>
  </conditionalFormatting>
  <conditionalFormatting sqref="AV5:BF30">
    <cfRule type="colorScale" priority="3203">
      <colorScale>
        <cfvo type="min"/>
        <cfvo type="percentile" val="50"/>
        <cfvo type="max"/>
        <color rgb="FFF8696B"/>
        <color rgb="FFFFEB84"/>
        <color rgb="FF63BE7B"/>
      </colorScale>
    </cfRule>
  </conditionalFormatting>
  <conditionalFormatting sqref="BH5:BH30">
    <cfRule type="dataBar" priority="1">
      <dataBar>
        <cfvo type="min"/>
        <cfvo type="max"/>
        <color rgb="FFFFB628"/>
      </dataBar>
      <extLst>
        <ext xmlns:x14="http://schemas.microsoft.com/office/spreadsheetml/2009/9/main" uri="{B025F937-C7B1-47D3-B67F-A62EFF666E3E}">
          <x14:id>{C9496D44-6FC8-4BB5-9FE4-056827D2203E}</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V5:V30</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W5:W30</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T5:T30</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U5:U30</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AE5:AE30</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BG5:BH30</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BH5:BH30</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AH3" sqref="AH3"/>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30"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63"/>
      <c r="D1" s="430"/>
      <c r="X1" t="s">
        <v>553</v>
      </c>
      <c r="AA1" t="s">
        <v>554</v>
      </c>
      <c r="AE1" t="s">
        <v>555</v>
      </c>
      <c r="AI1" t="s">
        <v>556</v>
      </c>
      <c r="AM1" t="s">
        <v>557</v>
      </c>
      <c r="AQ1" t="s">
        <v>552</v>
      </c>
      <c r="AX1" t="s">
        <v>558</v>
      </c>
      <c r="BE1" t="s">
        <v>427</v>
      </c>
      <c r="BJ1" t="s">
        <v>559</v>
      </c>
      <c r="BO1" t="s">
        <v>511</v>
      </c>
      <c r="BT1" t="s">
        <v>676</v>
      </c>
      <c r="BY1" t="s">
        <v>507</v>
      </c>
      <c r="CD1" t="s">
        <v>489</v>
      </c>
      <c r="CH1" t="s">
        <v>66</v>
      </c>
    </row>
    <row r="2" spans="1:89" x14ac:dyDescent="0.25">
      <c r="A2" s="431" t="s">
        <v>174</v>
      </c>
      <c r="B2" s="431" t="s">
        <v>560</v>
      </c>
      <c r="C2" s="431" t="s">
        <v>62</v>
      </c>
      <c r="D2" s="432" t="s">
        <v>561</v>
      </c>
      <c r="E2" s="431" t="s">
        <v>562</v>
      </c>
      <c r="F2" s="433" t="s">
        <v>563</v>
      </c>
      <c r="G2" s="433" t="s">
        <v>564</v>
      </c>
      <c r="H2" s="433" t="s">
        <v>565</v>
      </c>
      <c r="I2" s="434" t="s">
        <v>566</v>
      </c>
      <c r="J2" s="435" t="s">
        <v>567</v>
      </c>
      <c r="K2" s="435" t="s">
        <v>1</v>
      </c>
      <c r="L2" s="435" t="s">
        <v>2</v>
      </c>
      <c r="M2" s="435" t="s">
        <v>568</v>
      </c>
      <c r="N2" s="435" t="s">
        <v>65</v>
      </c>
      <c r="O2" s="435" t="s">
        <v>470</v>
      </c>
      <c r="P2" s="435" t="s">
        <v>569</v>
      </c>
      <c r="Q2" s="435" t="s">
        <v>0</v>
      </c>
      <c r="R2" s="436" t="s">
        <v>464</v>
      </c>
      <c r="S2" s="436" t="s">
        <v>696</v>
      </c>
      <c r="T2" s="436" t="s">
        <v>570</v>
      </c>
      <c r="U2" s="436" t="s">
        <v>571</v>
      </c>
      <c r="V2" s="436" t="s">
        <v>477</v>
      </c>
      <c r="W2" s="436" t="s">
        <v>478</v>
      </c>
      <c r="X2" s="437" t="s">
        <v>572</v>
      </c>
      <c r="Y2" s="437" t="s">
        <v>573</v>
      </c>
      <c r="Z2" s="437" t="s">
        <v>572</v>
      </c>
      <c r="AA2" s="438" t="s">
        <v>572</v>
      </c>
      <c r="AB2" s="438" t="s">
        <v>573</v>
      </c>
      <c r="AC2" s="438" t="s">
        <v>572</v>
      </c>
      <c r="AD2" s="438" t="s">
        <v>64</v>
      </c>
      <c r="AE2" s="438" t="s">
        <v>572</v>
      </c>
      <c r="AF2" s="438" t="s">
        <v>573</v>
      </c>
      <c r="AG2" s="438" t="s">
        <v>572</v>
      </c>
      <c r="AH2" s="438" t="s">
        <v>64</v>
      </c>
      <c r="AI2" s="437" t="s">
        <v>572</v>
      </c>
      <c r="AJ2" s="437" t="s">
        <v>573</v>
      </c>
      <c r="AK2" s="437" t="s">
        <v>64</v>
      </c>
      <c r="AL2" s="437" t="s">
        <v>574</v>
      </c>
      <c r="AM2" s="437" t="s">
        <v>572</v>
      </c>
      <c r="AN2" s="437" t="s">
        <v>573</v>
      </c>
      <c r="AO2" s="437" t="s">
        <v>64</v>
      </c>
      <c r="AP2" s="437" t="s">
        <v>574</v>
      </c>
      <c r="AQ2" s="437" t="s">
        <v>572</v>
      </c>
      <c r="AR2" s="437" t="s">
        <v>573</v>
      </c>
      <c r="AS2" s="437" t="s">
        <v>572</v>
      </c>
      <c r="AT2" s="437" t="s">
        <v>64</v>
      </c>
      <c r="AU2" s="437" t="s">
        <v>574</v>
      </c>
      <c r="AV2" s="437" t="s">
        <v>575</v>
      </c>
      <c r="AW2" s="437" t="s">
        <v>574</v>
      </c>
      <c r="AX2" s="437" t="s">
        <v>572</v>
      </c>
      <c r="AY2" s="437" t="s">
        <v>573</v>
      </c>
      <c r="AZ2" s="437" t="s">
        <v>572</v>
      </c>
      <c r="BA2" s="437" t="s">
        <v>64</v>
      </c>
      <c r="BB2" s="437" t="s">
        <v>574</v>
      </c>
      <c r="BC2" s="437" t="s">
        <v>575</v>
      </c>
      <c r="BD2" s="437" t="s">
        <v>574</v>
      </c>
      <c r="BE2" s="438" t="s">
        <v>572</v>
      </c>
      <c r="BF2" s="438" t="s">
        <v>573</v>
      </c>
      <c r="BG2" s="438" t="s">
        <v>64</v>
      </c>
      <c r="BH2" s="438" t="s">
        <v>574</v>
      </c>
      <c r="BI2" s="438" t="s">
        <v>575</v>
      </c>
      <c r="BJ2" s="438" t="s">
        <v>572</v>
      </c>
      <c r="BK2" s="438" t="s">
        <v>573</v>
      </c>
      <c r="BL2" s="438" t="s">
        <v>64</v>
      </c>
      <c r="BM2" s="438" t="s">
        <v>574</v>
      </c>
      <c r="BN2" s="438" t="s">
        <v>575</v>
      </c>
      <c r="BO2" s="437" t="s">
        <v>572</v>
      </c>
      <c r="BP2" s="437" t="s">
        <v>573</v>
      </c>
      <c r="BQ2" s="437" t="s">
        <v>64</v>
      </c>
      <c r="BR2" s="437" t="s">
        <v>574</v>
      </c>
      <c r="BS2" s="437" t="s">
        <v>575</v>
      </c>
      <c r="BT2" s="437" t="s">
        <v>572</v>
      </c>
      <c r="BU2" s="437" t="s">
        <v>573</v>
      </c>
      <c r="BV2" s="437" t="s">
        <v>64</v>
      </c>
      <c r="BW2" s="437" t="s">
        <v>574</v>
      </c>
      <c r="BX2" s="437" t="s">
        <v>575</v>
      </c>
      <c r="BY2" s="437" t="s">
        <v>572</v>
      </c>
      <c r="BZ2" s="437" t="s">
        <v>573</v>
      </c>
      <c r="CA2" s="437" t="s">
        <v>64</v>
      </c>
      <c r="CB2" s="437" t="s">
        <v>574</v>
      </c>
      <c r="CC2" s="437" t="s">
        <v>575</v>
      </c>
      <c r="CD2" s="438" t="s">
        <v>64</v>
      </c>
      <c r="CE2" s="438" t="s">
        <v>574</v>
      </c>
      <c r="CF2" s="438" t="s">
        <v>575</v>
      </c>
      <c r="CG2" s="438" t="s">
        <v>574</v>
      </c>
      <c r="CH2" s="437" t="s">
        <v>574</v>
      </c>
      <c r="CI2" s="437" t="s">
        <v>575</v>
      </c>
      <c r="CJ2" s="437" t="s">
        <v>574</v>
      </c>
      <c r="CK2" s="437" t="s">
        <v>64</v>
      </c>
    </row>
    <row r="3" spans="1:89" x14ac:dyDescent="0.25">
      <c r="A3" t="str">
        <f>PLANTILLA!D5</f>
        <v>D. Gehmacher</v>
      </c>
      <c r="B3" s="430">
        <f>PLANTILLA!E5</f>
        <v>34</v>
      </c>
      <c r="C3" s="303">
        <f ca="1">PLANTILLA!F5</f>
        <v>104</v>
      </c>
      <c r="D3" s="430"/>
      <c r="E3" s="263">
        <v>42468</v>
      </c>
      <c r="F3" s="303">
        <f>PLANTILLA!Q5</f>
        <v>6</v>
      </c>
      <c r="G3" s="354">
        <f>(F3/7)^0.5</f>
        <v>0.92582009977255142</v>
      </c>
      <c r="H3" s="354">
        <f>IF(F3=7,1,((F3+0.99)/7)^0.5)</f>
        <v>0.99928545900129484</v>
      </c>
      <c r="I3" s="439">
        <v>1</v>
      </c>
      <c r="J3" s="440">
        <f>PLANTILLA!I5</f>
        <v>23.7</v>
      </c>
      <c r="K3" s="152">
        <f>PLANTILLA!X5</f>
        <v>16.666666666666668</v>
      </c>
      <c r="L3" s="152">
        <f>PLANTILLA!Y5</f>
        <v>11.95</v>
      </c>
      <c r="M3" s="152">
        <f>PLANTILLA!Z5</f>
        <v>2.0699999999999985</v>
      </c>
      <c r="N3" s="152">
        <f>PLANTILLA!AA5</f>
        <v>2.149999999999999</v>
      </c>
      <c r="O3" s="152">
        <f>PLANTILLA!AB5</f>
        <v>0.95</v>
      </c>
      <c r="P3" s="152">
        <f>PLANTILLA!AC5</f>
        <v>0</v>
      </c>
      <c r="Q3" s="152">
        <f>PLANTILLA!AD5</f>
        <v>18.2</v>
      </c>
      <c r="R3" s="152">
        <f>((2*(O3+1))+(L3+1))/8</f>
        <v>2.1062499999999997</v>
      </c>
      <c r="S3" s="152">
        <f>1.66*(P3+(LOG(J3)*4/3)+I3)+0.55*(Q3+(LOG(J3)*4/3)+I3)-7.6</f>
        <v>8.6709251262431071</v>
      </c>
      <c r="T3" s="152">
        <f>(0.5*P3+ 0.3*Q3)/10</f>
        <v>0.54600000000000004</v>
      </c>
      <c r="U3" s="152">
        <f>(0.4*L3+0.3*Q3)/10</f>
        <v>1.024</v>
      </c>
      <c r="V3" s="152">
        <f ca="1">IF(TODAY()-E3&gt;335,(Q3+1+(LOG(J3)*4/3))*(F3/7)^0.5,(Q3+((TODAY()-E3)^0.5)/(336^0.5)+(LOG(J3)*4/3))*(F3/7)^0.5)</f>
        <v>19.472772116786619</v>
      </c>
      <c r="W3" s="152">
        <f ca="1">IF(F3=7,V3,IF(TODAY()-E3&gt;335,(Q3+1+(LOG(J3)*4/3))*((F3+0.99)/7)^0.5,(Q3+((TODAY()-E3)^0.5)/(336^0.5)+(LOG(J3)*4/3))*((F3+0.99)/7)^0.5))</f>
        <v>21.017968855430166</v>
      </c>
      <c r="X3" s="148">
        <f>((K3+I3+(LOG(J3)*4/3))*0.597)+((L3+I3+(LOG(J3)*4/3))*0.276)</f>
        <v>15.721407074755762</v>
      </c>
      <c r="Y3" s="148">
        <f>((K3+I3+(LOG(J3)*4/3))*0.866)+((L3+I3+(LOG(J3)*4/3))*0.425)</f>
        <v>23.169483486265392</v>
      </c>
      <c r="Z3" s="148">
        <f>X3</f>
        <v>15.721407074755762</v>
      </c>
      <c r="AA3" s="148">
        <f>((L3+I3+(LOG(J3)*4/3))*0.516)</f>
        <v>7.6280268620549521</v>
      </c>
      <c r="AB3" s="148">
        <f>(L3+I3+(LOG(J3)*4/3))*1</f>
        <v>14.782997794680139</v>
      </c>
      <c r="AC3" s="148">
        <f>AA3/2</f>
        <v>3.814013431027476</v>
      </c>
      <c r="AD3" s="148">
        <f>(M3+I3+(LOG(J3)*4/3))*0.238</f>
        <v>1.1669134751338726</v>
      </c>
      <c r="AE3" s="148">
        <f>((L3+I3+(LOG(J3)*4/3))*0.378)</f>
        <v>5.5879731663890926</v>
      </c>
      <c r="AF3" s="148">
        <f>(L3+I3+(LOG(J3)*4/3))*0.723</f>
        <v>10.68810740555374</v>
      </c>
      <c r="AG3" s="148">
        <f>AE3/2</f>
        <v>2.7939865831945463</v>
      </c>
      <c r="AH3" s="148">
        <f>(M3+I3+(LOG(J3)*4/3))*0.385</f>
        <v>1.8876541509518527</v>
      </c>
      <c r="AI3" s="148">
        <f>((L3+I3+(LOG(J3)*4/3))*0.92)</f>
        <v>13.600357971105728</v>
      </c>
      <c r="AJ3" s="148">
        <f>(L3+I3+(LOG(J3)*4/3))*0.414</f>
        <v>6.1201610869975767</v>
      </c>
      <c r="AK3" s="148">
        <f>((M3+I3+(LOG(J3)*4/3))*0.167)</f>
        <v>0.8188006317115829</v>
      </c>
      <c r="AL3" s="148">
        <f>(N3+I3+(LOG(J3)*4/3))*0.588</f>
        <v>2.9300027032719207</v>
      </c>
      <c r="AM3" s="148">
        <f>((L3+I3+(LOG(J3)*4/3))*0.754)</f>
        <v>11.146380337188825</v>
      </c>
      <c r="AN3" s="148">
        <f>((L3+I3+(LOG(J3)*4/3))*0.708)</f>
        <v>10.466362438633537</v>
      </c>
      <c r="AO3" s="148">
        <f>((Q3+I3+(LOG(J3)*4/3))*0.167)</f>
        <v>3.5125106317115833</v>
      </c>
      <c r="AP3" s="148">
        <f>((R3+I3+(LOG(J3)*4/3))*0.288)</f>
        <v>1.4225033648678798</v>
      </c>
      <c r="AQ3" s="148">
        <f>((L3+I3+(LOG(J3)*4/3))*0.27)</f>
        <v>3.9914094045636377</v>
      </c>
      <c r="AR3" s="148">
        <f>((L3+I3+(LOG(J3)*4/3))*0.594)</f>
        <v>8.7811006900400024</v>
      </c>
      <c r="AS3" s="148">
        <f>AQ3/2</f>
        <v>1.9957047022818188</v>
      </c>
      <c r="AT3" s="148">
        <f>((M3+I3+(LOG(J3)*4/3))*0.944)</f>
        <v>4.6284299181780488</v>
      </c>
      <c r="AU3" s="148">
        <f>((O3+I3+(LOG(J3)*4/3))*0.13)</f>
        <v>0.49178971330841803</v>
      </c>
      <c r="AV3" s="148">
        <f>((P3+I3+(LOG(J3)*4/3))*0.173)+((O3+I3+(LOG(J3)*4/3))*0.12)</f>
        <v>0.94406835384128052</v>
      </c>
      <c r="AW3" s="148">
        <f>AU3/2</f>
        <v>0.24589485665420902</v>
      </c>
      <c r="AX3" s="148">
        <f>((L3+I3+(LOG(J3)*4/3))*0.189)</f>
        <v>2.7939865831945463</v>
      </c>
      <c r="AY3" s="148">
        <f>((L3+I3+(LOG(J3)*4/3))*0.4)</f>
        <v>5.9131991178720558</v>
      </c>
      <c r="AZ3" s="148">
        <f>AX3/2</f>
        <v>1.3969932915972731</v>
      </c>
      <c r="BA3" s="148">
        <f>((M3+I3+(LOG(J3)*4/3))*1)</f>
        <v>4.9029977946801369</v>
      </c>
      <c r="BB3" s="148">
        <f>((O3+I3+(LOG(J3)*4/3))*0.253)</f>
        <v>0.95709844205407502</v>
      </c>
      <c r="BC3" s="148">
        <f>((P3+I3+(LOG(J3)*4/3))*0.21)+((O3+I3+(LOG(J3)*4/3))*0.341)</f>
        <v>1.8849317848687566</v>
      </c>
      <c r="BD3" s="148">
        <f>BB3/2</f>
        <v>0.47854922102703751</v>
      </c>
      <c r="BE3" s="148">
        <f>((L3+I3+(LOG(J3)*4/3))*0.291)</f>
        <v>4.3018523582519199</v>
      </c>
      <c r="BF3" s="148">
        <f>((L3+I3+(LOG(J3)*4/3))*0.348)</f>
        <v>5.144483232548688</v>
      </c>
      <c r="BG3" s="148">
        <f>((M3+I3+(LOG(J3)*4/3))*0.881)</f>
        <v>4.3195410571132005</v>
      </c>
      <c r="BH3" s="148">
        <f>((N3+I3+(LOG(J3)*4/3))*0.574)+((O3+I3+(LOG(J3)*4/3))*0.315)</f>
        <v>4.0518850394706423</v>
      </c>
      <c r="BI3" s="148">
        <f>((O3+I3+(LOG(J3)*4/3))*0.241)</f>
        <v>0.91170246851791337</v>
      </c>
      <c r="BJ3" s="148">
        <f>((L3+I3+(LOG(J3)*4/3))*0.485)</f>
        <v>7.1697539304198674</v>
      </c>
      <c r="BK3" s="148">
        <f>((L3+I3+(LOG(J3)*4/3))*0.264)</f>
        <v>3.9027114177955569</v>
      </c>
      <c r="BL3" s="148">
        <f>((M3+I3+(LOG(J3)*4/3))*0.381)</f>
        <v>1.8680421597731323</v>
      </c>
      <c r="BM3" s="148">
        <f>((N3+I3+(LOG(J3)*4/3))*0.673)+((O3+I3+(LOG(J3)*4/3))*0.201)</f>
        <v>4.1139400725504407</v>
      </c>
      <c r="BN3" s="148">
        <f>((O3+I3+(LOG(J3)*4/3))*0.052)</f>
        <v>0.1967158853233672</v>
      </c>
      <c r="BO3" s="148">
        <f>((L3+I3+(LOG(J3)*4/3))*0.18)</f>
        <v>2.6609396030424248</v>
      </c>
      <c r="BP3" s="148">
        <f>(L3+I3+(LOG(J3)*4/3))*0.068</f>
        <v>1.0052438500382495</v>
      </c>
      <c r="BQ3" s="148">
        <f>((M3+I3+(LOG(J3)*4/3))*0.305)</f>
        <v>1.4954143273774416</v>
      </c>
      <c r="BR3" s="148">
        <f>((N3+I3+(LOG(J3)*4/3))*1)+((O3+I3+(LOG(J3)*4/3))*0.286)</f>
        <v>6.0649351639586575</v>
      </c>
      <c r="BS3" s="148">
        <f>((O3+I3+(LOG(J3)*4/3))*0.135)</f>
        <v>0.51070470228181875</v>
      </c>
      <c r="BT3" s="148">
        <f>((L3+I3+(LOG(J3)*4/3))*0.284)</f>
        <v>4.1983713736891586</v>
      </c>
      <c r="BU3" s="148">
        <f>(L3+I3+(LOG(J3)*4/3))*0.244</f>
        <v>3.6070514619019538</v>
      </c>
      <c r="BV3" s="148">
        <f>((M3+I3+(LOG(J3)*4/3))*0.455)</f>
        <v>2.2308639965794623</v>
      </c>
      <c r="BW3" s="148">
        <f>((N3+I3+(LOG(J3)*4/3))*0.864)+((O3+I3+(LOG(J3)*4/3))*0.244)</f>
        <v>5.2283615565055932</v>
      </c>
      <c r="BX3" s="148">
        <f>((O3+I3+(LOG(J3)*4/3))*0.121)</f>
        <v>0.45774273315629677</v>
      </c>
      <c r="BY3" s="148">
        <f>((L3+I3+(LOG(J3)*4/3))*0.284)</f>
        <v>4.1983713736891586</v>
      </c>
      <c r="BZ3" s="148">
        <f>((L3+I3+(LOG(J3)*4/3))*0.244)</f>
        <v>3.6070514619019538</v>
      </c>
      <c r="CA3" s="148">
        <f>((M3+I3+(LOG(J3)*4/3))*0.631)</f>
        <v>3.0937916084431665</v>
      </c>
      <c r="CB3" s="148">
        <f>((N3+I3+(LOG(J3)*4/3))*0.702)+((O3+I3+(LOG(J3)*4/3))*0.193)</f>
        <v>4.2281830262387228</v>
      </c>
      <c r="CC3" s="148">
        <f>((O3+I3+(LOG(J3)*4/3))*0.148)</f>
        <v>0.55988367361266045</v>
      </c>
      <c r="CD3" s="148">
        <f>((M3+I3+(LOG(J3)*4/3))*0.406)</f>
        <v>1.9906171046401357</v>
      </c>
      <c r="CE3" s="148">
        <f>IF(D3="TEC",((N3+I3+(LOG(J3)*4/3))*0.15)+((O3+I3+(LOG(J3)*4/3))*0.324)+((P3+I3+(LOG(J3)*4/3))*0.127),(((N3+I3+(LOG(J3)*4/3))*0.144)+((O3+I3+(LOG(J3)*4/3))*0.25)+((P3+I3+(LOG(J3)*4/3))*0.127)))</f>
        <v>2.0230918510283522</v>
      </c>
      <c r="CF3" s="148">
        <f>((O3+I3+(LOG(J3)*4/3))*0.543)+((P3+I3+(LOG(J3)*4/3))*0.583)</f>
        <v>3.7058055168098356</v>
      </c>
      <c r="CG3" s="148">
        <f>CE3</f>
        <v>2.0230918510283522</v>
      </c>
      <c r="CH3" s="148">
        <f>((P3+1+(LOG(J3)*4/3))*0.26)+((N3+I3+(LOG(J3)*4/3))*0.221)+((O3+I3+(LOG(J3)*4/3))*0.142)</f>
        <v>2.375007626085726</v>
      </c>
      <c r="CI3" s="148">
        <f>((P3+I3+(LOG(J3)*4/3))*1)+((O3+I3+(LOG(J3)*4/3))*0.369)</f>
        <v>4.2289239809171093</v>
      </c>
      <c r="CJ3" s="148">
        <f>CH3</f>
        <v>2.375007626085726</v>
      </c>
      <c r="CK3" s="148">
        <f>((M3+I3+(LOG(J3)*4/3))*0.25)</f>
        <v>1.2257494486700342</v>
      </c>
    </row>
    <row r="4" spans="1:89" x14ac:dyDescent="0.25">
      <c r="A4" t="str">
        <f>PLANTILLA!D6</f>
        <v>T. Hammond</v>
      </c>
      <c r="B4" s="430">
        <f>PLANTILLA!E6</f>
        <v>39</v>
      </c>
      <c r="C4" s="430">
        <f ca="1">PLANTILLA!F6</f>
        <v>1</v>
      </c>
      <c r="D4" s="430" t="str">
        <f>PLANTILLA!G6</f>
        <v>CAB</v>
      </c>
      <c r="E4" s="263">
        <v>41400</v>
      </c>
      <c r="F4" s="303">
        <f>PLANTILLA!Q6</f>
        <v>4</v>
      </c>
      <c r="G4" s="354">
        <f t="shared" ref="G4:G5" si="0">(F4/7)^0.5</f>
        <v>0.7559289460184544</v>
      </c>
      <c r="H4" s="354">
        <f t="shared" ref="H4:H5" si="1">IF(F4=7,1,((F4+0.99)/7)^0.5)</f>
        <v>0.84430867747355465</v>
      </c>
      <c r="I4" s="439">
        <v>1.5</v>
      </c>
      <c r="J4" s="440">
        <f>PLANTILLA!I6</f>
        <v>8.4</v>
      </c>
      <c r="K4" s="152">
        <f>PLANTILLA!X6</f>
        <v>7.95</v>
      </c>
      <c r="L4" s="152">
        <f>PLANTILLA!Y6</f>
        <v>7.95</v>
      </c>
      <c r="M4" s="152">
        <f>PLANTILLA!Z6</f>
        <v>0.95</v>
      </c>
      <c r="N4" s="152">
        <f>PLANTILLA!AA6</f>
        <v>0.95</v>
      </c>
      <c r="O4" s="152">
        <f>PLANTILLA!AB6</f>
        <v>1.95</v>
      </c>
      <c r="P4" s="152">
        <f>PLANTILLA!AC6</f>
        <v>0</v>
      </c>
      <c r="Q4" s="152">
        <f>PLANTILLA!AD6</f>
        <v>14.95</v>
      </c>
      <c r="R4" s="152">
        <f t="shared" ref="R4:R21" si="2">((2*(O4+1))+(L4+1))/8</f>
        <v>1.85625</v>
      </c>
      <c r="S4" s="152">
        <f t="shared" ref="S4:S21" si="3">1.66*(P4+(LOG(J4)*4/3)+I4)+0.55*(Q4+(LOG(J4)*4/3)+I4)-7.6</f>
        <v>6.6610429629290131</v>
      </c>
      <c r="T4" s="152">
        <f t="shared" ref="T4:T21" si="4">(0.5*P4+ 0.3*Q4)/10</f>
        <v>0.44849999999999995</v>
      </c>
      <c r="U4" s="152">
        <f t="shared" ref="U4:U21" si="5">(0.4*L4+0.3*Q4)/10</f>
        <v>0.76649999999999996</v>
      </c>
      <c r="V4" s="152">
        <f t="shared" ref="V4:V21" ca="1" si="6">IF(TODAY()-E4&gt;335,(Q4+1+(LOG(J4)*4/3))*(F4/7)^0.5,(Q4+((TODAY()-E4)^0.5)/(336^0.5)+(LOG(J4)*4/3))*(F4/7)^0.5)</f>
        <v>12.988652644380277</v>
      </c>
      <c r="W4" s="152">
        <f t="shared" ref="W4:W21" ca="1" si="7">IF(F4=7,V4,IF(TODAY()-E4&gt;335,(Q4+1+(LOG(J4)*4/3))*((F4+0.99)/7)^0.5,(Q4+((TODAY()-E4)^0.5)/(336^0.5)+(LOG(J4)*4/3))*((F4+0.99)/7)^0.5))</f>
        <v>14.507226101211341</v>
      </c>
      <c r="X4" s="148">
        <f t="shared" ref="X4:X21" si="8">((K4+I4+(LOG(J4)*4/3))*0.597)+((L4+I4+(LOG(J4)*4/3))*0.276)</f>
        <v>9.3257110889760302</v>
      </c>
      <c r="Y4" s="148">
        <f t="shared" ref="Y4:Y21" si="9">((K4+I4+(LOG(J4)*4/3))*0.866)+((L4+I4+(LOG(J4)*4/3))*0.425)</f>
        <v>13.790942744407852</v>
      </c>
      <c r="Z4" s="148">
        <f t="shared" ref="Z4:Z21" si="10">X4</f>
        <v>9.3257110889760302</v>
      </c>
      <c r="AA4" s="148">
        <f t="shared" ref="AA4:AA21" si="11">((L4+I4+(LOG(J4)*4/3))*0.516)</f>
        <v>5.5121041488105744</v>
      </c>
      <c r="AB4" s="148">
        <f t="shared" ref="AB4:AB21" si="12">(L4+I4+(LOG(J4)*4/3))*1</f>
        <v>10.682372381415842</v>
      </c>
      <c r="AC4" s="148">
        <f t="shared" ref="AC4:AC21" si="13">AA4/2</f>
        <v>2.7560520744052872</v>
      </c>
      <c r="AD4" s="148">
        <f t="shared" ref="AD4:AD21" si="14">(M4+I4+(LOG(J4)*4/3))*0.238</f>
        <v>0.87640462677697051</v>
      </c>
      <c r="AE4" s="148">
        <f t="shared" ref="AE4:AE21" si="15">((L4+I4+(LOG(J4)*4/3))*0.378)</f>
        <v>4.0379367601751879</v>
      </c>
      <c r="AF4" s="148">
        <f t="shared" ref="AF4:AF21" si="16">(L4+I4+(LOG(J4)*4/3))*0.723</f>
        <v>7.7233552317636534</v>
      </c>
      <c r="AG4" s="148">
        <f t="shared" ref="AG4:AG21" si="17">AE4/2</f>
        <v>2.0189683800875939</v>
      </c>
      <c r="AH4" s="148">
        <f t="shared" ref="AH4:AH21" si="18">(M4+I4+(LOG(J4)*4/3))*0.385</f>
        <v>1.4177133668450994</v>
      </c>
      <c r="AI4" s="148">
        <f t="shared" ref="AI4:AI21" si="19">((L4+I4+(LOG(J4)*4/3))*0.92)</f>
        <v>9.8277825909025758</v>
      </c>
      <c r="AJ4" s="148">
        <f t="shared" ref="AJ4:AJ21" si="20">(L4+I4+(LOG(J4)*4/3))*0.414</f>
        <v>4.4225021659061587</v>
      </c>
      <c r="AK4" s="148">
        <f t="shared" ref="AK4:AK21" si="21">((M4+I4+(LOG(J4)*4/3))*0.167)</f>
        <v>0.61495618769644578</v>
      </c>
      <c r="AL4" s="148">
        <f t="shared" ref="AL4:AL21" si="22">(N4+I4+(LOG(J4)*4/3))*0.588</f>
        <v>2.1652349602725152</v>
      </c>
      <c r="AM4" s="148">
        <f t="shared" ref="AM4:AM21" si="23">((L4+I4+(LOG(J4)*4/3))*0.754)</f>
        <v>8.0545087755875446</v>
      </c>
      <c r="AN4" s="148">
        <f t="shared" ref="AN4:AN21" si="24">((L4+I4+(LOG(J4)*4/3))*0.708)</f>
        <v>7.5631196460424155</v>
      </c>
      <c r="AO4" s="148">
        <f t="shared" ref="AO4:AO21" si="25">((Q4+I4+(LOG(J4)*4/3))*0.167)</f>
        <v>2.9529561876964459</v>
      </c>
      <c r="AP4" s="148">
        <f t="shared" ref="AP4:AP21" si="26">((R4+I4+(LOG(J4)*4/3))*0.288)</f>
        <v>1.3215232458477624</v>
      </c>
      <c r="AQ4" s="148">
        <f t="shared" ref="AQ4:AQ21" si="27">((L4+I4+(LOG(J4)*4/3))*0.27)</f>
        <v>2.8842405429822775</v>
      </c>
      <c r="AR4" s="148">
        <f t="shared" ref="AR4:AR21" si="28">((L4+I4+(LOG(J4)*4/3))*0.594)</f>
        <v>6.3453291945610095</v>
      </c>
      <c r="AS4" s="148">
        <f t="shared" ref="AS4:AS21" si="29">AQ4/2</f>
        <v>1.4421202714911387</v>
      </c>
      <c r="AT4" s="148">
        <f t="shared" ref="AT4:AT21" si="30">((M4+I4+(LOG(J4)*4/3))*0.944)</f>
        <v>3.4761595280565549</v>
      </c>
      <c r="AU4" s="148">
        <f t="shared" ref="AU4:AU21" si="31">((O4+I4+(LOG(J4)*4/3))*0.13)</f>
        <v>0.60870840958405947</v>
      </c>
      <c r="AV4" s="148">
        <f t="shared" ref="AV4:AV21" si="32">((P4+I4+(LOG(J4)*4/3))*0.173)+((O4+I4+(LOG(J4)*4/3))*0.12)</f>
        <v>1.0345851077548418</v>
      </c>
      <c r="AW4" s="148">
        <f t="shared" ref="AW4:AW21" si="33">AU4/2</f>
        <v>0.30435420479202974</v>
      </c>
      <c r="AX4" s="148">
        <f t="shared" ref="AX4:AX21" si="34">((L4+I4+(LOG(J4)*4/3))*0.189)</f>
        <v>2.0189683800875939</v>
      </c>
      <c r="AY4" s="148">
        <f t="shared" ref="AY4:AY21" si="35">((L4+I4+(LOG(J4)*4/3))*0.4)</f>
        <v>4.2729489525663373</v>
      </c>
      <c r="AZ4" s="148">
        <f t="shared" ref="AZ4:AZ21" si="36">AX4/2</f>
        <v>1.009484190043797</v>
      </c>
      <c r="BA4" s="148">
        <f t="shared" ref="BA4:BA21" si="37">((M4+I4+(LOG(J4)*4/3))*1)</f>
        <v>3.6823723814158424</v>
      </c>
      <c r="BB4" s="148">
        <f t="shared" ref="BB4:BB21" si="38">((O4+I4+(LOG(J4)*4/3))*0.253)</f>
        <v>1.1846402124982081</v>
      </c>
      <c r="BC4" s="148">
        <f t="shared" ref="BC4:BC21" si="39">((P4+I4+(LOG(J4)*4/3))*0.21)+((O4+I4+(LOG(J4)*4/3))*0.341)</f>
        <v>2.1704871821601293</v>
      </c>
      <c r="BD4" s="148">
        <f t="shared" ref="BD4:BD21" si="40">BB4/2</f>
        <v>0.59232010624910403</v>
      </c>
      <c r="BE4" s="148">
        <f t="shared" ref="BE4:BE21" si="41">((L4+I4+(LOG(J4)*4/3))*0.291)</f>
        <v>3.1085703629920096</v>
      </c>
      <c r="BF4" s="148">
        <f t="shared" ref="BF4:BF21" si="42">((L4+I4+(LOG(J4)*4/3))*0.348)</f>
        <v>3.7174655887327126</v>
      </c>
      <c r="BG4" s="148">
        <f t="shared" ref="BG4:BG21" si="43">((M4+I4+(LOG(J4)*4/3))*0.881)</f>
        <v>3.2441700680273571</v>
      </c>
      <c r="BH4" s="148">
        <f t="shared" ref="BH4:BH21" si="44">((N4+I4+(LOG(J4)*4/3))*0.574)+((O4+I4+(LOG(J4)*4/3))*0.315)</f>
        <v>3.5886290470786841</v>
      </c>
      <c r="BI4" s="148">
        <f t="shared" ref="BI4:BI21" si="45">((O4+I4+(LOG(J4)*4/3))*0.241)</f>
        <v>1.1284517439212178</v>
      </c>
      <c r="BJ4" s="148">
        <f t="shared" ref="BJ4:BJ21" si="46">((L4+I4+(LOG(J4)*4/3))*0.485)</f>
        <v>5.1809506049866831</v>
      </c>
      <c r="BK4" s="148">
        <f t="shared" ref="BK4:BK21" si="47">((L4+I4+(LOG(J4)*4/3))*0.264)</f>
        <v>2.8201463086937824</v>
      </c>
      <c r="BL4" s="148">
        <f t="shared" ref="BL4:BL21" si="48">((M4+I4+(LOG(J4)*4/3))*0.381)</f>
        <v>1.4029838773194361</v>
      </c>
      <c r="BM4" s="148">
        <f t="shared" ref="BM4:BM21" si="49">((N4+I4+(LOG(J4)*4/3))*0.673)+((O4+I4+(LOG(J4)*4/3))*0.201)</f>
        <v>3.4193934613574464</v>
      </c>
      <c r="BN4" s="148">
        <f t="shared" ref="BN4:BN21" si="50">((O4+I4+(LOG(J4)*4/3))*0.052)</f>
        <v>0.24348336383362376</v>
      </c>
      <c r="BO4" s="148">
        <f t="shared" ref="BO4:BO21" si="51">((L4+I4+(LOG(J4)*4/3))*0.18)</f>
        <v>1.9228270286548514</v>
      </c>
      <c r="BP4" s="148">
        <f t="shared" ref="BP4:BP21" si="52">(L4+I4+(LOG(J4)*4/3))*0.068</f>
        <v>0.72640132193627727</v>
      </c>
      <c r="BQ4" s="148">
        <f t="shared" ref="BQ4:BQ21" si="53">((M4+I4+(LOG(J4)*4/3))*0.305)</f>
        <v>1.1231235763318319</v>
      </c>
      <c r="BR4" s="148">
        <f t="shared" ref="BR4:BR21" si="54">((N4+I4+(LOG(J4)*4/3))*1)+((O4+I4+(LOG(J4)*4/3))*0.286)</f>
        <v>5.0215308825007732</v>
      </c>
      <c r="BS4" s="148">
        <f t="shared" ref="BS4:BS21" si="55">((O4+I4+(LOG(J4)*4/3))*0.135)</f>
        <v>0.6321202714911387</v>
      </c>
      <c r="BT4" s="148">
        <f t="shared" ref="BT4:BT21" si="56">((L4+I4+(LOG(J4)*4/3))*0.284)</f>
        <v>3.0337937563220989</v>
      </c>
      <c r="BU4" s="148">
        <f t="shared" ref="BU4:BU21" si="57">(L4+I4+(LOG(J4)*4/3))*0.244</f>
        <v>2.6064988610654654</v>
      </c>
      <c r="BV4" s="148">
        <f t="shared" ref="BV4:BV21" si="58">((M4+I4+(LOG(J4)*4/3))*0.455)</f>
        <v>1.6754794335442085</v>
      </c>
      <c r="BW4" s="148">
        <f t="shared" ref="BW4:BW21" si="59">((N4+I4+(LOG(J4)*4/3))*0.864)+((O4+I4+(LOG(J4)*4/3))*0.244)</f>
        <v>4.3240685986087533</v>
      </c>
      <c r="BX4" s="148">
        <f t="shared" ref="BX4:BX21" si="60">((O4+I4+(LOG(J4)*4/3))*0.121)</f>
        <v>0.56656705815131692</v>
      </c>
      <c r="BY4" s="148">
        <f t="shared" ref="BY4:BY21" si="61">((L4+I4+(LOG(J4)*4/3))*0.284)</f>
        <v>3.0337937563220989</v>
      </c>
      <c r="BZ4" s="148">
        <f t="shared" ref="BZ4:BZ21" si="62">((L4+I4+(LOG(J4)*4/3))*0.244)</f>
        <v>2.6064988610654654</v>
      </c>
      <c r="CA4" s="148">
        <f t="shared" ref="CA4:CA21" si="63">((M4+I4+(LOG(J4)*4/3))*0.631)</f>
        <v>2.3235769726733966</v>
      </c>
      <c r="CB4" s="148">
        <f t="shared" ref="CB4:CB21" si="64">((N4+I4+(LOG(J4)*4/3))*0.702)+((O4+I4+(LOG(J4)*4/3))*0.193)</f>
        <v>3.4887232813671787</v>
      </c>
      <c r="CC4" s="148">
        <f t="shared" ref="CC4:CC21" si="65">((O4+I4+(LOG(J4)*4/3))*0.148)</f>
        <v>0.69299111244954459</v>
      </c>
      <c r="CD4" s="148">
        <f t="shared" ref="CD4:CD21" si="66">((M4+I4+(LOG(J4)*4/3))*0.406)</f>
        <v>1.4950431868548322</v>
      </c>
      <c r="CE4" s="148">
        <f t="shared" ref="CE4:CE21" si="67">IF(D4="TEC",((N4+I4+(LOG(J4)*4/3))*0.15)+((O4+I4+(LOG(J4)*4/3))*0.324)+((P4+I4+(LOG(J4)*4/3))*0.127),(((N4+I4+(LOG(J4)*4/3))*0.144)+((O4+I4+(LOG(J4)*4/3))*0.25)+((P4+I4+(LOG(J4)*4/3))*0.127)))</f>
        <v>2.0478660107176538</v>
      </c>
      <c r="CF4" s="148">
        <f t="shared" ref="CF4:CF21" si="68">((O4+I4+(LOG(J4)*4/3))*0.543)+((P4+I4+(LOG(J4)*4/3))*0.583)</f>
        <v>4.135501301474239</v>
      </c>
      <c r="CG4" s="148">
        <f t="shared" ref="CG4:CG21" si="69">CE4</f>
        <v>2.0478660107176538</v>
      </c>
      <c r="CH4" s="148">
        <f t="shared" ref="CH4:CH21" si="70">((P4+1+(LOG(J4)*4/3))*0.26)+((N4+I4+(LOG(J4)*4/3))*0.221)+((O4+I4+(LOG(J4)*4/3))*0.142)</f>
        <v>2.0591179936220696</v>
      </c>
      <c r="CI4" s="148">
        <f t="shared" ref="CI4:CI21" si="71">((P4+I4+(LOG(J4)*4/3))*1)+((O4+I4+(LOG(J4)*4/3))*0.369)</f>
        <v>4.4601677901582875</v>
      </c>
      <c r="CJ4" s="148">
        <f t="shared" ref="CJ4:CJ21" si="72">CH4</f>
        <v>2.0591179936220696</v>
      </c>
      <c r="CK4" s="148">
        <f t="shared" ref="CK4:CK21" si="73">((M4+I4+(LOG(J4)*4/3))*0.25)</f>
        <v>0.92059309535396061</v>
      </c>
    </row>
    <row r="5" spans="1:89" x14ac:dyDescent="0.25">
      <c r="A5" t="e">
        <f>PLANTILLA!#REF!</f>
        <v>#REF!</v>
      </c>
      <c r="B5" s="430" t="e">
        <f>PLANTILLA!#REF!</f>
        <v>#REF!</v>
      </c>
      <c r="C5" s="430" t="e">
        <f>PLANTILLA!#REF!</f>
        <v>#REF!</v>
      </c>
      <c r="D5" s="430" t="e">
        <f>PLANTILLA!#REF!</f>
        <v>#REF!</v>
      </c>
      <c r="E5" s="263">
        <v>41519</v>
      </c>
      <c r="F5" s="303" t="e">
        <f>PLANTILLA!#REF!</f>
        <v>#REF!</v>
      </c>
      <c r="G5" s="354" t="e">
        <f t="shared" si="0"/>
        <v>#REF!</v>
      </c>
      <c r="H5" s="354" t="e">
        <f t="shared" si="1"/>
        <v>#REF!</v>
      </c>
      <c r="I5" s="439">
        <v>1.5</v>
      </c>
      <c r="J5" s="440" t="e">
        <f>PLANTILLA!#REF!</f>
        <v>#REF!</v>
      </c>
      <c r="K5" s="152" t="e">
        <f>PLANTILLA!#REF!</f>
        <v>#REF!</v>
      </c>
      <c r="L5" s="152" t="e">
        <f>PLANTILLA!#REF!</f>
        <v>#REF!</v>
      </c>
      <c r="M5" s="152" t="e">
        <f>PLANTILLA!#REF!</f>
        <v>#REF!</v>
      </c>
      <c r="N5" s="152" t="e">
        <f>PLANTILLA!#REF!</f>
        <v>#REF!</v>
      </c>
      <c r="O5" s="152" t="e">
        <f>PLANTILLA!#REF!</f>
        <v>#REF!</v>
      </c>
      <c r="P5" s="152" t="e">
        <f>PLANTILLA!#REF!</f>
        <v>#REF!</v>
      </c>
      <c r="Q5" s="152" t="e">
        <f>PLANTILLA!#REF!</f>
        <v>#REF!</v>
      </c>
      <c r="R5" s="152" t="e">
        <f t="shared" si="2"/>
        <v>#REF!</v>
      </c>
      <c r="S5" s="152" t="e">
        <f t="shared" si="3"/>
        <v>#REF!</v>
      </c>
      <c r="T5" s="152" t="e">
        <f t="shared" si="4"/>
        <v>#REF!</v>
      </c>
      <c r="U5" s="152" t="e">
        <f t="shared" si="5"/>
        <v>#REF!</v>
      </c>
      <c r="V5" s="152" t="e">
        <f t="shared" ca="1" si="6"/>
        <v>#REF!</v>
      </c>
      <c r="W5" s="152" t="e">
        <f t="shared" ca="1" si="7"/>
        <v>#REF!</v>
      </c>
      <c r="X5" s="148" t="e">
        <f t="shared" si="8"/>
        <v>#REF!</v>
      </c>
      <c r="Y5" s="148" t="e">
        <f t="shared" si="9"/>
        <v>#REF!</v>
      </c>
      <c r="Z5" s="148" t="e">
        <f t="shared" si="10"/>
        <v>#REF!</v>
      </c>
      <c r="AA5" s="148" t="e">
        <f t="shared" si="11"/>
        <v>#REF!</v>
      </c>
      <c r="AB5" s="148" t="e">
        <f t="shared" si="12"/>
        <v>#REF!</v>
      </c>
      <c r="AC5" s="148" t="e">
        <f t="shared" si="13"/>
        <v>#REF!</v>
      </c>
      <c r="AD5" s="148" t="e">
        <f t="shared" si="14"/>
        <v>#REF!</v>
      </c>
      <c r="AE5" s="148" t="e">
        <f t="shared" si="15"/>
        <v>#REF!</v>
      </c>
      <c r="AF5" s="148" t="e">
        <f t="shared" si="16"/>
        <v>#REF!</v>
      </c>
      <c r="AG5" s="148" t="e">
        <f t="shared" si="17"/>
        <v>#REF!</v>
      </c>
      <c r="AH5" s="148" t="e">
        <f t="shared" si="18"/>
        <v>#REF!</v>
      </c>
      <c r="AI5" s="148" t="e">
        <f t="shared" si="19"/>
        <v>#REF!</v>
      </c>
      <c r="AJ5" s="148" t="e">
        <f t="shared" si="20"/>
        <v>#REF!</v>
      </c>
      <c r="AK5" s="148" t="e">
        <f t="shared" si="21"/>
        <v>#REF!</v>
      </c>
      <c r="AL5" s="148" t="e">
        <f t="shared" si="22"/>
        <v>#REF!</v>
      </c>
      <c r="AM5" s="148" t="e">
        <f t="shared" si="23"/>
        <v>#REF!</v>
      </c>
      <c r="AN5" s="148" t="e">
        <f t="shared" si="24"/>
        <v>#REF!</v>
      </c>
      <c r="AO5" s="148" t="e">
        <f t="shared" si="25"/>
        <v>#REF!</v>
      </c>
      <c r="AP5" s="148" t="e">
        <f t="shared" si="26"/>
        <v>#REF!</v>
      </c>
      <c r="AQ5" s="148" t="e">
        <f t="shared" si="27"/>
        <v>#REF!</v>
      </c>
      <c r="AR5" s="148" t="e">
        <f t="shared" si="28"/>
        <v>#REF!</v>
      </c>
      <c r="AS5" s="148" t="e">
        <f t="shared" si="29"/>
        <v>#REF!</v>
      </c>
      <c r="AT5" s="148" t="e">
        <f t="shared" si="30"/>
        <v>#REF!</v>
      </c>
      <c r="AU5" s="148" t="e">
        <f t="shared" si="31"/>
        <v>#REF!</v>
      </c>
      <c r="AV5" s="148" t="e">
        <f t="shared" si="32"/>
        <v>#REF!</v>
      </c>
      <c r="AW5" s="148" t="e">
        <f t="shared" si="33"/>
        <v>#REF!</v>
      </c>
      <c r="AX5" s="148" t="e">
        <f t="shared" si="34"/>
        <v>#REF!</v>
      </c>
      <c r="AY5" s="148" t="e">
        <f t="shared" si="35"/>
        <v>#REF!</v>
      </c>
      <c r="AZ5" s="148" t="e">
        <f t="shared" si="36"/>
        <v>#REF!</v>
      </c>
      <c r="BA5" s="148" t="e">
        <f t="shared" si="37"/>
        <v>#REF!</v>
      </c>
      <c r="BB5" s="148" t="e">
        <f t="shared" si="38"/>
        <v>#REF!</v>
      </c>
      <c r="BC5" s="148" t="e">
        <f t="shared" si="39"/>
        <v>#REF!</v>
      </c>
      <c r="BD5" s="148" t="e">
        <f t="shared" si="40"/>
        <v>#REF!</v>
      </c>
      <c r="BE5" s="148" t="e">
        <f t="shared" si="41"/>
        <v>#REF!</v>
      </c>
      <c r="BF5" s="148" t="e">
        <f t="shared" si="42"/>
        <v>#REF!</v>
      </c>
      <c r="BG5" s="148" t="e">
        <f t="shared" si="43"/>
        <v>#REF!</v>
      </c>
      <c r="BH5" s="148" t="e">
        <f t="shared" si="44"/>
        <v>#REF!</v>
      </c>
      <c r="BI5" s="148" t="e">
        <f t="shared" si="45"/>
        <v>#REF!</v>
      </c>
      <c r="BJ5" s="148" t="e">
        <f t="shared" si="46"/>
        <v>#REF!</v>
      </c>
      <c r="BK5" s="148" t="e">
        <f t="shared" si="47"/>
        <v>#REF!</v>
      </c>
      <c r="BL5" s="148" t="e">
        <f t="shared" si="48"/>
        <v>#REF!</v>
      </c>
      <c r="BM5" s="148" t="e">
        <f t="shared" si="49"/>
        <v>#REF!</v>
      </c>
      <c r="BN5" s="148" t="e">
        <f t="shared" si="50"/>
        <v>#REF!</v>
      </c>
      <c r="BO5" s="148" t="e">
        <f t="shared" si="51"/>
        <v>#REF!</v>
      </c>
      <c r="BP5" s="148" t="e">
        <f t="shared" si="52"/>
        <v>#REF!</v>
      </c>
      <c r="BQ5" s="148" t="e">
        <f t="shared" si="53"/>
        <v>#REF!</v>
      </c>
      <c r="BR5" s="148" t="e">
        <f t="shared" si="54"/>
        <v>#REF!</v>
      </c>
      <c r="BS5" s="148" t="e">
        <f t="shared" si="55"/>
        <v>#REF!</v>
      </c>
      <c r="BT5" s="148" t="e">
        <f t="shared" si="56"/>
        <v>#REF!</v>
      </c>
      <c r="BU5" s="148" t="e">
        <f t="shared" si="57"/>
        <v>#REF!</v>
      </c>
      <c r="BV5" s="148" t="e">
        <f t="shared" si="58"/>
        <v>#REF!</v>
      </c>
      <c r="BW5" s="148" t="e">
        <f t="shared" si="59"/>
        <v>#REF!</v>
      </c>
      <c r="BX5" s="148" t="e">
        <f t="shared" si="60"/>
        <v>#REF!</v>
      </c>
      <c r="BY5" s="148" t="e">
        <f t="shared" si="61"/>
        <v>#REF!</v>
      </c>
      <c r="BZ5" s="148" t="e">
        <f t="shared" si="62"/>
        <v>#REF!</v>
      </c>
      <c r="CA5" s="148" t="e">
        <f t="shared" si="63"/>
        <v>#REF!</v>
      </c>
      <c r="CB5" s="148" t="e">
        <f t="shared" si="64"/>
        <v>#REF!</v>
      </c>
      <c r="CC5" s="148" t="e">
        <f t="shared" si="65"/>
        <v>#REF!</v>
      </c>
      <c r="CD5" s="148" t="e">
        <f t="shared" si="66"/>
        <v>#REF!</v>
      </c>
      <c r="CE5" s="148" t="e">
        <f t="shared" si="67"/>
        <v>#REF!</v>
      </c>
      <c r="CF5" s="148" t="e">
        <f t="shared" si="68"/>
        <v>#REF!</v>
      </c>
      <c r="CG5" s="148" t="e">
        <f t="shared" si="69"/>
        <v>#REF!</v>
      </c>
      <c r="CH5" s="148" t="e">
        <f t="shared" si="70"/>
        <v>#REF!</v>
      </c>
      <c r="CI5" s="148" t="e">
        <f t="shared" si="71"/>
        <v>#REF!</v>
      </c>
      <c r="CJ5" s="148" t="e">
        <f t="shared" si="72"/>
        <v>#REF!</v>
      </c>
      <c r="CK5" s="148" t="e">
        <f t="shared" si="73"/>
        <v>#REF!</v>
      </c>
    </row>
    <row r="6" spans="1:89" x14ac:dyDescent="0.25">
      <c r="A6" t="str">
        <f>PLANTILLA!D8</f>
        <v>E. Toney</v>
      </c>
      <c r="B6" s="430">
        <f>PLANTILLA!E8</f>
        <v>36</v>
      </c>
      <c r="C6" s="430">
        <f ca="1">PLANTILLA!F8</f>
        <v>3</v>
      </c>
      <c r="D6" s="430"/>
      <c r="E6" s="263">
        <v>41539</v>
      </c>
      <c r="F6" s="303">
        <f>PLANTILLA!Q8</f>
        <v>5</v>
      </c>
      <c r="G6" s="354">
        <f t="shared" ref="G6:G10" si="74">(F6/7)^0.5</f>
        <v>0.84515425472851657</v>
      </c>
      <c r="H6" s="354">
        <f>IF(F6=7,1,((F6+0.99)/7)^0.5)</f>
        <v>0.92504826128926143</v>
      </c>
      <c r="I6" s="439">
        <v>1.5</v>
      </c>
      <c r="J6" s="440">
        <f>PLANTILLA!I8</f>
        <v>18</v>
      </c>
      <c r="K6" s="152">
        <f>PLANTILLA!X8</f>
        <v>0</v>
      </c>
      <c r="L6" s="152">
        <f>PLANTILLA!Y8</f>
        <v>11.95</v>
      </c>
      <c r="M6" s="152">
        <f>PLANTILLA!Z8</f>
        <v>12.95</v>
      </c>
      <c r="N6" s="152">
        <f>PLANTILLA!AA8</f>
        <v>8.9499999999999993</v>
      </c>
      <c r="O6" s="152">
        <f>PLANTILLA!AB8</f>
        <v>8.9499999999999993</v>
      </c>
      <c r="P6" s="152">
        <f>PLANTILLA!AC8</f>
        <v>1.95</v>
      </c>
      <c r="Q6" s="152">
        <f>PLANTILLA!AD8</f>
        <v>17.177777777777774</v>
      </c>
      <c r="R6" s="152">
        <f t="shared" si="2"/>
        <v>4.1062499999999993</v>
      </c>
      <c r="S6" s="152">
        <f t="shared" si="3"/>
        <v>12.098647426148853</v>
      </c>
      <c r="T6" s="152">
        <f t="shared" si="4"/>
        <v>0.61283333333333312</v>
      </c>
      <c r="U6" s="152">
        <f t="shared" si="5"/>
        <v>0.99333333333333318</v>
      </c>
      <c r="V6" s="152">
        <f t="shared" ca="1" si="6"/>
        <v>16.777558095107409</v>
      </c>
      <c r="W6" s="152">
        <f t="shared" ca="1" si="7"/>
        <v>18.363571925155941</v>
      </c>
      <c r="X6" s="148">
        <f t="shared" si="8"/>
        <v>6.0688371959402483</v>
      </c>
      <c r="Y6" s="148">
        <f t="shared" si="9"/>
        <v>9.1759924054511579</v>
      </c>
      <c r="Z6" s="148">
        <f t="shared" si="10"/>
        <v>6.0688371959402483</v>
      </c>
      <c r="AA6" s="148">
        <f t="shared" si="11"/>
        <v>7.8038274835110739</v>
      </c>
      <c r="AB6" s="148">
        <f t="shared" si="12"/>
        <v>15.123696673471073</v>
      </c>
      <c r="AC6" s="148">
        <f t="shared" si="13"/>
        <v>3.901913741755537</v>
      </c>
      <c r="AD6" s="148">
        <f t="shared" si="14"/>
        <v>3.8374398082861152</v>
      </c>
      <c r="AE6" s="148">
        <f t="shared" si="15"/>
        <v>5.7167573425720661</v>
      </c>
      <c r="AF6" s="148">
        <f t="shared" si="16"/>
        <v>10.934432694919586</v>
      </c>
      <c r="AG6" s="148">
        <f t="shared" si="17"/>
        <v>2.8583786712860331</v>
      </c>
      <c r="AH6" s="148">
        <f t="shared" si="18"/>
        <v>6.2076232192863632</v>
      </c>
      <c r="AI6" s="148">
        <f t="shared" si="19"/>
        <v>13.913800939593388</v>
      </c>
      <c r="AJ6" s="148">
        <f t="shared" si="20"/>
        <v>6.2612104228170242</v>
      </c>
      <c r="AK6" s="148">
        <f t="shared" si="21"/>
        <v>2.6926573444696693</v>
      </c>
      <c r="AL6" s="148">
        <f t="shared" si="22"/>
        <v>7.1287336440009907</v>
      </c>
      <c r="AM6" s="148">
        <f t="shared" si="23"/>
        <v>11.403267291797189</v>
      </c>
      <c r="AN6" s="148">
        <f t="shared" si="24"/>
        <v>10.70757724481752</v>
      </c>
      <c r="AO6" s="148">
        <f t="shared" si="25"/>
        <v>3.398696233358558</v>
      </c>
      <c r="AP6" s="148">
        <f t="shared" si="26"/>
        <v>2.0966246419596692</v>
      </c>
      <c r="AQ6" s="148">
        <f t="shared" si="27"/>
        <v>4.0833981018371901</v>
      </c>
      <c r="AR6" s="148">
        <f t="shared" si="28"/>
        <v>8.9834758240418164</v>
      </c>
      <c r="AS6" s="148">
        <f t="shared" si="29"/>
        <v>2.041699050918595</v>
      </c>
      <c r="AT6" s="148">
        <f t="shared" si="30"/>
        <v>15.220769659756693</v>
      </c>
      <c r="AU6" s="148">
        <f t="shared" si="31"/>
        <v>1.5760805675512395</v>
      </c>
      <c r="AV6" s="148">
        <f t="shared" si="32"/>
        <v>2.3412431253270247</v>
      </c>
      <c r="AW6" s="148">
        <f t="shared" si="33"/>
        <v>0.78804028377561974</v>
      </c>
      <c r="AX6" s="148">
        <f t="shared" si="34"/>
        <v>2.8583786712860331</v>
      </c>
      <c r="AY6" s="148">
        <f t="shared" si="35"/>
        <v>6.0494786693884297</v>
      </c>
      <c r="AZ6" s="148">
        <f t="shared" si="36"/>
        <v>1.4291893356430165</v>
      </c>
      <c r="BA6" s="148">
        <f t="shared" si="37"/>
        <v>16.123696673471073</v>
      </c>
      <c r="BB6" s="148">
        <f t="shared" si="38"/>
        <v>3.0672952583881816</v>
      </c>
      <c r="BC6" s="148">
        <f t="shared" si="39"/>
        <v>5.2101568670825618</v>
      </c>
      <c r="BD6" s="148">
        <f t="shared" si="40"/>
        <v>1.5336476291940908</v>
      </c>
      <c r="BE6" s="148">
        <f t="shared" si="41"/>
        <v>4.4009957319800819</v>
      </c>
      <c r="BF6" s="148">
        <f t="shared" si="42"/>
        <v>5.2630464423679335</v>
      </c>
      <c r="BG6" s="148">
        <f t="shared" si="43"/>
        <v>14.204976769328015</v>
      </c>
      <c r="BH6" s="148">
        <f t="shared" si="44"/>
        <v>10.777966342715784</v>
      </c>
      <c r="BI6" s="148">
        <f t="shared" si="45"/>
        <v>2.9218108983065285</v>
      </c>
      <c r="BJ6" s="148">
        <f t="shared" si="46"/>
        <v>7.3349928866334704</v>
      </c>
      <c r="BK6" s="148">
        <f t="shared" si="47"/>
        <v>3.9926559217963637</v>
      </c>
      <c r="BL6" s="148">
        <f t="shared" si="48"/>
        <v>6.1431284325924791</v>
      </c>
      <c r="BM6" s="148">
        <f t="shared" si="49"/>
        <v>10.596110892613719</v>
      </c>
      <c r="BN6" s="148">
        <f t="shared" si="50"/>
        <v>0.63043222702049584</v>
      </c>
      <c r="BO6" s="148">
        <f t="shared" si="51"/>
        <v>2.7222654012247931</v>
      </c>
      <c r="BP6" s="148">
        <f t="shared" si="52"/>
        <v>1.028411373796033</v>
      </c>
      <c r="BQ6" s="148">
        <f t="shared" si="53"/>
        <v>4.917727485408677</v>
      </c>
      <c r="BR6" s="148">
        <f t="shared" si="54"/>
        <v>15.591073922083801</v>
      </c>
      <c r="BS6" s="148">
        <f t="shared" si="55"/>
        <v>1.636699050918595</v>
      </c>
      <c r="BT6" s="148">
        <f t="shared" si="56"/>
        <v>4.2951298552657846</v>
      </c>
      <c r="BU6" s="148">
        <f t="shared" si="57"/>
        <v>3.690181988326942</v>
      </c>
      <c r="BV6" s="148">
        <f t="shared" si="58"/>
        <v>7.3362819864293387</v>
      </c>
      <c r="BW6" s="148">
        <f t="shared" si="59"/>
        <v>13.43305591420595</v>
      </c>
      <c r="BX6" s="148">
        <f t="shared" si="60"/>
        <v>1.4669672974899999</v>
      </c>
      <c r="BY6" s="148">
        <f t="shared" si="61"/>
        <v>4.2951298552657846</v>
      </c>
      <c r="BZ6" s="148">
        <f t="shared" si="62"/>
        <v>3.690181988326942</v>
      </c>
      <c r="CA6" s="148">
        <f t="shared" si="63"/>
        <v>10.174052600960247</v>
      </c>
      <c r="CB6" s="148">
        <f t="shared" si="64"/>
        <v>10.85070852275661</v>
      </c>
      <c r="CC6" s="148">
        <f t="shared" si="65"/>
        <v>1.7943071076737187</v>
      </c>
      <c r="CD6" s="148">
        <f t="shared" si="66"/>
        <v>6.5462208494292566</v>
      </c>
      <c r="CE6" s="148">
        <f t="shared" si="67"/>
        <v>5.4274459668784294</v>
      </c>
      <c r="CF6" s="148">
        <f t="shared" si="68"/>
        <v>9.5702824543284297</v>
      </c>
      <c r="CG6" s="148">
        <f t="shared" si="69"/>
        <v>5.4274459668784294</v>
      </c>
      <c r="CH6" s="148">
        <f t="shared" si="70"/>
        <v>5.6030630275724791</v>
      </c>
      <c r="CI6" s="148">
        <f t="shared" si="71"/>
        <v>9.5973407459819011</v>
      </c>
      <c r="CJ6" s="148">
        <f t="shared" si="72"/>
        <v>5.6030630275724791</v>
      </c>
      <c r="CK6" s="148">
        <f t="shared" si="73"/>
        <v>4.0309241683677683</v>
      </c>
    </row>
    <row r="7" spans="1:89" x14ac:dyDescent="0.25">
      <c r="A7" t="str">
        <f>PLANTILLA!D9</f>
        <v>B. Bartolache</v>
      </c>
      <c r="B7" s="430">
        <f>PLANTILLA!E9</f>
        <v>35</v>
      </c>
      <c r="C7" s="430">
        <f ca="1">PLANTILLA!F9</f>
        <v>100</v>
      </c>
      <c r="D7" s="430"/>
      <c r="E7" s="263">
        <v>41527</v>
      </c>
      <c r="F7" s="303">
        <f>PLANTILLA!Q9</f>
        <v>2</v>
      </c>
      <c r="G7" s="354">
        <f t="shared" si="74"/>
        <v>0.53452248382484879</v>
      </c>
      <c r="H7" s="354">
        <f t="shared" ref="H7:H21" si="75">IF(F7=7,1,((F7+0.99)/7)^0.5)</f>
        <v>0.65356167049702141</v>
      </c>
      <c r="I7" s="439">
        <v>1.5</v>
      </c>
      <c r="J7" s="440">
        <f>PLANTILLA!I9</f>
        <v>11.8</v>
      </c>
      <c r="K7" s="152">
        <f>PLANTILLA!X9</f>
        <v>0</v>
      </c>
      <c r="L7" s="152">
        <f>PLANTILLA!Y9</f>
        <v>11.95</v>
      </c>
      <c r="M7" s="152">
        <f>PLANTILLA!Z9</f>
        <v>5.95</v>
      </c>
      <c r="N7" s="152">
        <f>PLANTILLA!AA9</f>
        <v>6.95</v>
      </c>
      <c r="O7" s="152">
        <f>PLANTILLA!AB9</f>
        <v>7.95</v>
      </c>
      <c r="P7" s="152">
        <f>PLANTILLA!AC9</f>
        <v>2.95</v>
      </c>
      <c r="Q7" s="152">
        <f>PLANTILLA!AD9</f>
        <v>16</v>
      </c>
      <c r="R7" s="152">
        <f t="shared" si="2"/>
        <v>3.8562499999999997</v>
      </c>
      <c r="S7" s="152">
        <f t="shared" si="3"/>
        <v>12.570478981528717</v>
      </c>
      <c r="T7" s="152">
        <f t="shared" si="4"/>
        <v>0.62750000000000006</v>
      </c>
      <c r="U7" s="152">
        <f t="shared" si="5"/>
        <v>0.95799999999999996</v>
      </c>
      <c r="V7" s="152">
        <f t="shared" ca="1" si="6"/>
        <v>9.8508089355723421</v>
      </c>
      <c r="W7" s="152">
        <f t="shared" ca="1" si="7"/>
        <v>12.044603058810287</v>
      </c>
      <c r="X7" s="148">
        <f t="shared" si="8"/>
        <v>5.8553706565043298</v>
      </c>
      <c r="Y7" s="148">
        <f t="shared" si="9"/>
        <v>8.8603162285762771</v>
      </c>
      <c r="Z7" s="148">
        <f t="shared" si="10"/>
        <v>5.8553706565043298</v>
      </c>
      <c r="AA7" s="148">
        <f t="shared" si="11"/>
        <v>7.6776548210266142</v>
      </c>
      <c r="AB7" s="148">
        <f t="shared" si="12"/>
        <v>14.879176009741499</v>
      </c>
      <c r="AC7" s="148">
        <f t="shared" si="13"/>
        <v>3.8388274105133071</v>
      </c>
      <c r="AD7" s="148">
        <f t="shared" si="14"/>
        <v>2.1132438903184774</v>
      </c>
      <c r="AE7" s="148">
        <f t="shared" si="15"/>
        <v>5.6243285316822869</v>
      </c>
      <c r="AF7" s="148">
        <f t="shared" si="16"/>
        <v>10.757644255043104</v>
      </c>
      <c r="AG7" s="148">
        <f t="shared" si="17"/>
        <v>2.8121642658411434</v>
      </c>
      <c r="AH7" s="148">
        <f t="shared" si="18"/>
        <v>3.418482763750478</v>
      </c>
      <c r="AI7" s="148">
        <f t="shared" si="19"/>
        <v>13.68884192896218</v>
      </c>
      <c r="AJ7" s="148">
        <f t="shared" si="20"/>
        <v>6.1599788680329803</v>
      </c>
      <c r="AK7" s="148">
        <f t="shared" si="21"/>
        <v>1.4828223936268308</v>
      </c>
      <c r="AL7" s="148">
        <f t="shared" si="22"/>
        <v>5.8089554937280017</v>
      </c>
      <c r="AM7" s="148">
        <f t="shared" si="23"/>
        <v>11.218898711345091</v>
      </c>
      <c r="AN7" s="148">
        <f t="shared" si="24"/>
        <v>10.534456614896982</v>
      </c>
      <c r="AO7" s="148">
        <f t="shared" si="25"/>
        <v>3.1611723936268308</v>
      </c>
      <c r="AP7" s="148">
        <f t="shared" si="26"/>
        <v>1.9542026908055519</v>
      </c>
      <c r="AQ7" s="148">
        <f t="shared" si="27"/>
        <v>4.0173775226302046</v>
      </c>
      <c r="AR7" s="148">
        <f t="shared" si="28"/>
        <v>8.8382305497864504</v>
      </c>
      <c r="AS7" s="148">
        <f t="shared" si="29"/>
        <v>2.0086887613151023</v>
      </c>
      <c r="AT7" s="148">
        <f t="shared" si="30"/>
        <v>8.3819421531959772</v>
      </c>
      <c r="AU7" s="148">
        <f t="shared" si="31"/>
        <v>1.4142928812663949</v>
      </c>
      <c r="AV7" s="148">
        <f t="shared" si="32"/>
        <v>2.3225985708542596</v>
      </c>
      <c r="AW7" s="148">
        <f t="shared" si="33"/>
        <v>0.70714644063319743</v>
      </c>
      <c r="AX7" s="148">
        <f t="shared" si="34"/>
        <v>2.8121642658411434</v>
      </c>
      <c r="AY7" s="148">
        <f t="shared" si="35"/>
        <v>5.9516704038965997</v>
      </c>
      <c r="AZ7" s="148">
        <f t="shared" si="36"/>
        <v>1.4060821329205717</v>
      </c>
      <c r="BA7" s="148">
        <f t="shared" si="37"/>
        <v>8.8791760097415011</v>
      </c>
      <c r="BB7" s="148">
        <f t="shared" si="38"/>
        <v>2.7524315304645994</v>
      </c>
      <c r="BC7" s="148">
        <f t="shared" si="39"/>
        <v>4.9444259813675666</v>
      </c>
      <c r="BD7" s="148">
        <f t="shared" si="40"/>
        <v>1.3762157652322997</v>
      </c>
      <c r="BE7" s="148">
        <f t="shared" si="41"/>
        <v>4.329840218834776</v>
      </c>
      <c r="BF7" s="148">
        <f t="shared" si="42"/>
        <v>5.1779532513900417</v>
      </c>
      <c r="BG7" s="148">
        <f t="shared" si="43"/>
        <v>7.8225540645822624</v>
      </c>
      <c r="BH7" s="148">
        <f t="shared" si="44"/>
        <v>9.0975874726601926</v>
      </c>
      <c r="BI7" s="148">
        <f t="shared" si="45"/>
        <v>2.6218814183477011</v>
      </c>
      <c r="BJ7" s="148">
        <f t="shared" si="46"/>
        <v>7.2164003647246266</v>
      </c>
      <c r="BK7" s="148">
        <f t="shared" si="47"/>
        <v>3.9281024665717559</v>
      </c>
      <c r="BL7" s="148">
        <f t="shared" si="48"/>
        <v>3.3829660597115119</v>
      </c>
      <c r="BM7" s="148">
        <f t="shared" si="49"/>
        <v>8.8353998325140708</v>
      </c>
      <c r="BN7" s="148">
        <f t="shared" si="50"/>
        <v>0.56571715250655796</v>
      </c>
      <c r="BO7" s="148">
        <f t="shared" si="51"/>
        <v>2.6782516817534696</v>
      </c>
      <c r="BP7" s="148">
        <f t="shared" si="52"/>
        <v>1.0117839686624219</v>
      </c>
      <c r="BQ7" s="148">
        <f t="shared" si="53"/>
        <v>2.7081486829711579</v>
      </c>
      <c r="BR7" s="148">
        <f t="shared" si="54"/>
        <v>12.990620348527568</v>
      </c>
      <c r="BS7" s="148">
        <f t="shared" si="55"/>
        <v>1.4686887613151025</v>
      </c>
      <c r="BT7" s="148">
        <f t="shared" si="56"/>
        <v>4.2256859867665852</v>
      </c>
      <c r="BU7" s="148">
        <f t="shared" si="57"/>
        <v>3.6305189463769256</v>
      </c>
      <c r="BV7" s="148">
        <f t="shared" si="58"/>
        <v>4.0400250844323828</v>
      </c>
      <c r="BW7" s="148">
        <f t="shared" si="59"/>
        <v>11.190127018793582</v>
      </c>
      <c r="BX7" s="148">
        <f t="shared" si="60"/>
        <v>1.3163802971787213</v>
      </c>
      <c r="BY7" s="148">
        <f t="shared" si="61"/>
        <v>4.2256859867665852</v>
      </c>
      <c r="BZ7" s="148">
        <f t="shared" si="62"/>
        <v>3.6305189463769256</v>
      </c>
      <c r="CA7" s="148">
        <f t="shared" si="63"/>
        <v>5.6027600621468876</v>
      </c>
      <c r="CB7" s="148">
        <f t="shared" si="64"/>
        <v>9.0348625287186408</v>
      </c>
      <c r="CC7" s="148">
        <f t="shared" si="65"/>
        <v>1.6101180494417417</v>
      </c>
      <c r="CD7" s="148">
        <f t="shared" si="66"/>
        <v>3.6049454599550499</v>
      </c>
      <c r="CE7" s="148">
        <f t="shared" si="67"/>
        <v>4.8890507010753215</v>
      </c>
      <c r="CF7" s="148">
        <f t="shared" si="68"/>
        <v>9.3349521869689287</v>
      </c>
      <c r="CG7" s="148">
        <f t="shared" si="69"/>
        <v>4.8890507010753215</v>
      </c>
      <c r="CH7" s="148">
        <f t="shared" si="70"/>
        <v>5.1267266540689542</v>
      </c>
      <c r="CI7" s="148">
        <f t="shared" si="71"/>
        <v>9.8935919573361133</v>
      </c>
      <c r="CJ7" s="148">
        <f t="shared" si="72"/>
        <v>5.1267266540689542</v>
      </c>
      <c r="CK7" s="148">
        <f t="shared" si="73"/>
        <v>2.2197940024353753</v>
      </c>
    </row>
    <row r="8" spans="1:89" x14ac:dyDescent="0.25">
      <c r="A8" t="str">
        <f>PLANTILLA!D10</f>
        <v>F. Lasprilla</v>
      </c>
      <c r="B8" s="430">
        <f>PLANTILLA!E10</f>
        <v>32</v>
      </c>
      <c r="C8" s="430">
        <f ca="1">PLANTILLA!F10</f>
        <v>11</v>
      </c>
      <c r="D8" s="430"/>
      <c r="E8" s="263">
        <v>42106</v>
      </c>
      <c r="F8" s="303">
        <f>PLANTILLA!Q10</f>
        <v>4</v>
      </c>
      <c r="G8" s="354">
        <f t="shared" si="74"/>
        <v>0.7559289460184544</v>
      </c>
      <c r="H8" s="354">
        <f t="shared" si="75"/>
        <v>0.84430867747355465</v>
      </c>
      <c r="I8" s="439">
        <v>1.5</v>
      </c>
      <c r="J8" s="440">
        <f>PLANTILLA!I10</f>
        <v>6.3</v>
      </c>
      <c r="K8" s="152">
        <f>PLANTILLA!X10</f>
        <v>0</v>
      </c>
      <c r="L8" s="152">
        <f>PLANTILLA!Y10</f>
        <v>9.6046666666666667</v>
      </c>
      <c r="M8" s="152">
        <f>PLANTILLA!Z10</f>
        <v>7.7607222222222223</v>
      </c>
      <c r="N8" s="152">
        <f>PLANTILLA!AA10</f>
        <v>6.1599999999999984</v>
      </c>
      <c r="O8" s="152">
        <f>PLANTILLA!AB10</f>
        <v>8.8633333333333315</v>
      </c>
      <c r="P8" s="152">
        <f>PLANTILLA!AC10</f>
        <v>2.95</v>
      </c>
      <c r="Q8" s="152">
        <f>PLANTILLA!AD10</f>
        <v>13.33611111111111</v>
      </c>
      <c r="R8" s="152">
        <f t="shared" si="2"/>
        <v>3.7914166666666662</v>
      </c>
      <c r="S8" s="152">
        <f t="shared" si="3"/>
        <v>10.302251263501001</v>
      </c>
      <c r="T8" s="152">
        <f t="shared" si="4"/>
        <v>0.5475833333333332</v>
      </c>
      <c r="U8" s="152">
        <f t="shared" si="5"/>
        <v>0.78426999999999991</v>
      </c>
      <c r="V8" s="152">
        <f t="shared" ca="1" si="6"/>
        <v>11.642740907636686</v>
      </c>
      <c r="W8" s="152">
        <f t="shared" ca="1" si="7"/>
        <v>13.003956561883005</v>
      </c>
      <c r="X8" s="148">
        <f t="shared" si="8"/>
        <v>4.8908203995639692</v>
      </c>
      <c r="Y8" s="148">
        <f t="shared" si="9"/>
        <v>7.3944148657927649</v>
      </c>
      <c r="Z8" s="148">
        <f t="shared" si="10"/>
        <v>4.8908203995639692</v>
      </c>
      <c r="AA8" s="148">
        <f t="shared" si="11"/>
        <v>6.279954298024065</v>
      </c>
      <c r="AB8" s="148">
        <f t="shared" si="12"/>
        <v>12.17045406593811</v>
      </c>
      <c r="AC8" s="148">
        <f t="shared" si="13"/>
        <v>3.1399771490120325</v>
      </c>
      <c r="AD8" s="148">
        <f t="shared" si="14"/>
        <v>2.457709289915492</v>
      </c>
      <c r="AE8" s="148">
        <f t="shared" si="15"/>
        <v>4.600431636924605</v>
      </c>
      <c r="AF8" s="148">
        <f t="shared" si="16"/>
        <v>8.7992382896732533</v>
      </c>
      <c r="AG8" s="148">
        <f t="shared" si="17"/>
        <v>2.3002158184623025</v>
      </c>
      <c r="AH8" s="148">
        <f t="shared" si="18"/>
        <v>3.9757062042750611</v>
      </c>
      <c r="AI8" s="148">
        <f t="shared" si="19"/>
        <v>11.196817740663061</v>
      </c>
      <c r="AJ8" s="148">
        <f t="shared" si="20"/>
        <v>5.0385679832983774</v>
      </c>
      <c r="AK8" s="148">
        <f t="shared" si="21"/>
        <v>1.7245271067894421</v>
      </c>
      <c r="AL8" s="148">
        <f t="shared" si="22"/>
        <v>5.1307629907716068</v>
      </c>
      <c r="AM8" s="148">
        <f t="shared" si="23"/>
        <v>9.176522365717334</v>
      </c>
      <c r="AN8" s="148">
        <f t="shared" si="24"/>
        <v>8.6166814786841819</v>
      </c>
      <c r="AO8" s="148">
        <f t="shared" si="25"/>
        <v>2.6556170512338864</v>
      </c>
      <c r="AP8" s="148">
        <f t="shared" si="26"/>
        <v>1.8308747709901751</v>
      </c>
      <c r="AQ8" s="148">
        <f t="shared" si="27"/>
        <v>3.28602259780329</v>
      </c>
      <c r="AR8" s="148">
        <f t="shared" si="28"/>
        <v>7.2292497151672368</v>
      </c>
      <c r="AS8" s="148">
        <f t="shared" si="29"/>
        <v>1.643011298901645</v>
      </c>
      <c r="AT8" s="148">
        <f t="shared" si="30"/>
        <v>9.7482250826900199</v>
      </c>
      <c r="AU8" s="148">
        <f t="shared" si="31"/>
        <v>1.4857856952386208</v>
      </c>
      <c r="AV8" s="148">
        <f t="shared" si="32"/>
        <v>2.3257257079865323</v>
      </c>
      <c r="AW8" s="148">
        <f t="shared" si="33"/>
        <v>0.7428928476193104</v>
      </c>
      <c r="AX8" s="148">
        <f t="shared" si="34"/>
        <v>2.3002158184623025</v>
      </c>
      <c r="AY8" s="148">
        <f t="shared" si="35"/>
        <v>4.868181626375244</v>
      </c>
      <c r="AZ8" s="148">
        <f t="shared" si="36"/>
        <v>1.1501079092311512</v>
      </c>
      <c r="BA8" s="148">
        <f t="shared" si="37"/>
        <v>10.326509621493665</v>
      </c>
      <c r="BB8" s="148">
        <f t="shared" si="38"/>
        <v>2.891567545349008</v>
      </c>
      <c r="BC8" s="148">
        <f t="shared" si="39"/>
        <v>5.0556455236652313</v>
      </c>
      <c r="BD8" s="148">
        <f t="shared" si="40"/>
        <v>1.445783772674504</v>
      </c>
      <c r="BE8" s="148">
        <f t="shared" si="41"/>
        <v>3.5416021331879897</v>
      </c>
      <c r="BF8" s="148">
        <f t="shared" si="42"/>
        <v>4.2353180149464622</v>
      </c>
      <c r="BG8" s="148">
        <f t="shared" si="43"/>
        <v>9.0976549765359191</v>
      </c>
      <c r="BH8" s="148">
        <f t="shared" si="44"/>
        <v>8.6087749979523114</v>
      </c>
      <c r="BI8" s="148">
        <f t="shared" si="45"/>
        <v>2.7544180965577505</v>
      </c>
      <c r="BJ8" s="148">
        <f t="shared" si="46"/>
        <v>5.9026702219799834</v>
      </c>
      <c r="BK8" s="148">
        <f t="shared" si="47"/>
        <v>3.2129998734076612</v>
      </c>
      <c r="BL8" s="148">
        <f t="shared" si="48"/>
        <v>3.9344001657890866</v>
      </c>
      <c r="BM8" s="148">
        <f t="shared" si="49"/>
        <v>8.1697081869632395</v>
      </c>
      <c r="BN8" s="148">
        <f t="shared" si="50"/>
        <v>0.59431427809544823</v>
      </c>
      <c r="BO8" s="148">
        <f t="shared" si="51"/>
        <v>2.1906817318688598</v>
      </c>
      <c r="BP8" s="148">
        <f t="shared" si="52"/>
        <v>0.82759087648379148</v>
      </c>
      <c r="BQ8" s="148">
        <f t="shared" si="53"/>
        <v>3.1495854345555676</v>
      </c>
      <c r="BR8" s="148">
        <f t="shared" si="54"/>
        <v>11.994515928796407</v>
      </c>
      <c r="BS8" s="148">
        <f t="shared" si="55"/>
        <v>1.5429312989016446</v>
      </c>
      <c r="BT8" s="148">
        <f t="shared" si="56"/>
        <v>3.456408954726423</v>
      </c>
      <c r="BU8" s="148">
        <f t="shared" si="57"/>
        <v>2.9695907920888986</v>
      </c>
      <c r="BV8" s="148">
        <f t="shared" si="58"/>
        <v>4.6985618777796176</v>
      </c>
      <c r="BW8" s="148">
        <f t="shared" si="59"/>
        <v>10.32778577172609</v>
      </c>
      <c r="BX8" s="148">
        <f t="shared" si="60"/>
        <v>1.3829236086451777</v>
      </c>
      <c r="BY8" s="148">
        <f t="shared" si="61"/>
        <v>3.456408954726423</v>
      </c>
      <c r="BZ8" s="148">
        <f t="shared" si="62"/>
        <v>2.9695907920888986</v>
      </c>
      <c r="CA8" s="148">
        <f t="shared" si="63"/>
        <v>6.5160275711625024</v>
      </c>
      <c r="CB8" s="148">
        <f t="shared" si="64"/>
        <v>8.3313230556812741</v>
      </c>
      <c r="CC8" s="148">
        <f t="shared" si="65"/>
        <v>1.6915098684255065</v>
      </c>
      <c r="CD8" s="148">
        <f t="shared" si="66"/>
        <v>4.1925629063264287</v>
      </c>
      <c r="CE8" s="148">
        <f t="shared" si="67"/>
        <v>4.8142985683537542</v>
      </c>
      <c r="CF8" s="148">
        <f t="shared" si="68"/>
        <v>9.4217166115796438</v>
      </c>
      <c r="CG8" s="148">
        <f t="shared" si="69"/>
        <v>4.8142985683537542</v>
      </c>
      <c r="CH8" s="148">
        <f t="shared" si="70"/>
        <v>4.855438883079441</v>
      </c>
      <c r="CI8" s="148">
        <f t="shared" si="71"/>
        <v>9.733132949602604</v>
      </c>
      <c r="CJ8" s="148">
        <f t="shared" si="72"/>
        <v>4.855438883079441</v>
      </c>
      <c r="CK8" s="148">
        <f t="shared" si="73"/>
        <v>2.5816274053734163</v>
      </c>
    </row>
    <row r="9" spans="1:89" x14ac:dyDescent="0.25">
      <c r="A9" t="str">
        <f>PLANTILLA!D7</f>
        <v>B. Pinczehelyi</v>
      </c>
      <c r="B9" s="430">
        <f>PLANTILLA!E7</f>
        <v>35</v>
      </c>
      <c r="C9" s="430">
        <f>PLANTILLA!F7</f>
        <v>0</v>
      </c>
      <c r="D9" s="430" t="str">
        <f>PLANTILLA!G7</f>
        <v>CAB</v>
      </c>
      <c r="E9" s="263">
        <v>42716</v>
      </c>
      <c r="F9" s="303">
        <f>PLANTILLA!Q7</f>
        <v>5</v>
      </c>
      <c r="G9" s="354">
        <f>(F9/7)^0.5</f>
        <v>0.84515425472851657</v>
      </c>
      <c r="H9" s="354">
        <f>IF(F9=7,1,((F9+0.99)/7)^0.5)</f>
        <v>0.92504826128926143</v>
      </c>
      <c r="I9" s="439">
        <v>1</v>
      </c>
      <c r="J9" s="440">
        <f>PLANTILLA!I7</f>
        <v>19</v>
      </c>
      <c r="K9" s="152">
        <f>PLANTILLA!X7</f>
        <v>0</v>
      </c>
      <c r="L9" s="152">
        <f>PLANTILLA!Y7</f>
        <v>14.300000000000004</v>
      </c>
      <c r="M9" s="152">
        <f>PLANTILLA!Z7</f>
        <v>9.3793333333333351</v>
      </c>
      <c r="N9" s="152">
        <f>PLANTILLA!AA7</f>
        <v>13.95</v>
      </c>
      <c r="O9" s="152">
        <f>PLANTILLA!AB7</f>
        <v>8.9499999999999993</v>
      </c>
      <c r="P9" s="152">
        <f>PLANTILLA!AC7</f>
        <v>0</v>
      </c>
      <c r="Q9" s="152">
        <f>PLANTILLA!AD7</f>
        <v>11.25</v>
      </c>
      <c r="R9" s="152">
        <f>((2*(O9+1))+(L9+1))/8</f>
        <v>4.4000000000000004</v>
      </c>
      <c r="S9" s="152">
        <f t="shared" si="3"/>
        <v>4.5655606108076707</v>
      </c>
      <c r="T9" s="152">
        <f>(0.5*P9+ 0.3*Q9)/10</f>
        <v>0.33750000000000002</v>
      </c>
      <c r="U9" s="152">
        <f>(0.4*L9+0.3*Q9)/10</f>
        <v>0.9095000000000002</v>
      </c>
      <c r="V9" s="152">
        <f t="shared" ref="V9" ca="1" si="76">IF(TODAY()-E9&gt;335,(Q9+1+(LOG(J9)*4/3))*(F9/7)^0.5,(Q9+((TODAY()-E9)^0.5)/(336^0.5)+(LOG(J9)*4/3))*(F9/7)^0.5)</f>
        <v>11.794131682550589</v>
      </c>
      <c r="W9" s="152">
        <f t="shared" ref="W9" ca="1" si="77">IF(F9=7,V9,IF(TODAY()-E9&gt;335,(Q9+1+(LOG(J9)*4/3))*((F9+0.99)/7)^0.5,(Q9+((TODAY()-E9)^0.5)/(336^0.5)+(LOG(J9)*4/3))*((F9+0.99)/7)^0.5))</f>
        <v>12.909052927698514</v>
      </c>
      <c r="X9" s="148">
        <f>((K9+I9+(LOG(J9)*4/3))*0.597)+((L9+I9+(LOG(J9)*4/3))*0.276)</f>
        <v>6.308269191509094</v>
      </c>
      <c r="Y9" s="148">
        <f>((K9+I9+(LOG(J9)*4/3))*0.866)+((L9+I9+(LOG(J9)*4/3))*0.425)</f>
        <v>9.5696611984401372</v>
      </c>
      <c r="Z9" s="148">
        <f>X9</f>
        <v>6.308269191509094</v>
      </c>
      <c r="AA9" s="148">
        <f>((L9+I9+(LOG(J9)*4/3))*0.516)</f>
        <v>8.7745824774555476</v>
      </c>
      <c r="AB9" s="148">
        <f>(L9+I9+(LOG(J9)*4/3))*1</f>
        <v>17.005004801270442</v>
      </c>
      <c r="AC9" s="148">
        <f>AA9/2</f>
        <v>4.3872912387277738</v>
      </c>
      <c r="AD9" s="148">
        <f>(M9+I9+(LOG(J9)*4/3))*0.238</f>
        <v>2.8760724760356982</v>
      </c>
      <c r="AE9" s="148">
        <f>((L9+I9+(LOG(J9)*4/3))*0.378)</f>
        <v>6.4278918148802271</v>
      </c>
      <c r="AF9" s="148">
        <f>(L9+I9+(LOG(J9)*4/3))*0.723</f>
        <v>12.294618471318529</v>
      </c>
      <c r="AG9" s="148">
        <f>AE9/2</f>
        <v>3.2139459074401135</v>
      </c>
      <c r="AH9" s="148">
        <f>(M9+I9+(LOG(J9)*4/3))*0.385</f>
        <v>4.6524701818224532</v>
      </c>
      <c r="AI9" s="148">
        <f>((L9+I9+(LOG(J9)*4/3))*0.92)</f>
        <v>15.644604417168807</v>
      </c>
      <c r="AJ9" s="148">
        <f>(L9+I9+(LOG(J9)*4/3))*0.414</f>
        <v>7.0400719877259625</v>
      </c>
      <c r="AK9" s="148">
        <f>((M9+I9+(LOG(J9)*4/3))*0.167)</f>
        <v>2.0180844684788304</v>
      </c>
      <c r="AL9" s="148">
        <f>(N9+I9+(LOG(J9)*4/3))*0.588</f>
        <v>9.7931428231470168</v>
      </c>
      <c r="AM9" s="148">
        <f>((L9+I9+(LOG(J9)*4/3))*0.754)</f>
        <v>12.821773620157913</v>
      </c>
      <c r="AN9" s="148">
        <f>((L9+I9+(LOG(J9)*4/3))*0.708)</f>
        <v>12.039543399299472</v>
      </c>
      <c r="AO9" s="148">
        <f>((Q9+I9+(LOG(J9)*4/3))*0.167)</f>
        <v>2.3304858018121632</v>
      </c>
      <c r="AP9" s="148">
        <f>((R9+I9+(LOG(J9)*4/3))*0.288)</f>
        <v>2.0462413827658863</v>
      </c>
      <c r="AQ9" s="148">
        <f>((L9+I9+(LOG(J9)*4/3))*0.27)</f>
        <v>4.5913512963430199</v>
      </c>
      <c r="AR9" s="148">
        <f>((L9+I9+(LOG(J9)*4/3))*0.594)</f>
        <v>10.100972851954642</v>
      </c>
      <c r="AS9" s="148">
        <f>AQ9/2</f>
        <v>2.2956756481715099</v>
      </c>
      <c r="AT9" s="148">
        <f>((M9+I9+(LOG(J9)*4/3))*0.944)</f>
        <v>11.407615199065962</v>
      </c>
      <c r="AU9" s="148">
        <f>((O9+I9+(LOG(J9)*4/3))*0.13)</f>
        <v>1.5151506241651571</v>
      </c>
      <c r="AV9" s="148">
        <f>((P9+I9+(LOG(J9)*4/3))*0.173)+((O9+I9+(LOG(J9)*4/3))*0.12)</f>
        <v>1.8665664067722383</v>
      </c>
      <c r="AW9" s="148">
        <f>AU9/2</f>
        <v>0.75757531208257856</v>
      </c>
      <c r="AX9" s="148">
        <f>((L9+I9+(LOG(J9)*4/3))*0.189)</f>
        <v>3.2139459074401135</v>
      </c>
      <c r="AY9" s="148">
        <f>((L9+I9+(LOG(J9)*4/3))*0.4)</f>
        <v>6.802001920508177</v>
      </c>
      <c r="AZ9" s="148">
        <f>AX9/2</f>
        <v>1.6069729537200568</v>
      </c>
      <c r="BA9" s="148">
        <f>((M9+I9+(LOG(J9)*4/3))*1)</f>
        <v>12.084338134603774</v>
      </c>
      <c r="BB9" s="148">
        <f>((O9+I9+(LOG(J9)*4/3))*0.253)</f>
        <v>2.9487162147214208</v>
      </c>
      <c r="BC9" s="148">
        <f>((P9+I9+(LOG(J9)*4/3))*0.21)+((O9+I9+(LOG(J9)*4/3))*0.341)</f>
        <v>4.5424076455000115</v>
      </c>
      <c r="BD9" s="148">
        <f>BB9/2</f>
        <v>1.4743581073607104</v>
      </c>
      <c r="BE9" s="148">
        <f>((L9+I9+(LOG(J9)*4/3))*0.291)</f>
        <v>4.9484563971696982</v>
      </c>
      <c r="BF9" s="148">
        <f>((L9+I9+(LOG(J9)*4/3))*0.348)</f>
        <v>5.9177416708421129</v>
      </c>
      <c r="BG9" s="148">
        <f>((M9+I9+(LOG(J9)*4/3))*0.881)</f>
        <v>10.646301896585925</v>
      </c>
      <c r="BH9" s="148">
        <f>((N9+I9+(LOG(J9)*4/3))*0.574)+((O9+I9+(LOG(J9)*4/3))*0.315)</f>
        <v>13.231299268329419</v>
      </c>
      <c r="BI9" s="148">
        <f>((O9+I9+(LOG(J9)*4/3))*0.241)</f>
        <v>2.8088561571061756</v>
      </c>
      <c r="BJ9" s="148">
        <f>((L9+I9+(LOG(J9)*4/3))*0.485)</f>
        <v>8.2474273286161637</v>
      </c>
      <c r="BK9" s="148">
        <f>((L9+I9+(LOG(J9)*4/3))*0.264)</f>
        <v>4.4893212675353968</v>
      </c>
      <c r="BL9" s="148">
        <f>((M9+I9+(LOG(J9)*4/3))*0.381)</f>
        <v>4.6041328292840378</v>
      </c>
      <c r="BM9" s="148">
        <f>((N9+I9+(LOG(J9)*4/3))*0.673)+((O9+I9+(LOG(J9)*4/3))*0.201)</f>
        <v>13.551474196310364</v>
      </c>
      <c r="BN9" s="148">
        <f>((O9+I9+(LOG(J9)*4/3))*0.052)</f>
        <v>0.60606024966606276</v>
      </c>
      <c r="BO9" s="148">
        <f>((L9+I9+(LOG(J9)*4/3))*0.18)</f>
        <v>3.0609008642286795</v>
      </c>
      <c r="BP9" s="148">
        <f>(L9+I9+(LOG(J9)*4/3))*0.068</f>
        <v>1.1563403264863901</v>
      </c>
      <c r="BQ9" s="148">
        <f>((M9+I9+(LOG(J9)*4/3))*0.305)</f>
        <v>3.6857231310541509</v>
      </c>
      <c r="BR9" s="148">
        <f>((N9+I9+(LOG(J9)*4/3))*1)+((O9+I9+(LOG(J9)*4/3))*0.286)</f>
        <v>19.988336174433783</v>
      </c>
      <c r="BS9" s="148">
        <f>((O9+I9+(LOG(J9)*4/3))*0.135)</f>
        <v>1.5734256481715092</v>
      </c>
      <c r="BT9" s="148">
        <f t="shared" si="56"/>
        <v>4.8294213635608045</v>
      </c>
      <c r="BU9" s="148">
        <f t="shared" si="57"/>
        <v>4.1492211715099874</v>
      </c>
      <c r="BV9" s="148">
        <f t="shared" si="58"/>
        <v>5.4983738512447173</v>
      </c>
      <c r="BW9" s="148">
        <f t="shared" si="59"/>
        <v>17.233745319807646</v>
      </c>
      <c r="BX9" s="148">
        <f t="shared" si="60"/>
        <v>1.4102555809537229</v>
      </c>
      <c r="BY9" s="148">
        <f>((L9+I9+(LOG(J9)*4/3))*0.284)</f>
        <v>4.8294213635608045</v>
      </c>
      <c r="BZ9" s="148">
        <f>((L9+I9+(LOG(J9)*4/3))*0.244)</f>
        <v>4.1492211715099874</v>
      </c>
      <c r="CA9" s="148">
        <f>((M9+I9+(LOG(J9)*4/3))*0.631)</f>
        <v>7.6252173629349818</v>
      </c>
      <c r="CB9" s="148">
        <f>((N9+I9+(LOG(J9)*4/3))*0.702)+((O9+I9+(LOG(J9)*4/3))*0.193)</f>
        <v>13.94122929713704</v>
      </c>
      <c r="CC9" s="148">
        <f>((O9+I9+(LOG(J9)*4/3))*0.148)</f>
        <v>1.7249407105880248</v>
      </c>
      <c r="CD9" s="148">
        <f>((M9+I9+(LOG(J9)*4/3))*0.406)</f>
        <v>4.9062412826491331</v>
      </c>
      <c r="CE9" s="148">
        <f>IF(D9="TEC",((N9+I9+(LOG(J9)*4/3))*0.15)+((O9+I9+(LOG(J9)*4/3))*0.324)+((P9+I9+(LOG(J9)*4/3))*0.127),(((N9+I9+(LOG(J9)*4/3))*0.144)+((O9+I9+(LOG(J9)*4/3))*0.25)+((P9+I9+(LOG(J9)*4/3))*0.127)))</f>
        <v>5.6556075014618985</v>
      </c>
      <c r="CF9" s="148">
        <f>((O9+I9+(LOG(J9)*4/3))*0.543)+((P9+I9+(LOG(J9)*4/3))*0.583)</f>
        <v>7.9056854062305142</v>
      </c>
      <c r="CG9" s="148">
        <f>CE9</f>
        <v>5.6556075014618985</v>
      </c>
      <c r="CH9" s="148">
        <f>((P9+1+(LOG(J9)*4/3))*0.26)+((N9+I9+(LOG(J9)*4/3))*0.221)+((O9+I9+(LOG(J9)*4/3))*0.142)</f>
        <v>6.039067991191482</v>
      </c>
      <c r="CI9" s="148">
        <f>((P9+I9+(LOG(J9)*4/3))*1)+((O9+I9+(LOG(J9)*4/3))*0.369)</f>
        <v>7.0057015729392296</v>
      </c>
      <c r="CJ9" s="148">
        <f>CH9</f>
        <v>6.039067991191482</v>
      </c>
      <c r="CK9" s="148">
        <f>((M9+I9+(LOG(J9)*4/3))*0.25)</f>
        <v>3.0210845336509435</v>
      </c>
    </row>
    <row r="10" spans="1:89" x14ac:dyDescent="0.25">
      <c r="A10" t="str">
        <f>PLANTILLA!D11</f>
        <v>E. Romweber</v>
      </c>
      <c r="B10" s="430">
        <f>PLANTILLA!E11</f>
        <v>35</v>
      </c>
      <c r="C10" s="430">
        <f ca="1">PLANTILLA!F11</f>
        <v>77</v>
      </c>
      <c r="D10" s="430" t="str">
        <f>PLANTILLA!G11</f>
        <v>IMP</v>
      </c>
      <c r="E10" s="263">
        <v>41583</v>
      </c>
      <c r="F10" s="303">
        <f>PLANTILLA!Q11</f>
        <v>6</v>
      </c>
      <c r="G10" s="354">
        <f t="shared" si="74"/>
        <v>0.92582009977255142</v>
      </c>
      <c r="H10" s="354">
        <f t="shared" si="75"/>
        <v>0.99928545900129484</v>
      </c>
      <c r="I10" s="439">
        <v>1.5</v>
      </c>
      <c r="J10" s="440">
        <f>PLANTILLA!I11</f>
        <v>17.100000000000001</v>
      </c>
      <c r="K10" s="152">
        <f>PLANTILLA!X11</f>
        <v>0</v>
      </c>
      <c r="L10" s="152">
        <f>PLANTILLA!Y11</f>
        <v>11.95</v>
      </c>
      <c r="M10" s="152">
        <f>PLANTILLA!Z11</f>
        <v>12.614111111111114</v>
      </c>
      <c r="N10" s="152">
        <f>PLANTILLA!AA11</f>
        <v>12.95</v>
      </c>
      <c r="O10" s="152">
        <f>PLANTILLA!AB11</f>
        <v>10.95</v>
      </c>
      <c r="P10" s="152">
        <f>PLANTILLA!AC11</f>
        <v>5.95</v>
      </c>
      <c r="Q10" s="152">
        <f>PLANTILLA!AD11</f>
        <v>17.529999999999998</v>
      </c>
      <c r="R10" s="152">
        <f t="shared" si="2"/>
        <v>4.6062499999999993</v>
      </c>
      <c r="S10" s="152">
        <f t="shared" si="3"/>
        <v>18.866728538622212</v>
      </c>
      <c r="T10" s="152">
        <f t="shared" si="4"/>
        <v>0.82340000000000002</v>
      </c>
      <c r="U10" s="152">
        <f t="shared" si="5"/>
        <v>1.0039</v>
      </c>
      <c r="V10" s="152">
        <f t="shared" ca="1" si="6"/>
        <v>18.677489891375284</v>
      </c>
      <c r="W10" s="152">
        <f t="shared" ca="1" si="7"/>
        <v>20.15957966745404</v>
      </c>
      <c r="X10" s="148">
        <f t="shared" si="8"/>
        <v>6.0429074724964664</v>
      </c>
      <c r="Y10" s="148">
        <f t="shared" si="9"/>
        <v>9.1376473046883611</v>
      </c>
      <c r="Z10" s="148">
        <f t="shared" si="10"/>
        <v>6.0429074724964664</v>
      </c>
      <c r="AA10" s="148">
        <f t="shared" si="11"/>
        <v>7.7885013239498013</v>
      </c>
      <c r="AB10" s="148">
        <f t="shared" si="12"/>
        <v>15.093994813856204</v>
      </c>
      <c r="AC10" s="148">
        <f t="shared" si="13"/>
        <v>3.8942506619749007</v>
      </c>
      <c r="AD10" s="148">
        <f t="shared" si="14"/>
        <v>3.7504292101422219</v>
      </c>
      <c r="AE10" s="148">
        <f t="shared" si="15"/>
        <v>5.7055300396376456</v>
      </c>
      <c r="AF10" s="148">
        <f t="shared" si="16"/>
        <v>10.912958250418034</v>
      </c>
      <c r="AG10" s="148">
        <f t="shared" si="17"/>
        <v>2.8527650198188228</v>
      </c>
      <c r="AH10" s="148">
        <f t="shared" si="18"/>
        <v>6.0668707811124181</v>
      </c>
      <c r="AI10" s="148">
        <f t="shared" si="19"/>
        <v>13.886475228747708</v>
      </c>
      <c r="AJ10" s="148">
        <f t="shared" si="20"/>
        <v>6.2489138529364681</v>
      </c>
      <c r="AK10" s="148">
        <f t="shared" si="21"/>
        <v>2.6316036894695425</v>
      </c>
      <c r="AL10" s="148">
        <f t="shared" si="22"/>
        <v>9.4632689505474481</v>
      </c>
      <c r="AM10" s="148">
        <f t="shared" si="23"/>
        <v>11.380872089647578</v>
      </c>
      <c r="AN10" s="148">
        <f t="shared" si="24"/>
        <v>10.686548328210192</v>
      </c>
      <c r="AO10" s="148">
        <f t="shared" si="25"/>
        <v>3.4525571339139862</v>
      </c>
      <c r="AP10" s="148">
        <f t="shared" si="26"/>
        <v>2.2320705063905866</v>
      </c>
      <c r="AQ10" s="148">
        <f t="shared" si="27"/>
        <v>4.0753785997411756</v>
      </c>
      <c r="AR10" s="148">
        <f t="shared" si="28"/>
        <v>8.9658329194305857</v>
      </c>
      <c r="AS10" s="148">
        <f t="shared" si="29"/>
        <v>2.0376892998705878</v>
      </c>
      <c r="AT10" s="148">
        <f t="shared" si="30"/>
        <v>14.875651993169148</v>
      </c>
      <c r="AU10" s="148">
        <f t="shared" si="31"/>
        <v>1.8322193258013066</v>
      </c>
      <c r="AV10" s="148">
        <f t="shared" si="32"/>
        <v>3.2645404804598677</v>
      </c>
      <c r="AW10" s="148">
        <f t="shared" si="33"/>
        <v>0.91610966290065332</v>
      </c>
      <c r="AX10" s="148">
        <f t="shared" si="34"/>
        <v>2.8527650198188228</v>
      </c>
      <c r="AY10" s="148">
        <f t="shared" si="35"/>
        <v>6.0375979255424816</v>
      </c>
      <c r="AZ10" s="148">
        <f t="shared" si="36"/>
        <v>1.4263825099094114</v>
      </c>
      <c r="BA10" s="148">
        <f t="shared" si="37"/>
        <v>15.758105924967319</v>
      </c>
      <c r="BB10" s="148">
        <f t="shared" si="38"/>
        <v>3.5657806879056198</v>
      </c>
      <c r="BC10" s="148">
        <f t="shared" si="39"/>
        <v>6.7157911424347692</v>
      </c>
      <c r="BD10" s="148">
        <f t="shared" si="40"/>
        <v>1.7828903439528099</v>
      </c>
      <c r="BE10" s="148">
        <f t="shared" si="41"/>
        <v>4.3923524908321552</v>
      </c>
      <c r="BF10" s="148">
        <f t="shared" si="42"/>
        <v>5.252710195221959</v>
      </c>
      <c r="BG10" s="148">
        <f t="shared" si="43"/>
        <v>13.882891319896208</v>
      </c>
      <c r="BH10" s="148">
        <f t="shared" si="44"/>
        <v>13.677561389518168</v>
      </c>
      <c r="BI10" s="148">
        <f t="shared" si="45"/>
        <v>3.3966527501393449</v>
      </c>
      <c r="BJ10" s="148">
        <f t="shared" si="46"/>
        <v>7.3205874847202592</v>
      </c>
      <c r="BK10" s="148">
        <f t="shared" si="47"/>
        <v>3.9848146308580379</v>
      </c>
      <c r="BL10" s="148">
        <f t="shared" si="48"/>
        <v>6.0038383574125485</v>
      </c>
      <c r="BM10" s="148">
        <f t="shared" si="49"/>
        <v>13.664151467310324</v>
      </c>
      <c r="BN10" s="148">
        <f t="shared" si="50"/>
        <v>0.73288773032052257</v>
      </c>
      <c r="BO10" s="148">
        <f t="shared" si="51"/>
        <v>2.7169190664941167</v>
      </c>
      <c r="BP10" s="148">
        <f t="shared" si="52"/>
        <v>1.0263916473422219</v>
      </c>
      <c r="BQ10" s="148">
        <f t="shared" si="53"/>
        <v>4.8062223071150321</v>
      </c>
      <c r="BR10" s="148">
        <f t="shared" si="54"/>
        <v>20.124877330619078</v>
      </c>
      <c r="BS10" s="148">
        <f t="shared" si="55"/>
        <v>1.9026892998705878</v>
      </c>
      <c r="BT10" s="148">
        <f t="shared" si="56"/>
        <v>4.286694527135162</v>
      </c>
      <c r="BU10" s="148">
        <f t="shared" si="57"/>
        <v>3.6829347345809138</v>
      </c>
      <c r="BV10" s="148">
        <f t="shared" si="58"/>
        <v>7.1699381958601309</v>
      </c>
      <c r="BW10" s="148">
        <f t="shared" si="59"/>
        <v>17.344146253752676</v>
      </c>
      <c r="BX10" s="148">
        <f t="shared" si="60"/>
        <v>1.7053733724766007</v>
      </c>
      <c r="BY10" s="148">
        <f t="shared" si="61"/>
        <v>4.286694527135162</v>
      </c>
      <c r="BZ10" s="148">
        <f t="shared" si="62"/>
        <v>3.6829347345809138</v>
      </c>
      <c r="CA10" s="148">
        <f t="shared" si="63"/>
        <v>9.9433648386543787</v>
      </c>
      <c r="CB10" s="148">
        <f t="shared" si="64"/>
        <v>14.018125358401305</v>
      </c>
      <c r="CC10" s="148">
        <f t="shared" si="65"/>
        <v>2.0859112324507181</v>
      </c>
      <c r="CD10" s="148">
        <f t="shared" si="66"/>
        <v>6.3977910055367317</v>
      </c>
      <c r="CE10" s="148">
        <f t="shared" si="67"/>
        <v>6.9959712980190831</v>
      </c>
      <c r="CF10" s="148">
        <f t="shared" si="68"/>
        <v>12.954838160402087</v>
      </c>
      <c r="CG10" s="148">
        <f t="shared" si="69"/>
        <v>6.9959712980190831</v>
      </c>
      <c r="CH10" s="148">
        <f t="shared" si="70"/>
        <v>7.7925587690324161</v>
      </c>
      <c r="CI10" s="148">
        <f t="shared" si="71"/>
        <v>14.294678900169146</v>
      </c>
      <c r="CJ10" s="148">
        <f t="shared" si="72"/>
        <v>7.7925587690324161</v>
      </c>
      <c r="CK10" s="148">
        <f t="shared" si="73"/>
        <v>3.9395264812418298</v>
      </c>
    </row>
    <row r="11" spans="1:89" x14ac:dyDescent="0.25">
      <c r="A11" t="str">
        <f>PLANTILLA!D12</f>
        <v>K. Helms</v>
      </c>
      <c r="B11" s="430">
        <f>PLANTILLA!E12</f>
        <v>35</v>
      </c>
      <c r="C11" s="430">
        <f ca="1">PLANTILLA!F12</f>
        <v>24</v>
      </c>
      <c r="D11" s="430" t="str">
        <f>PLANTILLA!G12</f>
        <v>TEC</v>
      </c>
      <c r="E11" s="263">
        <v>41722</v>
      </c>
      <c r="F11" s="303">
        <f>PLANTILLA!Q12</f>
        <v>6</v>
      </c>
      <c r="G11" s="354">
        <f t="shared" ref="G11:G21" si="78">(F11/7)^0.5</f>
        <v>0.92582009977255142</v>
      </c>
      <c r="H11" s="354">
        <f t="shared" si="75"/>
        <v>0.99928545900129484</v>
      </c>
      <c r="I11" s="439">
        <v>1.5</v>
      </c>
      <c r="J11" s="440">
        <f>PLANTILLA!I12</f>
        <v>13.5</v>
      </c>
      <c r="K11" s="152">
        <f>PLANTILLA!X12</f>
        <v>0</v>
      </c>
      <c r="L11" s="152">
        <f>PLANTILLA!Y12</f>
        <v>7.2503030303030309</v>
      </c>
      <c r="M11" s="152">
        <f>PLANTILLA!Z12</f>
        <v>10.600000000000005</v>
      </c>
      <c r="N11" s="152">
        <f>PLANTILLA!AA12</f>
        <v>13.471666666666668</v>
      </c>
      <c r="O11" s="152">
        <f>PLANTILLA!AB12</f>
        <v>9.9499999999999993</v>
      </c>
      <c r="P11" s="152">
        <f>PLANTILLA!AC12</f>
        <v>3.95</v>
      </c>
      <c r="Q11" s="152">
        <f>PLANTILLA!AD12</f>
        <v>18</v>
      </c>
      <c r="R11" s="152">
        <f t="shared" si="2"/>
        <v>3.7687878787878786</v>
      </c>
      <c r="S11" s="152">
        <f t="shared" si="3"/>
        <v>15.502716837831953</v>
      </c>
      <c r="T11" s="152">
        <f t="shared" si="4"/>
        <v>0.73750000000000004</v>
      </c>
      <c r="U11" s="152">
        <f t="shared" si="5"/>
        <v>0.8300121212121212</v>
      </c>
      <c r="V11" s="152">
        <f t="shared" ca="1" si="6"/>
        <v>18.985896192110918</v>
      </c>
      <c r="W11" s="152">
        <f t="shared" ca="1" si="7"/>
        <v>20.492458519258197</v>
      </c>
      <c r="X11" s="148">
        <f t="shared" si="8"/>
        <v>4.626292142891824</v>
      </c>
      <c r="Y11" s="148">
        <f t="shared" si="9"/>
        <v>6.9635599813815254</v>
      </c>
      <c r="Z11" s="148">
        <f t="shared" si="10"/>
        <v>4.626292142891824</v>
      </c>
      <c r="AA11" s="148">
        <f t="shared" si="11"/>
        <v>5.2928259963609277</v>
      </c>
      <c r="AB11" s="148">
        <f t="shared" si="12"/>
        <v>10.257414721629704</v>
      </c>
      <c r="AC11" s="148">
        <f t="shared" si="13"/>
        <v>2.6464129981804638</v>
      </c>
      <c r="AD11" s="148">
        <f t="shared" si="14"/>
        <v>3.2384925825357493</v>
      </c>
      <c r="AE11" s="148">
        <f t="shared" si="15"/>
        <v>3.8773027647760281</v>
      </c>
      <c r="AF11" s="148">
        <f t="shared" si="16"/>
        <v>7.4161108437382763</v>
      </c>
      <c r="AG11" s="148">
        <f t="shared" si="17"/>
        <v>1.938651382388014</v>
      </c>
      <c r="AH11" s="148">
        <f t="shared" si="18"/>
        <v>5.2387380011607716</v>
      </c>
      <c r="AI11" s="148">
        <f t="shared" si="19"/>
        <v>9.4368215438993275</v>
      </c>
      <c r="AJ11" s="148">
        <f t="shared" si="20"/>
        <v>4.2465696947546974</v>
      </c>
      <c r="AK11" s="148">
        <f t="shared" si="21"/>
        <v>2.2723876524515556</v>
      </c>
      <c r="AL11" s="148">
        <f t="shared" si="22"/>
        <v>9.6895216745000852</v>
      </c>
      <c r="AM11" s="148">
        <f t="shared" si="23"/>
        <v>7.7340907001087968</v>
      </c>
      <c r="AN11" s="148">
        <f t="shared" si="24"/>
        <v>7.2622496229138305</v>
      </c>
      <c r="AO11" s="148">
        <f t="shared" si="25"/>
        <v>3.5081876524515549</v>
      </c>
      <c r="AP11" s="148">
        <f t="shared" si="26"/>
        <v>1.9514590761929913</v>
      </c>
      <c r="AQ11" s="148">
        <f t="shared" si="27"/>
        <v>2.7695019748400203</v>
      </c>
      <c r="AR11" s="148">
        <f t="shared" si="28"/>
        <v>6.0929043446480442</v>
      </c>
      <c r="AS11" s="148">
        <f t="shared" si="29"/>
        <v>1.3847509874200101</v>
      </c>
      <c r="AT11" s="148">
        <f t="shared" si="30"/>
        <v>12.845113436612385</v>
      </c>
      <c r="AU11" s="148">
        <f t="shared" si="31"/>
        <v>1.6844245198724677</v>
      </c>
      <c r="AV11" s="148">
        <f t="shared" si="32"/>
        <v>2.7584337255587155</v>
      </c>
      <c r="AW11" s="148">
        <f t="shared" si="33"/>
        <v>0.84221225993623383</v>
      </c>
      <c r="AX11" s="148">
        <f t="shared" si="34"/>
        <v>1.938651382388014</v>
      </c>
      <c r="AY11" s="148">
        <f t="shared" si="35"/>
        <v>4.1029658886518821</v>
      </c>
      <c r="AZ11" s="148">
        <f t="shared" si="36"/>
        <v>0.96932569119400702</v>
      </c>
      <c r="BA11" s="148">
        <f t="shared" si="37"/>
        <v>13.607111691326679</v>
      </c>
      <c r="BB11" s="148">
        <f t="shared" si="38"/>
        <v>3.2781492579056484</v>
      </c>
      <c r="BC11" s="148">
        <f t="shared" si="39"/>
        <v>5.8793685419209973</v>
      </c>
      <c r="BD11" s="148">
        <f t="shared" si="40"/>
        <v>1.6390746289528242</v>
      </c>
      <c r="BE11" s="148">
        <f t="shared" si="41"/>
        <v>2.9849076839942437</v>
      </c>
      <c r="BF11" s="148">
        <f t="shared" si="42"/>
        <v>3.5695803231271368</v>
      </c>
      <c r="BG11" s="148">
        <f t="shared" si="43"/>
        <v>11.987865400058805</v>
      </c>
      <c r="BH11" s="148">
        <f t="shared" si="44"/>
        <v>13.54030896025608</v>
      </c>
      <c r="BI11" s="148">
        <f t="shared" si="45"/>
        <v>3.1226639176097284</v>
      </c>
      <c r="BJ11" s="148">
        <f t="shared" si="46"/>
        <v>4.9748461399904063</v>
      </c>
      <c r="BK11" s="148">
        <f t="shared" si="47"/>
        <v>2.7079574865102423</v>
      </c>
      <c r="BL11" s="148">
        <f t="shared" si="48"/>
        <v>5.1843095543954645</v>
      </c>
      <c r="BM11" s="148">
        <f t="shared" si="49"/>
        <v>13.694597284886182</v>
      </c>
      <c r="BN11" s="148">
        <f t="shared" si="50"/>
        <v>0.673769807948987</v>
      </c>
      <c r="BO11" s="148">
        <f t="shared" si="51"/>
        <v>1.8463346498933466</v>
      </c>
      <c r="BP11" s="148">
        <f t="shared" si="52"/>
        <v>0.6975042010708199</v>
      </c>
      <c r="BQ11" s="148">
        <f t="shared" si="53"/>
        <v>4.1501690658546373</v>
      </c>
      <c r="BR11" s="148">
        <f t="shared" si="54"/>
        <v>20.184512301712772</v>
      </c>
      <c r="BS11" s="148">
        <f t="shared" si="55"/>
        <v>1.7492100783291011</v>
      </c>
      <c r="BT11" s="148">
        <f t="shared" si="56"/>
        <v>2.9131057809428356</v>
      </c>
      <c r="BU11" s="148">
        <f t="shared" si="57"/>
        <v>2.5028091920776476</v>
      </c>
      <c r="BV11" s="148">
        <f t="shared" si="58"/>
        <v>6.191235819553639</v>
      </c>
      <c r="BW11" s="148">
        <f t="shared" si="59"/>
        <v>17.399199753989954</v>
      </c>
      <c r="BX11" s="148">
        <f t="shared" si="60"/>
        <v>1.5678105146505275</v>
      </c>
      <c r="BY11" s="148">
        <f t="shared" si="61"/>
        <v>2.9131057809428356</v>
      </c>
      <c r="BZ11" s="148">
        <f t="shared" si="62"/>
        <v>2.5028091920776476</v>
      </c>
      <c r="CA11" s="148">
        <f t="shared" si="63"/>
        <v>8.5860874772271352</v>
      </c>
      <c r="CB11" s="148">
        <f t="shared" si="64"/>
        <v>14.068824963737374</v>
      </c>
      <c r="CC11" s="148">
        <f t="shared" si="65"/>
        <v>1.9176525303163476</v>
      </c>
      <c r="CD11" s="148">
        <f t="shared" si="66"/>
        <v>5.5244873466786322</v>
      </c>
      <c r="CE11" s="148">
        <f t="shared" si="67"/>
        <v>7.5534741264873313</v>
      </c>
      <c r="CF11" s="148">
        <f t="shared" si="68"/>
        <v>11.091707764433835</v>
      </c>
      <c r="CG11" s="148">
        <f t="shared" si="69"/>
        <v>7.5534741264873313</v>
      </c>
      <c r="CH11" s="148">
        <f t="shared" si="70"/>
        <v>7.1605689170298517</v>
      </c>
      <c r="CI11" s="148">
        <f t="shared" si="71"/>
        <v>11.738285905426217</v>
      </c>
      <c r="CJ11" s="148">
        <f t="shared" si="72"/>
        <v>7.1605689170298517</v>
      </c>
      <c r="CK11" s="148">
        <f t="shared" si="73"/>
        <v>3.4017779228316698</v>
      </c>
    </row>
    <row r="12" spans="1:89" x14ac:dyDescent="0.25">
      <c r="A12" t="str">
        <f>PLANTILLA!D13</f>
        <v>S. Zobbe</v>
      </c>
      <c r="B12" s="430">
        <f>PLANTILLA!E13</f>
        <v>32</v>
      </c>
      <c r="C12" s="430">
        <f ca="1">PLANTILLA!F13</f>
        <v>39</v>
      </c>
      <c r="D12" s="430" t="str">
        <f>PLANTILLA!G13</f>
        <v>CAB</v>
      </c>
      <c r="E12" s="263">
        <v>41911</v>
      </c>
      <c r="F12" s="303">
        <f>PLANTILLA!Q13</f>
        <v>6</v>
      </c>
      <c r="G12" s="354">
        <f t="shared" si="78"/>
        <v>0.92582009977255142</v>
      </c>
      <c r="H12" s="354">
        <f t="shared" si="75"/>
        <v>0.99928545900129484</v>
      </c>
      <c r="I12" s="439">
        <v>1.5</v>
      </c>
      <c r="J12" s="440">
        <f>PLANTILLA!I13</f>
        <v>13</v>
      </c>
      <c r="K12" s="152">
        <f>PLANTILLA!X13</f>
        <v>0</v>
      </c>
      <c r="L12" s="152">
        <f>PLANTILLA!Y13</f>
        <v>8.3599999999999977</v>
      </c>
      <c r="M12" s="152">
        <f>PLANTILLA!Z13</f>
        <v>12.253412698412699</v>
      </c>
      <c r="N12" s="152">
        <f>PLANTILLA!AA13</f>
        <v>12.95</v>
      </c>
      <c r="O12" s="152">
        <f>PLANTILLA!AB13</f>
        <v>10.24</v>
      </c>
      <c r="P12" s="152">
        <f>PLANTILLA!AC13</f>
        <v>6.95</v>
      </c>
      <c r="Q12" s="152">
        <f>PLANTILLA!AD13</f>
        <v>16</v>
      </c>
      <c r="R12" s="152">
        <f t="shared" si="2"/>
        <v>3.9799999999999995</v>
      </c>
      <c r="S12" s="152">
        <f t="shared" si="3"/>
        <v>19.334419744797479</v>
      </c>
      <c r="T12" s="152">
        <f t="shared" si="4"/>
        <v>0.82750000000000001</v>
      </c>
      <c r="U12" s="152">
        <f t="shared" si="5"/>
        <v>0.81439999999999979</v>
      </c>
      <c r="V12" s="152">
        <f t="shared" ca="1" si="6"/>
        <v>17.114023223564956</v>
      </c>
      <c r="W12" s="152">
        <f t="shared" ca="1" si="7"/>
        <v>18.47204932850385</v>
      </c>
      <c r="X12" s="148">
        <f t="shared" si="8"/>
        <v>4.9134900620851578</v>
      </c>
      <c r="Y12" s="148">
        <f t="shared" si="9"/>
        <v>7.4069678237708345</v>
      </c>
      <c r="Z12" s="148">
        <f t="shared" si="10"/>
        <v>4.9134900620851578</v>
      </c>
      <c r="AA12" s="148">
        <f t="shared" si="11"/>
        <v>5.8541530263871024</v>
      </c>
      <c r="AB12" s="148">
        <f t="shared" si="12"/>
        <v>11.34525780307578</v>
      </c>
      <c r="AC12" s="148">
        <f t="shared" si="13"/>
        <v>2.9270765131935512</v>
      </c>
      <c r="AD12" s="148">
        <f t="shared" si="14"/>
        <v>3.6268035793542586</v>
      </c>
      <c r="AE12" s="148">
        <f t="shared" si="15"/>
        <v>4.288507449562645</v>
      </c>
      <c r="AF12" s="148">
        <f t="shared" si="16"/>
        <v>8.2026213916237882</v>
      </c>
      <c r="AG12" s="148">
        <f t="shared" si="17"/>
        <v>2.1442537247813225</v>
      </c>
      <c r="AH12" s="148">
        <f t="shared" si="18"/>
        <v>5.8668881430730657</v>
      </c>
      <c r="AI12" s="148">
        <f t="shared" si="19"/>
        <v>10.437637178829718</v>
      </c>
      <c r="AJ12" s="148">
        <f t="shared" si="20"/>
        <v>4.6969367304733725</v>
      </c>
      <c r="AK12" s="148">
        <f t="shared" si="21"/>
        <v>2.5448579737485768</v>
      </c>
      <c r="AL12" s="148">
        <f t="shared" si="22"/>
        <v>9.3699315882085585</v>
      </c>
      <c r="AM12" s="148">
        <f t="shared" si="23"/>
        <v>8.5543243835191376</v>
      </c>
      <c r="AN12" s="148">
        <f t="shared" si="24"/>
        <v>8.0324425245776521</v>
      </c>
      <c r="AO12" s="148">
        <f t="shared" si="25"/>
        <v>3.1705380531136558</v>
      </c>
      <c r="AP12" s="148">
        <f t="shared" si="26"/>
        <v>2.005994247285825</v>
      </c>
      <c r="AQ12" s="148">
        <f t="shared" si="27"/>
        <v>3.0632196068304607</v>
      </c>
      <c r="AR12" s="148">
        <f t="shared" si="28"/>
        <v>6.7390831350270135</v>
      </c>
      <c r="AS12" s="148">
        <f t="shared" si="29"/>
        <v>1.5316098034152303</v>
      </c>
      <c r="AT12" s="148">
        <f t="shared" si="30"/>
        <v>14.385304953405127</v>
      </c>
      <c r="AU12" s="148">
        <f t="shared" si="31"/>
        <v>1.7192835143998517</v>
      </c>
      <c r="AV12" s="148">
        <f t="shared" si="32"/>
        <v>3.3058305363012042</v>
      </c>
      <c r="AW12" s="148">
        <f t="shared" si="33"/>
        <v>0.85964175719992586</v>
      </c>
      <c r="AX12" s="148">
        <f t="shared" si="34"/>
        <v>2.1442537247813225</v>
      </c>
      <c r="AY12" s="148">
        <f t="shared" si="35"/>
        <v>4.5381031212303125</v>
      </c>
      <c r="AZ12" s="148">
        <f t="shared" si="36"/>
        <v>1.0721268623906612</v>
      </c>
      <c r="BA12" s="148">
        <f t="shared" si="37"/>
        <v>15.238670501488482</v>
      </c>
      <c r="BB12" s="148">
        <f t="shared" si="38"/>
        <v>3.3459902241781729</v>
      </c>
      <c r="BC12" s="148">
        <f t="shared" si="39"/>
        <v>6.5962170494947561</v>
      </c>
      <c r="BD12" s="148">
        <f t="shared" si="40"/>
        <v>1.6729951120890865</v>
      </c>
      <c r="BE12" s="148">
        <f t="shared" si="41"/>
        <v>3.301470020695052</v>
      </c>
      <c r="BF12" s="148">
        <f t="shared" si="42"/>
        <v>3.9481497154703713</v>
      </c>
      <c r="BG12" s="148">
        <f t="shared" si="43"/>
        <v>13.425268711811352</v>
      </c>
      <c r="BH12" s="148">
        <f t="shared" si="44"/>
        <v>13.31279418693437</v>
      </c>
      <c r="BI12" s="148">
        <f t="shared" si="45"/>
        <v>3.1872871305412636</v>
      </c>
      <c r="BJ12" s="148">
        <f t="shared" si="46"/>
        <v>5.5024500344917531</v>
      </c>
      <c r="BK12" s="148">
        <f t="shared" si="47"/>
        <v>2.995148060012006</v>
      </c>
      <c r="BL12" s="148">
        <f t="shared" si="48"/>
        <v>5.8059334610671121</v>
      </c>
      <c r="BM12" s="148">
        <f t="shared" si="49"/>
        <v>13.382705319888235</v>
      </c>
      <c r="BN12" s="148">
        <f t="shared" si="50"/>
        <v>0.68771340575994067</v>
      </c>
      <c r="BO12" s="148">
        <f t="shared" si="51"/>
        <v>2.0421464045536402</v>
      </c>
      <c r="BP12" s="148">
        <f t="shared" si="52"/>
        <v>0.77147753060915314</v>
      </c>
      <c r="BQ12" s="148">
        <f t="shared" si="53"/>
        <v>4.6477945029539871</v>
      </c>
      <c r="BR12" s="148">
        <f t="shared" si="54"/>
        <v>19.717681534755457</v>
      </c>
      <c r="BS12" s="148">
        <f t="shared" si="55"/>
        <v>1.7854098034152308</v>
      </c>
      <c r="BT12" s="148">
        <f t="shared" si="56"/>
        <v>3.2220532160735211</v>
      </c>
      <c r="BU12" s="148">
        <f t="shared" si="57"/>
        <v>2.7682429039504903</v>
      </c>
      <c r="BV12" s="148">
        <f t="shared" si="58"/>
        <v>6.9335950781772597</v>
      </c>
      <c r="BW12" s="148">
        <f t="shared" si="59"/>
        <v>16.995025645807967</v>
      </c>
      <c r="BX12" s="148">
        <f t="shared" si="60"/>
        <v>1.6002561941721696</v>
      </c>
      <c r="BY12" s="148">
        <f t="shared" si="61"/>
        <v>3.2220532160735211</v>
      </c>
      <c r="BZ12" s="148">
        <f t="shared" si="62"/>
        <v>2.7682429039504903</v>
      </c>
      <c r="CA12" s="148">
        <f t="shared" si="63"/>
        <v>9.6156010864392325</v>
      </c>
      <c r="CB12" s="148">
        <f t="shared" si="64"/>
        <v>13.739025733752825</v>
      </c>
      <c r="CC12" s="148">
        <f t="shared" si="65"/>
        <v>1.9573381548552158</v>
      </c>
      <c r="CD12" s="148">
        <f t="shared" si="66"/>
        <v>6.186900223604324</v>
      </c>
      <c r="CE12" s="148">
        <f t="shared" si="67"/>
        <v>6.8627693154024829</v>
      </c>
      <c r="CF12" s="148">
        <f t="shared" si="68"/>
        <v>12.973570286263332</v>
      </c>
      <c r="CG12" s="148">
        <f t="shared" si="69"/>
        <v>6.8627693154024829</v>
      </c>
      <c r="CH12" s="148">
        <f t="shared" si="70"/>
        <v>7.8528456113162122</v>
      </c>
      <c r="CI12" s="148">
        <f t="shared" si="71"/>
        <v>14.815377932410746</v>
      </c>
      <c r="CJ12" s="148">
        <f t="shared" si="72"/>
        <v>7.8528456113162122</v>
      </c>
      <c r="CK12" s="148">
        <f t="shared" si="73"/>
        <v>3.8096676253721204</v>
      </c>
    </row>
    <row r="13" spans="1:89" x14ac:dyDescent="0.25">
      <c r="A13" t="str">
        <f>PLANTILLA!D14</f>
        <v>S. Buschelman</v>
      </c>
      <c r="B13" s="430">
        <f>PLANTILLA!E14</f>
        <v>34</v>
      </c>
      <c r="C13" s="430">
        <f ca="1">PLANTILLA!F14</f>
        <v>36</v>
      </c>
      <c r="D13" s="430" t="str">
        <f>PLANTILLA!G14</f>
        <v>TEC</v>
      </c>
      <c r="E13" s="263">
        <v>41747</v>
      </c>
      <c r="F13" s="303">
        <f>PLANTILLA!Q14</f>
        <v>6</v>
      </c>
      <c r="G13" s="354">
        <f t="shared" si="78"/>
        <v>0.92582009977255142</v>
      </c>
      <c r="H13" s="354">
        <f t="shared" si="75"/>
        <v>0.99928545900129484</v>
      </c>
      <c r="I13" s="439">
        <v>1.5</v>
      </c>
      <c r="J13" s="440">
        <f>PLANTILLA!I14</f>
        <v>14.8</v>
      </c>
      <c r="K13" s="152">
        <f>PLANTILLA!X14</f>
        <v>0</v>
      </c>
      <c r="L13" s="152">
        <f>PLANTILLA!Y14</f>
        <v>9.3036666666666648</v>
      </c>
      <c r="M13" s="152">
        <f>PLANTILLA!Z14</f>
        <v>14</v>
      </c>
      <c r="N13" s="152">
        <f>PLANTILLA!AA14</f>
        <v>12.945</v>
      </c>
      <c r="O13" s="152">
        <f>PLANTILLA!AB14</f>
        <v>9.9499999999999993</v>
      </c>
      <c r="P13" s="152">
        <f>PLANTILLA!AC14</f>
        <v>3.95</v>
      </c>
      <c r="Q13" s="152">
        <f>PLANTILLA!AD14</f>
        <v>16</v>
      </c>
      <c r="R13" s="152">
        <f t="shared" si="2"/>
        <v>4.0254583333333329</v>
      </c>
      <c r="S13" s="152">
        <f t="shared" si="3"/>
        <v>14.520371188030476</v>
      </c>
      <c r="T13" s="152">
        <f t="shared" si="4"/>
        <v>0.67749999999999999</v>
      </c>
      <c r="U13" s="152">
        <f t="shared" si="5"/>
        <v>0.8521466666666665</v>
      </c>
      <c r="V13" s="152">
        <f t="shared" ca="1" si="6"/>
        <v>17.183544120275982</v>
      </c>
      <c r="W13" s="152">
        <f t="shared" ca="1" si="7"/>
        <v>18.547086823582134</v>
      </c>
      <c r="X13" s="148">
        <f t="shared" si="8"/>
        <v>5.2394966367197302</v>
      </c>
      <c r="Y13" s="148">
        <f t="shared" si="9"/>
        <v>7.9049688327665191</v>
      </c>
      <c r="Z13" s="148">
        <f t="shared" si="10"/>
        <v>5.2394966367197302</v>
      </c>
      <c r="AA13" s="148">
        <f t="shared" si="11"/>
        <v>6.3798320601917302</v>
      </c>
      <c r="AB13" s="148">
        <f t="shared" si="12"/>
        <v>12.364015620526608</v>
      </c>
      <c r="AC13" s="148">
        <f t="shared" si="13"/>
        <v>3.1899160300958651</v>
      </c>
      <c r="AD13" s="148">
        <f t="shared" si="14"/>
        <v>4.0603630510186663</v>
      </c>
      <c r="AE13" s="148">
        <f t="shared" si="15"/>
        <v>4.6735979045590579</v>
      </c>
      <c r="AF13" s="148">
        <f t="shared" si="16"/>
        <v>8.9391832936407365</v>
      </c>
      <c r="AG13" s="148">
        <f t="shared" si="17"/>
        <v>2.3367989522795289</v>
      </c>
      <c r="AH13" s="148">
        <f t="shared" si="18"/>
        <v>6.5682343472360785</v>
      </c>
      <c r="AI13" s="148">
        <f t="shared" si="19"/>
        <v>11.37489437088448</v>
      </c>
      <c r="AJ13" s="148">
        <f t="shared" si="20"/>
        <v>5.1187024668980152</v>
      </c>
      <c r="AK13" s="148">
        <f t="shared" si="21"/>
        <v>2.8490782752946107</v>
      </c>
      <c r="AL13" s="148">
        <f t="shared" si="22"/>
        <v>9.4111451848696461</v>
      </c>
      <c r="AM13" s="148">
        <f t="shared" si="23"/>
        <v>9.3224677778770619</v>
      </c>
      <c r="AN13" s="148">
        <f t="shared" si="24"/>
        <v>8.7537230593328381</v>
      </c>
      <c r="AO13" s="148">
        <f t="shared" si="25"/>
        <v>3.1830782752946107</v>
      </c>
      <c r="AP13" s="148">
        <f t="shared" si="26"/>
        <v>2.0407124987116636</v>
      </c>
      <c r="AQ13" s="148">
        <f t="shared" si="27"/>
        <v>3.3382842175421845</v>
      </c>
      <c r="AR13" s="148">
        <f t="shared" si="28"/>
        <v>7.3442252785928046</v>
      </c>
      <c r="AS13" s="148">
        <f t="shared" si="29"/>
        <v>1.6691421087710923</v>
      </c>
      <c r="AT13" s="148">
        <f t="shared" si="30"/>
        <v>16.104969412443786</v>
      </c>
      <c r="AU13" s="148">
        <f t="shared" si="31"/>
        <v>1.6913453640017926</v>
      </c>
      <c r="AV13" s="148">
        <f t="shared" si="32"/>
        <v>2.7740322434809634</v>
      </c>
      <c r="AW13" s="148">
        <f t="shared" si="33"/>
        <v>0.84567268200089629</v>
      </c>
      <c r="AX13" s="148">
        <f t="shared" si="34"/>
        <v>2.3367989522795289</v>
      </c>
      <c r="AY13" s="148">
        <f t="shared" si="35"/>
        <v>4.9456062482106438</v>
      </c>
      <c r="AZ13" s="148">
        <f t="shared" si="36"/>
        <v>1.1683994761397645</v>
      </c>
      <c r="BA13" s="148">
        <f t="shared" si="37"/>
        <v>17.060348953859943</v>
      </c>
      <c r="BB13" s="148">
        <f t="shared" si="38"/>
        <v>3.2916182853265656</v>
      </c>
      <c r="BC13" s="148">
        <f t="shared" si="39"/>
        <v>5.9087022735768286</v>
      </c>
      <c r="BD13" s="148">
        <f t="shared" si="40"/>
        <v>1.6458091426632828</v>
      </c>
      <c r="BE13" s="148">
        <f t="shared" si="41"/>
        <v>3.5979285455732426</v>
      </c>
      <c r="BF13" s="148">
        <f t="shared" si="42"/>
        <v>4.3026774359432594</v>
      </c>
      <c r="BG13" s="148">
        <f t="shared" si="43"/>
        <v>15.030167428350611</v>
      </c>
      <c r="BH13" s="148">
        <f t="shared" si="44"/>
        <v>13.285330219981489</v>
      </c>
      <c r="BI13" s="148">
        <f t="shared" si="45"/>
        <v>3.1354940978802461</v>
      </c>
      <c r="BJ13" s="148">
        <f t="shared" si="46"/>
        <v>5.9965475759554048</v>
      </c>
      <c r="BK13" s="148">
        <f t="shared" si="47"/>
        <v>3.2641001238190248</v>
      </c>
      <c r="BL13" s="148">
        <f t="shared" si="48"/>
        <v>6.4999929514206389</v>
      </c>
      <c r="BM13" s="148">
        <f t="shared" si="49"/>
        <v>13.386679985673592</v>
      </c>
      <c r="BN13" s="148">
        <f t="shared" si="50"/>
        <v>0.67653814560071701</v>
      </c>
      <c r="BO13" s="148">
        <f t="shared" si="51"/>
        <v>2.2255228116947894</v>
      </c>
      <c r="BP13" s="148">
        <f t="shared" si="52"/>
        <v>0.84075306219580936</v>
      </c>
      <c r="BQ13" s="148">
        <f t="shared" si="53"/>
        <v>5.2034064309272825</v>
      </c>
      <c r="BR13" s="148">
        <f t="shared" si="54"/>
        <v>19.726308754663886</v>
      </c>
      <c r="BS13" s="148">
        <f t="shared" si="55"/>
        <v>1.7563971087710923</v>
      </c>
      <c r="BT13" s="148">
        <f t="shared" si="56"/>
        <v>3.5113804362295564</v>
      </c>
      <c r="BU13" s="148">
        <f t="shared" si="57"/>
        <v>3.0168198114084923</v>
      </c>
      <c r="BV13" s="148">
        <f t="shared" si="58"/>
        <v>7.7624587740062747</v>
      </c>
      <c r="BW13" s="148">
        <f t="shared" si="59"/>
        <v>17.003146640876817</v>
      </c>
      <c r="BX13" s="148">
        <f t="shared" si="60"/>
        <v>1.5742522234170531</v>
      </c>
      <c r="BY13" s="148">
        <f t="shared" si="61"/>
        <v>3.5113804362295564</v>
      </c>
      <c r="BZ13" s="148">
        <f t="shared" si="62"/>
        <v>3.0168198114084923</v>
      </c>
      <c r="CA13" s="148">
        <f t="shared" si="63"/>
        <v>10.765080189885625</v>
      </c>
      <c r="CB13" s="148">
        <f t="shared" si="64"/>
        <v>13.746752313704649</v>
      </c>
      <c r="CC13" s="148">
        <f t="shared" si="65"/>
        <v>1.9255316451712714</v>
      </c>
      <c r="CD13" s="148">
        <f t="shared" si="66"/>
        <v>6.9265016752671373</v>
      </c>
      <c r="CE13" s="148">
        <f t="shared" si="67"/>
        <v>7.5064697212698261</v>
      </c>
      <c r="CF13" s="148">
        <f t="shared" si="68"/>
        <v>11.151652922046296</v>
      </c>
      <c r="CG13" s="148">
        <f t="shared" si="69"/>
        <v>7.5064697212698261</v>
      </c>
      <c r="CH13" s="148">
        <f t="shared" si="70"/>
        <v>7.0773423982547445</v>
      </c>
      <c r="CI13" s="148">
        <f t="shared" si="71"/>
        <v>11.811167717834262</v>
      </c>
      <c r="CJ13" s="148">
        <f t="shared" si="72"/>
        <v>7.0773423982547445</v>
      </c>
      <c r="CK13" s="148">
        <f t="shared" si="73"/>
        <v>4.2650872384649858</v>
      </c>
    </row>
    <row r="14" spans="1:89" x14ac:dyDescent="0.25">
      <c r="A14" t="str">
        <f>PLANTILLA!D15</f>
        <v>C. Rojas</v>
      </c>
      <c r="B14" s="430">
        <f>PLANTILLA!E15</f>
        <v>36</v>
      </c>
      <c r="C14" s="430">
        <f ca="1">PLANTILLA!F15</f>
        <v>70</v>
      </c>
      <c r="D14" s="430" t="str">
        <f>PLANTILLA!G15</f>
        <v>TEC</v>
      </c>
      <c r="E14" s="263">
        <v>41653</v>
      </c>
      <c r="F14" s="303">
        <f>PLANTILLA!Q15</f>
        <v>6</v>
      </c>
      <c r="G14" s="354">
        <f t="shared" si="78"/>
        <v>0.92582009977255142</v>
      </c>
      <c r="H14" s="354">
        <f t="shared" si="75"/>
        <v>0.99928545900129484</v>
      </c>
      <c r="I14" s="439">
        <v>1.5</v>
      </c>
      <c r="J14" s="440">
        <f>PLANTILLA!I15</f>
        <v>14.4</v>
      </c>
      <c r="K14" s="152">
        <f>PLANTILLA!X15</f>
        <v>0</v>
      </c>
      <c r="L14" s="152">
        <f>PLANTILLA!Y15</f>
        <v>7.95</v>
      </c>
      <c r="M14" s="152">
        <f>PLANTILLA!Z15</f>
        <v>13.95</v>
      </c>
      <c r="N14" s="152">
        <f>PLANTILLA!AA15</f>
        <v>8.9499999999999993</v>
      </c>
      <c r="O14" s="152">
        <f>PLANTILLA!AB15</f>
        <v>9.9499999999999993</v>
      </c>
      <c r="P14" s="152">
        <f>PLANTILLA!AC15</f>
        <v>1.95</v>
      </c>
      <c r="Q14" s="152">
        <f>PLANTILLA!AD15</f>
        <v>17.144444444444439</v>
      </c>
      <c r="R14" s="152">
        <f t="shared" si="2"/>
        <v>3.8562499999999997</v>
      </c>
      <c r="S14" s="152">
        <f t="shared" si="3"/>
        <v>11.794752587818445</v>
      </c>
      <c r="T14" s="152">
        <f t="shared" si="4"/>
        <v>0.61183333333333312</v>
      </c>
      <c r="U14" s="152">
        <f t="shared" si="5"/>
        <v>0.83233333333333326</v>
      </c>
      <c r="V14" s="152">
        <f t="shared" ca="1" si="6"/>
        <v>18.228405069878942</v>
      </c>
      <c r="W14" s="152">
        <f t="shared" ca="1" si="7"/>
        <v>19.674859221127871</v>
      </c>
      <c r="X14" s="148">
        <f t="shared" si="8"/>
        <v>4.8520339407988704</v>
      </c>
      <c r="Y14" s="148">
        <f t="shared" si="9"/>
        <v>7.3091779697266226</v>
      </c>
      <c r="Z14" s="148">
        <f t="shared" si="10"/>
        <v>4.8520339407988704</v>
      </c>
      <c r="AA14" s="148">
        <f t="shared" si="11"/>
        <v>5.673153394561532</v>
      </c>
      <c r="AB14" s="148">
        <f t="shared" si="12"/>
        <v>10.994483322793666</v>
      </c>
      <c r="AC14" s="148">
        <f t="shared" si="13"/>
        <v>2.836576697280766</v>
      </c>
      <c r="AD14" s="148">
        <f t="shared" si="14"/>
        <v>4.0446870308248926</v>
      </c>
      <c r="AE14" s="148">
        <f t="shared" si="15"/>
        <v>4.1559146960160058</v>
      </c>
      <c r="AF14" s="148">
        <f t="shared" si="16"/>
        <v>7.9490114423798204</v>
      </c>
      <c r="AG14" s="148">
        <f t="shared" si="17"/>
        <v>2.0779573480080029</v>
      </c>
      <c r="AH14" s="148">
        <f t="shared" si="18"/>
        <v>6.5428760792755618</v>
      </c>
      <c r="AI14" s="148">
        <f t="shared" si="19"/>
        <v>10.114924656970173</v>
      </c>
      <c r="AJ14" s="148">
        <f t="shared" si="20"/>
        <v>4.5517160956365776</v>
      </c>
      <c r="AK14" s="148">
        <f t="shared" si="21"/>
        <v>2.8380787149065423</v>
      </c>
      <c r="AL14" s="148">
        <f t="shared" si="22"/>
        <v>7.0527561938026757</v>
      </c>
      <c r="AM14" s="148">
        <f t="shared" si="23"/>
        <v>8.2898404253864246</v>
      </c>
      <c r="AN14" s="148">
        <f t="shared" si="24"/>
        <v>7.784094192537915</v>
      </c>
      <c r="AO14" s="148">
        <f t="shared" si="25"/>
        <v>3.371550937128764</v>
      </c>
      <c r="AP14" s="148">
        <f t="shared" si="26"/>
        <v>1.9874111969645756</v>
      </c>
      <c r="AQ14" s="148">
        <f t="shared" si="27"/>
        <v>2.9685104971542899</v>
      </c>
      <c r="AR14" s="148">
        <f t="shared" si="28"/>
        <v>6.5307230937394376</v>
      </c>
      <c r="AS14" s="148">
        <f t="shared" si="29"/>
        <v>1.484255248577145</v>
      </c>
      <c r="AT14" s="148">
        <f t="shared" si="30"/>
        <v>16.04279225671722</v>
      </c>
      <c r="AU14" s="148">
        <f t="shared" si="31"/>
        <v>1.6892828319631767</v>
      </c>
      <c r="AV14" s="148">
        <f t="shared" si="32"/>
        <v>2.4233836135785438</v>
      </c>
      <c r="AW14" s="148">
        <f t="shared" si="33"/>
        <v>0.84464141598158837</v>
      </c>
      <c r="AX14" s="148">
        <f t="shared" si="34"/>
        <v>2.0779573480080029</v>
      </c>
      <c r="AY14" s="148">
        <f t="shared" si="35"/>
        <v>4.3977933291174667</v>
      </c>
      <c r="AZ14" s="148">
        <f t="shared" si="36"/>
        <v>1.0389786740040015</v>
      </c>
      <c r="BA14" s="148">
        <f t="shared" si="37"/>
        <v>16.994483322793666</v>
      </c>
      <c r="BB14" s="148">
        <f t="shared" si="38"/>
        <v>3.2876042806667978</v>
      </c>
      <c r="BC14" s="148">
        <f t="shared" si="39"/>
        <v>5.4799603108593109</v>
      </c>
      <c r="BD14" s="148">
        <f t="shared" si="40"/>
        <v>1.6438021403333989</v>
      </c>
      <c r="BE14" s="148">
        <f t="shared" si="41"/>
        <v>3.1993946469329568</v>
      </c>
      <c r="BF14" s="148">
        <f t="shared" si="42"/>
        <v>3.8260801963321955</v>
      </c>
      <c r="BG14" s="148">
        <f t="shared" si="43"/>
        <v>14.97213980738122</v>
      </c>
      <c r="BH14" s="148">
        <f t="shared" si="44"/>
        <v>10.978095673963569</v>
      </c>
      <c r="BI14" s="148">
        <f t="shared" si="45"/>
        <v>3.1316704807932734</v>
      </c>
      <c r="BJ14" s="148">
        <f t="shared" si="46"/>
        <v>5.3323244115549278</v>
      </c>
      <c r="BK14" s="148">
        <f t="shared" si="47"/>
        <v>2.902543597217528</v>
      </c>
      <c r="BL14" s="148">
        <f t="shared" si="48"/>
        <v>6.4748981459843868</v>
      </c>
      <c r="BM14" s="148">
        <f t="shared" si="49"/>
        <v>10.684178424121665</v>
      </c>
      <c r="BN14" s="148">
        <f t="shared" si="50"/>
        <v>0.67571313278527056</v>
      </c>
      <c r="BO14" s="148">
        <f t="shared" si="51"/>
        <v>1.97900699810286</v>
      </c>
      <c r="BP14" s="148">
        <f t="shared" si="52"/>
        <v>0.74762486594996935</v>
      </c>
      <c r="BQ14" s="148">
        <f t="shared" si="53"/>
        <v>5.1833174134520679</v>
      </c>
      <c r="BR14" s="148">
        <f t="shared" si="54"/>
        <v>15.710905553112655</v>
      </c>
      <c r="BS14" s="148">
        <f t="shared" si="55"/>
        <v>1.754255248577145</v>
      </c>
      <c r="BT14" s="148">
        <f t="shared" si="56"/>
        <v>3.1224332636734009</v>
      </c>
      <c r="BU14" s="148">
        <f t="shared" si="57"/>
        <v>2.6826539307616546</v>
      </c>
      <c r="BV14" s="148">
        <f t="shared" si="58"/>
        <v>7.7324899118711183</v>
      </c>
      <c r="BW14" s="148">
        <f t="shared" si="59"/>
        <v>13.533887521655382</v>
      </c>
      <c r="BX14" s="148">
        <f t="shared" si="60"/>
        <v>1.5723324820580336</v>
      </c>
      <c r="BY14" s="148">
        <f t="shared" si="61"/>
        <v>3.1224332636734009</v>
      </c>
      <c r="BZ14" s="148">
        <f t="shared" si="62"/>
        <v>2.6826539307616546</v>
      </c>
      <c r="CA14" s="148">
        <f t="shared" si="63"/>
        <v>10.723518976682804</v>
      </c>
      <c r="CB14" s="148">
        <f t="shared" si="64"/>
        <v>10.928062573900331</v>
      </c>
      <c r="CC14" s="148">
        <f t="shared" si="65"/>
        <v>1.9231835317734625</v>
      </c>
      <c r="CD14" s="148">
        <f t="shared" si="66"/>
        <v>6.8997602290542286</v>
      </c>
      <c r="CE14" s="148">
        <f t="shared" si="67"/>
        <v>6.6436844769989927</v>
      </c>
      <c r="CF14" s="148">
        <f t="shared" si="68"/>
        <v>9.9677882214656695</v>
      </c>
      <c r="CG14" s="148">
        <f t="shared" si="69"/>
        <v>6.6436844769989927</v>
      </c>
      <c r="CH14" s="148">
        <f t="shared" si="70"/>
        <v>5.6645631101004543</v>
      </c>
      <c r="CI14" s="148">
        <f t="shared" si="71"/>
        <v>9.7894476689045291</v>
      </c>
      <c r="CJ14" s="148">
        <f t="shared" si="72"/>
        <v>5.6645631101004543</v>
      </c>
      <c r="CK14" s="148">
        <f t="shared" si="73"/>
        <v>4.2486208306984166</v>
      </c>
    </row>
    <row r="15" spans="1:89" x14ac:dyDescent="0.25">
      <c r="A15" t="str">
        <f>PLANTILLA!D16</f>
        <v>E. Gross</v>
      </c>
      <c r="B15" s="430">
        <f>PLANTILLA!E16</f>
        <v>35</v>
      </c>
      <c r="C15" s="430">
        <f ca="1">PLANTILLA!F16</f>
        <v>64</v>
      </c>
      <c r="D15" s="430"/>
      <c r="E15" s="263">
        <v>41552</v>
      </c>
      <c r="F15" s="303">
        <f>PLANTILLA!Q16</f>
        <v>5</v>
      </c>
      <c r="G15" s="354">
        <f t="shared" si="78"/>
        <v>0.84515425472851657</v>
      </c>
      <c r="H15" s="354">
        <f t="shared" si="75"/>
        <v>0.92504826128926143</v>
      </c>
      <c r="I15" s="439">
        <v>1.5</v>
      </c>
      <c r="J15" s="440">
        <f>PLANTILLA!I16</f>
        <v>13.1</v>
      </c>
      <c r="K15" s="152">
        <f>PLANTILLA!X16</f>
        <v>0</v>
      </c>
      <c r="L15" s="152">
        <f>PLANTILLA!Y16</f>
        <v>10.549999999999995</v>
      </c>
      <c r="M15" s="152">
        <f>PLANTILLA!Z16</f>
        <v>12.95</v>
      </c>
      <c r="N15" s="152">
        <f>PLANTILLA!AA16</f>
        <v>4.95</v>
      </c>
      <c r="O15" s="152">
        <f>PLANTILLA!AB16</f>
        <v>8.9499999999999993</v>
      </c>
      <c r="P15" s="152">
        <f>PLANTILLA!AC16</f>
        <v>0.95</v>
      </c>
      <c r="Q15" s="152">
        <f>PLANTILLA!AD16</f>
        <v>17.3</v>
      </c>
      <c r="R15" s="152">
        <f t="shared" si="2"/>
        <v>3.9312499999999995</v>
      </c>
      <c r="S15" s="152">
        <f t="shared" si="3"/>
        <v>10.099226084532321</v>
      </c>
      <c r="T15" s="152">
        <f t="shared" si="4"/>
        <v>0.5665</v>
      </c>
      <c r="U15" s="152">
        <f t="shared" si="5"/>
        <v>0.94099999999999984</v>
      </c>
      <c r="V15" s="152">
        <f t="shared" ca="1" si="6"/>
        <v>16.725344980477871</v>
      </c>
      <c r="W15" s="152">
        <f t="shared" ca="1" si="7"/>
        <v>18.306423007506506</v>
      </c>
      <c r="X15" s="148">
        <f t="shared" si="8"/>
        <v>5.5218037881433082</v>
      </c>
      <c r="Y15" s="148">
        <f t="shared" si="9"/>
        <v>8.3434463235887861</v>
      </c>
      <c r="Z15" s="148">
        <f t="shared" si="10"/>
        <v>5.5218037881433082</v>
      </c>
      <c r="AA15" s="148">
        <f t="shared" si="11"/>
        <v>6.9864826514111638</v>
      </c>
      <c r="AB15" s="148">
        <f t="shared" si="12"/>
        <v>13.539695060874347</v>
      </c>
      <c r="AC15" s="148">
        <f t="shared" si="13"/>
        <v>3.4932413257055819</v>
      </c>
      <c r="AD15" s="148">
        <f t="shared" si="14"/>
        <v>3.7936474244880953</v>
      </c>
      <c r="AE15" s="148">
        <f t="shared" si="15"/>
        <v>5.118004733010503</v>
      </c>
      <c r="AF15" s="148">
        <f t="shared" si="16"/>
        <v>9.7891995290121532</v>
      </c>
      <c r="AG15" s="148">
        <f t="shared" si="17"/>
        <v>2.5590023665052515</v>
      </c>
      <c r="AH15" s="148">
        <f t="shared" si="18"/>
        <v>6.1367825984366258</v>
      </c>
      <c r="AI15" s="148">
        <f t="shared" si="19"/>
        <v>12.456519456004401</v>
      </c>
      <c r="AJ15" s="148">
        <f t="shared" si="20"/>
        <v>5.6054337552019797</v>
      </c>
      <c r="AK15" s="148">
        <f t="shared" si="21"/>
        <v>2.6619290751660167</v>
      </c>
      <c r="AL15" s="148">
        <f t="shared" si="22"/>
        <v>4.6685406957941185</v>
      </c>
      <c r="AM15" s="148">
        <f t="shared" si="23"/>
        <v>10.208930075899257</v>
      </c>
      <c r="AN15" s="148">
        <f t="shared" si="24"/>
        <v>9.5861041030990375</v>
      </c>
      <c r="AO15" s="148">
        <f t="shared" si="25"/>
        <v>3.3883790751660174</v>
      </c>
      <c r="AP15" s="148">
        <f t="shared" si="26"/>
        <v>1.9932321775318131</v>
      </c>
      <c r="AQ15" s="148">
        <f t="shared" si="27"/>
        <v>3.655717666436074</v>
      </c>
      <c r="AR15" s="148">
        <f t="shared" si="28"/>
        <v>8.0425788661593618</v>
      </c>
      <c r="AS15" s="148">
        <f t="shared" si="29"/>
        <v>1.827858833218037</v>
      </c>
      <c r="AT15" s="148">
        <f t="shared" si="30"/>
        <v>15.047072137465387</v>
      </c>
      <c r="AU15" s="148">
        <f t="shared" si="31"/>
        <v>1.5521603579136658</v>
      </c>
      <c r="AV15" s="148">
        <f t="shared" si="32"/>
        <v>2.1143306528361849</v>
      </c>
      <c r="AW15" s="148">
        <f t="shared" si="33"/>
        <v>0.7760801789568329</v>
      </c>
      <c r="AX15" s="148">
        <f t="shared" si="34"/>
        <v>2.5590023665052515</v>
      </c>
      <c r="AY15" s="148">
        <f t="shared" si="35"/>
        <v>5.4158780243497393</v>
      </c>
      <c r="AZ15" s="148">
        <f t="shared" si="36"/>
        <v>1.2795011832526257</v>
      </c>
      <c r="BA15" s="148">
        <f t="shared" si="37"/>
        <v>15.939695060874351</v>
      </c>
      <c r="BB15" s="148">
        <f t="shared" si="38"/>
        <v>3.020742850401211</v>
      </c>
      <c r="BC15" s="148">
        <f t="shared" si="39"/>
        <v>4.8987719785417685</v>
      </c>
      <c r="BD15" s="148">
        <f t="shared" si="40"/>
        <v>1.5103714252006055</v>
      </c>
      <c r="BE15" s="148">
        <f t="shared" si="41"/>
        <v>3.9400512627144346</v>
      </c>
      <c r="BF15" s="148">
        <f t="shared" si="42"/>
        <v>4.7118138811842725</v>
      </c>
      <c r="BG15" s="148">
        <f t="shared" si="43"/>
        <v>14.042871348630303</v>
      </c>
      <c r="BH15" s="148">
        <f t="shared" si="44"/>
        <v>8.3183889091172976</v>
      </c>
      <c r="BI15" s="148">
        <f t="shared" si="45"/>
        <v>2.8774665096707186</v>
      </c>
      <c r="BJ15" s="148">
        <f t="shared" si="46"/>
        <v>6.566752104524058</v>
      </c>
      <c r="BK15" s="148">
        <f t="shared" si="47"/>
        <v>3.5744794960708277</v>
      </c>
      <c r="BL15" s="148">
        <f t="shared" si="48"/>
        <v>6.0730238181931275</v>
      </c>
      <c r="BM15" s="148">
        <f t="shared" si="49"/>
        <v>7.7432934832041838</v>
      </c>
      <c r="BN15" s="148">
        <f t="shared" si="50"/>
        <v>0.62086414316546623</v>
      </c>
      <c r="BO15" s="148">
        <f t="shared" si="51"/>
        <v>2.4371451109573825</v>
      </c>
      <c r="BP15" s="148">
        <f t="shared" si="52"/>
        <v>0.92069926413945569</v>
      </c>
      <c r="BQ15" s="148">
        <f t="shared" si="53"/>
        <v>4.861606993566677</v>
      </c>
      <c r="BR15" s="148">
        <f t="shared" si="54"/>
        <v>11.354447848284416</v>
      </c>
      <c r="BS15" s="148">
        <f t="shared" si="55"/>
        <v>1.6118588332180375</v>
      </c>
      <c r="BT15" s="148">
        <f t="shared" si="56"/>
        <v>3.8452733972883144</v>
      </c>
      <c r="BU15" s="148">
        <f t="shared" si="57"/>
        <v>3.3036855948533406</v>
      </c>
      <c r="BV15" s="148">
        <f t="shared" si="58"/>
        <v>7.2525612526978298</v>
      </c>
      <c r="BW15" s="148">
        <f t="shared" si="59"/>
        <v>9.7731821274487825</v>
      </c>
      <c r="BX15" s="148">
        <f t="shared" si="60"/>
        <v>1.4447031023657964</v>
      </c>
      <c r="BY15" s="148">
        <f t="shared" si="61"/>
        <v>3.8452733972883144</v>
      </c>
      <c r="BZ15" s="148">
        <f t="shared" si="62"/>
        <v>3.3036855948533406</v>
      </c>
      <c r="CA15" s="148">
        <f t="shared" si="63"/>
        <v>10.057947583411716</v>
      </c>
      <c r="CB15" s="148">
        <f t="shared" si="64"/>
        <v>7.8780270794825444</v>
      </c>
      <c r="CC15" s="148">
        <f t="shared" si="65"/>
        <v>1.7670748690094038</v>
      </c>
      <c r="CD15" s="148">
        <f t="shared" si="66"/>
        <v>6.4715161947149866</v>
      </c>
      <c r="CE15" s="148">
        <f t="shared" si="67"/>
        <v>4.6285811267155372</v>
      </c>
      <c r="CF15" s="148">
        <f t="shared" si="68"/>
        <v>8.7800966385445207</v>
      </c>
      <c r="CG15" s="148">
        <f t="shared" si="69"/>
        <v>4.6285811267155372</v>
      </c>
      <c r="CH15" s="148">
        <f t="shared" si="70"/>
        <v>4.3444300229247208</v>
      </c>
      <c r="CI15" s="148">
        <f t="shared" si="71"/>
        <v>8.3454425383369877</v>
      </c>
      <c r="CJ15" s="148">
        <f t="shared" si="72"/>
        <v>4.3444300229247208</v>
      </c>
      <c r="CK15" s="148">
        <f t="shared" si="73"/>
        <v>3.9849237652185878</v>
      </c>
    </row>
    <row r="16" spans="1:89" x14ac:dyDescent="0.25">
      <c r="A16" t="str">
        <f>PLANTILLA!D17</f>
        <v>L. Bauman</v>
      </c>
      <c r="B16" s="430">
        <f>PLANTILLA!E17</f>
        <v>35</v>
      </c>
      <c r="C16" s="430">
        <f ca="1">PLANTILLA!F17</f>
        <v>39</v>
      </c>
      <c r="D16" s="430"/>
      <c r="E16" s="263">
        <v>41686</v>
      </c>
      <c r="F16" s="303">
        <f>PLANTILLA!Q17</f>
        <v>4</v>
      </c>
      <c r="G16" s="354">
        <f t="shared" si="78"/>
        <v>0.7559289460184544</v>
      </c>
      <c r="H16" s="354">
        <f t="shared" si="75"/>
        <v>0.84430867747355465</v>
      </c>
      <c r="I16" s="439">
        <v>1.5</v>
      </c>
      <c r="J16" s="440">
        <f>PLANTILLA!I17</f>
        <v>12</v>
      </c>
      <c r="K16" s="152">
        <f>PLANTILLA!X17</f>
        <v>0</v>
      </c>
      <c r="L16" s="152">
        <f>PLANTILLA!Y17</f>
        <v>5.95</v>
      </c>
      <c r="M16" s="152">
        <f>PLANTILLA!Z17</f>
        <v>14.1</v>
      </c>
      <c r="N16" s="152">
        <f>PLANTILLA!AA17</f>
        <v>2.95</v>
      </c>
      <c r="O16" s="152">
        <f>PLANTILLA!AB17</f>
        <v>8.9499999999999993</v>
      </c>
      <c r="P16" s="152">
        <f>PLANTILLA!AC17</f>
        <v>5.95</v>
      </c>
      <c r="Q16" s="152">
        <f>PLANTILLA!AD17</f>
        <v>17</v>
      </c>
      <c r="R16" s="152">
        <f t="shared" si="2"/>
        <v>3.3562499999999997</v>
      </c>
      <c r="S16" s="152">
        <f t="shared" si="3"/>
        <v>18.121987405020334</v>
      </c>
      <c r="T16" s="152">
        <f t="shared" si="4"/>
        <v>0.80749999999999988</v>
      </c>
      <c r="U16" s="152">
        <f t="shared" si="5"/>
        <v>0.748</v>
      </c>
      <c r="V16" s="152">
        <f t="shared" ca="1" si="6"/>
        <v>14.694433484182397</v>
      </c>
      <c r="W16" s="152">
        <f t="shared" ca="1" si="7"/>
        <v>16.412438981996964</v>
      </c>
      <c r="X16" s="148">
        <f t="shared" si="8"/>
        <v>4.2078669703994356</v>
      </c>
      <c r="Y16" s="148">
        <f t="shared" si="9"/>
        <v>6.322880651529978</v>
      </c>
      <c r="Z16" s="148">
        <f t="shared" si="10"/>
        <v>4.2078669703994356</v>
      </c>
      <c r="AA16" s="148">
        <f t="shared" si="11"/>
        <v>4.5866766972807662</v>
      </c>
      <c r="AB16" s="148">
        <f t="shared" si="12"/>
        <v>8.8889083280635006</v>
      </c>
      <c r="AC16" s="148">
        <f t="shared" si="13"/>
        <v>2.2933383486403831</v>
      </c>
      <c r="AD16" s="148">
        <f t="shared" si="14"/>
        <v>4.0552601820791123</v>
      </c>
      <c r="AE16" s="148">
        <f t="shared" si="15"/>
        <v>3.3600073480080033</v>
      </c>
      <c r="AF16" s="148">
        <f t="shared" si="16"/>
        <v>6.4266807211899106</v>
      </c>
      <c r="AG16" s="148">
        <f t="shared" si="17"/>
        <v>1.6800036740040016</v>
      </c>
      <c r="AH16" s="148">
        <f t="shared" si="18"/>
        <v>6.5599797063044472</v>
      </c>
      <c r="AI16" s="148">
        <f t="shared" si="19"/>
        <v>8.1777956618184202</v>
      </c>
      <c r="AJ16" s="148">
        <f t="shared" si="20"/>
        <v>3.6800080478182893</v>
      </c>
      <c r="AK16" s="148">
        <f t="shared" si="21"/>
        <v>2.8454976907866047</v>
      </c>
      <c r="AL16" s="148">
        <f t="shared" si="22"/>
        <v>3.4626780969013375</v>
      </c>
      <c r="AM16" s="148">
        <f t="shared" si="23"/>
        <v>6.7022368793598792</v>
      </c>
      <c r="AN16" s="148">
        <f t="shared" si="24"/>
        <v>6.2933470962689579</v>
      </c>
      <c r="AO16" s="148">
        <f t="shared" si="25"/>
        <v>3.3297976907866049</v>
      </c>
      <c r="AP16" s="148">
        <f t="shared" si="26"/>
        <v>1.8130055984822875</v>
      </c>
      <c r="AQ16" s="148">
        <f t="shared" si="27"/>
        <v>2.4000052485771453</v>
      </c>
      <c r="AR16" s="148">
        <f t="shared" si="28"/>
        <v>5.2800115468697193</v>
      </c>
      <c r="AS16" s="148">
        <f t="shared" si="29"/>
        <v>1.2000026242885726</v>
      </c>
      <c r="AT16" s="148">
        <f t="shared" si="30"/>
        <v>16.084729461691943</v>
      </c>
      <c r="AU16" s="148">
        <f t="shared" si="31"/>
        <v>1.5455580826482549</v>
      </c>
      <c r="AV16" s="148">
        <f t="shared" si="32"/>
        <v>2.9644501401226053</v>
      </c>
      <c r="AW16" s="148">
        <f t="shared" si="33"/>
        <v>0.77277904132412745</v>
      </c>
      <c r="AX16" s="148">
        <f t="shared" si="34"/>
        <v>1.6800036740040016</v>
      </c>
      <c r="AY16" s="148">
        <f t="shared" si="35"/>
        <v>3.5555633312254002</v>
      </c>
      <c r="AZ16" s="148">
        <f t="shared" si="36"/>
        <v>0.84000183700200082</v>
      </c>
      <c r="BA16" s="148">
        <f t="shared" si="37"/>
        <v>17.038908328063499</v>
      </c>
      <c r="BB16" s="148">
        <f t="shared" si="38"/>
        <v>3.0078938070000651</v>
      </c>
      <c r="BC16" s="148">
        <f t="shared" si="39"/>
        <v>5.9207884887629882</v>
      </c>
      <c r="BD16" s="148">
        <f t="shared" si="40"/>
        <v>1.5039469035000326</v>
      </c>
      <c r="BE16" s="148">
        <f t="shared" si="41"/>
        <v>2.5866723234664786</v>
      </c>
      <c r="BF16" s="148">
        <f t="shared" si="42"/>
        <v>3.0933400981660979</v>
      </c>
      <c r="BG16" s="148">
        <f t="shared" si="43"/>
        <v>15.011278237023943</v>
      </c>
      <c r="BH16" s="148">
        <f t="shared" si="44"/>
        <v>7.1252395036484515</v>
      </c>
      <c r="BI16" s="148">
        <f t="shared" si="45"/>
        <v>2.865226907063303</v>
      </c>
      <c r="BJ16" s="148">
        <f t="shared" si="46"/>
        <v>4.3111205391107976</v>
      </c>
      <c r="BK16" s="148">
        <f t="shared" si="47"/>
        <v>2.3466717986087642</v>
      </c>
      <c r="BL16" s="148">
        <f t="shared" si="48"/>
        <v>6.491824072992193</v>
      </c>
      <c r="BM16" s="148">
        <f t="shared" si="49"/>
        <v>6.3529058787274995</v>
      </c>
      <c r="BN16" s="148">
        <f t="shared" si="50"/>
        <v>0.61822323305930194</v>
      </c>
      <c r="BO16" s="148">
        <f t="shared" si="51"/>
        <v>1.60000349905143</v>
      </c>
      <c r="BP16" s="148">
        <f t="shared" si="52"/>
        <v>0.60444576630831803</v>
      </c>
      <c r="BQ16" s="148">
        <f t="shared" si="53"/>
        <v>5.1968670400593675</v>
      </c>
      <c r="BR16" s="148">
        <f t="shared" si="54"/>
        <v>9.289136109889661</v>
      </c>
      <c r="BS16" s="148">
        <f t="shared" si="55"/>
        <v>1.6050026242885724</v>
      </c>
      <c r="BT16" s="148">
        <f t="shared" si="56"/>
        <v>2.5244499651700338</v>
      </c>
      <c r="BU16" s="148">
        <f t="shared" si="57"/>
        <v>2.1688936320474941</v>
      </c>
      <c r="BV16" s="148">
        <f t="shared" si="58"/>
        <v>7.7527032892688927</v>
      </c>
      <c r="BW16" s="148">
        <f t="shared" si="59"/>
        <v>7.988910427494357</v>
      </c>
      <c r="BX16" s="148">
        <f t="shared" si="60"/>
        <v>1.4385579076956834</v>
      </c>
      <c r="BY16" s="148">
        <f t="shared" si="61"/>
        <v>2.5244499651700338</v>
      </c>
      <c r="BZ16" s="148">
        <f t="shared" si="62"/>
        <v>2.1688936320474941</v>
      </c>
      <c r="CA16" s="148">
        <f t="shared" si="63"/>
        <v>10.751551155008068</v>
      </c>
      <c r="CB16" s="148">
        <f t="shared" si="64"/>
        <v>6.4285729536168326</v>
      </c>
      <c r="CC16" s="148">
        <f t="shared" si="65"/>
        <v>1.7595584325533977</v>
      </c>
      <c r="CD16" s="148">
        <f t="shared" si="66"/>
        <v>6.9177967811937808</v>
      </c>
      <c r="CE16" s="148">
        <f t="shared" si="67"/>
        <v>4.9491212389210837</v>
      </c>
      <c r="CF16" s="148">
        <f t="shared" si="68"/>
        <v>11.637910777399501</v>
      </c>
      <c r="CG16" s="148">
        <f t="shared" si="69"/>
        <v>4.9491212389210837</v>
      </c>
      <c r="CH16" s="148">
        <f t="shared" si="70"/>
        <v>5.1707898883835606</v>
      </c>
      <c r="CI16" s="148">
        <f t="shared" si="71"/>
        <v>13.275915501118931</v>
      </c>
      <c r="CJ16" s="148">
        <f t="shared" si="72"/>
        <v>5.1707898883835606</v>
      </c>
      <c r="CK16" s="148">
        <f t="shared" si="73"/>
        <v>4.2597270820158748</v>
      </c>
    </row>
    <row r="17" spans="1:89" x14ac:dyDescent="0.25">
      <c r="A17" t="str">
        <f>PLANTILLA!D18</f>
        <v>W. Gelifini</v>
      </c>
      <c r="B17" s="430">
        <f>PLANTILLA!E18</f>
        <v>33</v>
      </c>
      <c r="C17" s="430">
        <f ca="1">PLANTILLA!F18</f>
        <v>101</v>
      </c>
      <c r="D17" s="430"/>
      <c r="E17" s="263">
        <v>41737</v>
      </c>
      <c r="F17" s="303">
        <f>PLANTILLA!Q18</f>
        <v>4</v>
      </c>
      <c r="G17" s="354">
        <f t="shared" si="78"/>
        <v>0.7559289460184544</v>
      </c>
      <c r="H17" s="354">
        <f t="shared" si="75"/>
        <v>0.84430867747355465</v>
      </c>
      <c r="I17" s="439">
        <v>1.5</v>
      </c>
      <c r="J17" s="440">
        <f>PLANTILLA!I18</f>
        <v>4.5</v>
      </c>
      <c r="K17" s="152">
        <f>PLANTILLA!X18</f>
        <v>0</v>
      </c>
      <c r="L17" s="152">
        <f>PLANTILLA!Y18</f>
        <v>5.6515555555555519</v>
      </c>
      <c r="M17" s="152">
        <f>PLANTILLA!Z18</f>
        <v>9.9499999999999993</v>
      </c>
      <c r="N17" s="152">
        <f>PLANTILLA!AA18</f>
        <v>6.95</v>
      </c>
      <c r="O17" s="152">
        <f>PLANTILLA!AB18</f>
        <v>9.2666666666666639</v>
      </c>
      <c r="P17" s="152">
        <f>PLANTILLA!AC18</f>
        <v>2.95</v>
      </c>
      <c r="Q17" s="152">
        <f>PLANTILLA!AD18</f>
        <v>12.847222222222223</v>
      </c>
      <c r="R17" s="152">
        <f t="shared" si="2"/>
        <v>3.3981111111111098</v>
      </c>
      <c r="S17" s="152">
        <f t="shared" si="3"/>
        <v>9.6027717628135694</v>
      </c>
      <c r="T17" s="152">
        <f t="shared" si="4"/>
        <v>0.53291666666666671</v>
      </c>
      <c r="U17" s="152">
        <f t="shared" si="5"/>
        <v>0.61147888888888879</v>
      </c>
      <c r="V17" s="152">
        <f t="shared" ca="1" si="6"/>
        <v>11.125892429146779</v>
      </c>
      <c r="W17" s="152">
        <f t="shared" ca="1" si="7"/>
        <v>12.426680539279978</v>
      </c>
      <c r="X17" s="148">
        <f t="shared" si="8"/>
        <v>3.6296686993678327</v>
      </c>
      <c r="Y17" s="148">
        <f t="shared" si="9"/>
        <v>5.4628075848230679</v>
      </c>
      <c r="Z17" s="148">
        <f t="shared" si="10"/>
        <v>3.6296686993678327</v>
      </c>
      <c r="AA17" s="148">
        <f t="shared" si="11"/>
        <v>4.1396128761441018</v>
      </c>
      <c r="AB17" s="148">
        <f t="shared" si="12"/>
        <v>8.0225055739226772</v>
      </c>
      <c r="AC17" s="148">
        <f t="shared" si="13"/>
        <v>2.0698064380720509</v>
      </c>
      <c r="AD17" s="148">
        <f t="shared" si="14"/>
        <v>2.9323861043713757</v>
      </c>
      <c r="AE17" s="148">
        <f t="shared" si="15"/>
        <v>3.0325071069427718</v>
      </c>
      <c r="AF17" s="148">
        <f t="shared" si="16"/>
        <v>5.8002715299460954</v>
      </c>
      <c r="AG17" s="148">
        <f t="shared" si="17"/>
        <v>1.5162535534713859</v>
      </c>
      <c r="AH17" s="148">
        <f t="shared" si="18"/>
        <v>4.7435657570713428</v>
      </c>
      <c r="AI17" s="148">
        <f t="shared" si="19"/>
        <v>7.3807051280088629</v>
      </c>
      <c r="AJ17" s="148">
        <f t="shared" si="20"/>
        <v>3.3213173076039881</v>
      </c>
      <c r="AK17" s="148">
        <f t="shared" si="21"/>
        <v>2.05759865306731</v>
      </c>
      <c r="AL17" s="148">
        <f t="shared" si="22"/>
        <v>5.4807186107998689</v>
      </c>
      <c r="AM17" s="148">
        <f t="shared" si="23"/>
        <v>6.0489692027376982</v>
      </c>
      <c r="AN17" s="148">
        <f t="shared" si="24"/>
        <v>5.6799339463372549</v>
      </c>
      <c r="AO17" s="148">
        <f t="shared" si="25"/>
        <v>2.5414347641784212</v>
      </c>
      <c r="AP17" s="148">
        <f t="shared" si="26"/>
        <v>1.6614896052897317</v>
      </c>
      <c r="AQ17" s="148">
        <f t="shared" si="27"/>
        <v>2.1660765049591229</v>
      </c>
      <c r="AR17" s="148">
        <f t="shared" si="28"/>
        <v>4.7653683109100697</v>
      </c>
      <c r="AS17" s="148">
        <f t="shared" si="29"/>
        <v>1.0830382524795614</v>
      </c>
      <c r="AT17" s="148">
        <f t="shared" si="30"/>
        <v>11.630976817338565</v>
      </c>
      <c r="AU17" s="148">
        <f t="shared" si="31"/>
        <v>1.5128901690543926</v>
      </c>
      <c r="AV17" s="148">
        <f t="shared" si="32"/>
        <v>2.3170383553815674</v>
      </c>
      <c r="AW17" s="148">
        <f t="shared" si="33"/>
        <v>0.75644508452719628</v>
      </c>
      <c r="AX17" s="148">
        <f t="shared" si="34"/>
        <v>1.5162535534713859</v>
      </c>
      <c r="AY17" s="148">
        <f t="shared" si="35"/>
        <v>3.2090022295690712</v>
      </c>
      <c r="AZ17" s="148">
        <f t="shared" si="36"/>
        <v>0.75812677673569295</v>
      </c>
      <c r="BA17" s="148">
        <f t="shared" si="37"/>
        <v>12.320950018367125</v>
      </c>
      <c r="BB17" s="148">
        <f t="shared" si="38"/>
        <v>2.9443170213135486</v>
      </c>
      <c r="BC17" s="148">
        <f t="shared" si="39"/>
        <v>5.0858267934536183</v>
      </c>
      <c r="BD17" s="148">
        <f t="shared" si="40"/>
        <v>1.4721585106567743</v>
      </c>
      <c r="BE17" s="148">
        <f t="shared" si="41"/>
        <v>2.3345491220114991</v>
      </c>
      <c r="BF17" s="148">
        <f t="shared" si="42"/>
        <v>2.7918319397250912</v>
      </c>
      <c r="BG17" s="148">
        <f t="shared" si="43"/>
        <v>10.854756966181437</v>
      </c>
      <c r="BH17" s="148">
        <f t="shared" si="44"/>
        <v>9.0160745663283723</v>
      </c>
      <c r="BI17" s="148">
        <f t="shared" si="45"/>
        <v>2.8046656210931431</v>
      </c>
      <c r="BJ17" s="148">
        <f t="shared" si="46"/>
        <v>3.8909152033524985</v>
      </c>
      <c r="BK17" s="148">
        <f t="shared" si="47"/>
        <v>2.1179414715155866</v>
      </c>
      <c r="BL17" s="148">
        <f t="shared" si="48"/>
        <v>4.6942819569978749</v>
      </c>
      <c r="BM17" s="148">
        <f t="shared" si="49"/>
        <v>8.6121603160528668</v>
      </c>
      <c r="BN17" s="148">
        <f t="shared" si="50"/>
        <v>0.605156067621757</v>
      </c>
      <c r="BO17" s="148">
        <f t="shared" si="51"/>
        <v>1.4440510033060818</v>
      </c>
      <c r="BP17" s="148">
        <f t="shared" si="52"/>
        <v>0.54553037902674206</v>
      </c>
      <c r="BQ17" s="148">
        <f t="shared" si="53"/>
        <v>3.757889755601973</v>
      </c>
      <c r="BR17" s="148">
        <f t="shared" si="54"/>
        <v>12.649308390286787</v>
      </c>
      <c r="BS17" s="148">
        <f t="shared" si="55"/>
        <v>1.5710782524795617</v>
      </c>
      <c r="BT17" s="148">
        <f t="shared" si="56"/>
        <v>2.2783915829940402</v>
      </c>
      <c r="BU17" s="148">
        <f t="shared" si="57"/>
        <v>1.9574913600371331</v>
      </c>
      <c r="BV17" s="148">
        <f t="shared" si="58"/>
        <v>5.6060322583570414</v>
      </c>
      <c r="BW17" s="148">
        <f t="shared" si="59"/>
        <v>10.89287928701744</v>
      </c>
      <c r="BX17" s="148">
        <f t="shared" si="60"/>
        <v>1.4081516188890884</v>
      </c>
      <c r="BY17" s="148">
        <f t="shared" si="61"/>
        <v>2.2783915829940402</v>
      </c>
      <c r="BZ17" s="148">
        <f t="shared" si="62"/>
        <v>1.9574913600371331</v>
      </c>
      <c r="CA17" s="148">
        <f t="shared" si="63"/>
        <v>7.774519461589656</v>
      </c>
      <c r="CB17" s="148">
        <f t="shared" si="64"/>
        <v>8.7893669331052422</v>
      </c>
      <c r="CC17" s="148">
        <f t="shared" si="65"/>
        <v>1.7223672693850007</v>
      </c>
      <c r="CD17" s="148">
        <f t="shared" si="66"/>
        <v>5.0023057074570527</v>
      </c>
      <c r="CE17" s="148">
        <f t="shared" si="67"/>
        <v>4.9273816262359373</v>
      </c>
      <c r="CF17" s="148">
        <f t="shared" si="68"/>
        <v>9.4213397206813809</v>
      </c>
      <c r="CG17" s="148">
        <f t="shared" si="69"/>
        <v>4.9273816262359373</v>
      </c>
      <c r="CH17" s="148">
        <f t="shared" si="70"/>
        <v>4.9659185281093858</v>
      </c>
      <c r="CI17" s="148">
        <f t="shared" si="71"/>
        <v>9.6152305751445937</v>
      </c>
      <c r="CJ17" s="148">
        <f t="shared" si="72"/>
        <v>4.9659185281093858</v>
      </c>
      <c r="CK17" s="148">
        <f t="shared" si="73"/>
        <v>3.0802375045917811</v>
      </c>
    </row>
    <row r="18" spans="1:89" x14ac:dyDescent="0.25">
      <c r="A18" t="e">
        <f>PLANTILLA!#REF!</f>
        <v>#REF!</v>
      </c>
      <c r="B18" s="430" t="e">
        <f>PLANTILLA!#REF!</f>
        <v>#REF!</v>
      </c>
      <c r="C18" s="430" t="e">
        <f>PLANTILLA!#REF!</f>
        <v>#REF!</v>
      </c>
      <c r="D18" s="430" t="e">
        <f>PLANTILLA!#REF!</f>
        <v>#REF!</v>
      </c>
      <c r="E18" s="263">
        <v>41730</v>
      </c>
      <c r="F18" s="303" t="e">
        <f>PLANTILLA!#REF!</f>
        <v>#REF!</v>
      </c>
      <c r="G18" s="354" t="e">
        <f t="shared" si="78"/>
        <v>#REF!</v>
      </c>
      <c r="H18" s="354" t="e">
        <f t="shared" si="75"/>
        <v>#REF!</v>
      </c>
      <c r="I18" s="439">
        <v>1.5</v>
      </c>
      <c r="J18" s="440" t="e">
        <f>PLANTILLA!#REF!</f>
        <v>#REF!</v>
      </c>
      <c r="K18" s="152" t="e">
        <f>PLANTILLA!#REF!</f>
        <v>#REF!</v>
      </c>
      <c r="L18" s="152" t="e">
        <f>PLANTILLA!#REF!</f>
        <v>#REF!</v>
      </c>
      <c r="M18" s="152" t="e">
        <f>PLANTILLA!#REF!</f>
        <v>#REF!</v>
      </c>
      <c r="N18" s="152" t="e">
        <f>PLANTILLA!#REF!</f>
        <v>#REF!</v>
      </c>
      <c r="O18" s="152" t="e">
        <f>PLANTILLA!#REF!</f>
        <v>#REF!</v>
      </c>
      <c r="P18" s="152" t="e">
        <f>PLANTILLA!#REF!</f>
        <v>#REF!</v>
      </c>
      <c r="Q18" s="152" t="e">
        <f>PLANTILLA!#REF!</f>
        <v>#REF!</v>
      </c>
      <c r="R18" s="152" t="e">
        <f t="shared" si="2"/>
        <v>#REF!</v>
      </c>
      <c r="S18" s="152" t="e">
        <f t="shared" si="3"/>
        <v>#REF!</v>
      </c>
      <c r="T18" s="152" t="e">
        <f t="shared" si="4"/>
        <v>#REF!</v>
      </c>
      <c r="U18" s="152" t="e">
        <f t="shared" si="5"/>
        <v>#REF!</v>
      </c>
      <c r="V18" s="152" t="e">
        <f t="shared" ca="1" si="6"/>
        <v>#REF!</v>
      </c>
      <c r="W18" s="152" t="e">
        <f t="shared" ca="1" si="7"/>
        <v>#REF!</v>
      </c>
      <c r="X18" s="148" t="e">
        <f t="shared" si="8"/>
        <v>#REF!</v>
      </c>
      <c r="Y18" s="148" t="e">
        <f t="shared" si="9"/>
        <v>#REF!</v>
      </c>
      <c r="Z18" s="148" t="e">
        <f t="shared" si="10"/>
        <v>#REF!</v>
      </c>
      <c r="AA18" s="148" t="e">
        <f t="shared" si="11"/>
        <v>#REF!</v>
      </c>
      <c r="AB18" s="148" t="e">
        <f t="shared" si="12"/>
        <v>#REF!</v>
      </c>
      <c r="AC18" s="148" t="e">
        <f t="shared" si="13"/>
        <v>#REF!</v>
      </c>
      <c r="AD18" s="148" t="e">
        <f t="shared" si="14"/>
        <v>#REF!</v>
      </c>
      <c r="AE18" s="148" t="e">
        <f t="shared" si="15"/>
        <v>#REF!</v>
      </c>
      <c r="AF18" s="148" t="e">
        <f t="shared" si="16"/>
        <v>#REF!</v>
      </c>
      <c r="AG18" s="148" t="e">
        <f t="shared" si="17"/>
        <v>#REF!</v>
      </c>
      <c r="AH18" s="148" t="e">
        <f t="shared" si="18"/>
        <v>#REF!</v>
      </c>
      <c r="AI18" s="148" t="e">
        <f t="shared" si="19"/>
        <v>#REF!</v>
      </c>
      <c r="AJ18" s="148" t="e">
        <f t="shared" si="20"/>
        <v>#REF!</v>
      </c>
      <c r="AK18" s="148" t="e">
        <f t="shared" si="21"/>
        <v>#REF!</v>
      </c>
      <c r="AL18" s="148" t="e">
        <f t="shared" si="22"/>
        <v>#REF!</v>
      </c>
      <c r="AM18" s="148" t="e">
        <f t="shared" si="23"/>
        <v>#REF!</v>
      </c>
      <c r="AN18" s="148" t="e">
        <f t="shared" si="24"/>
        <v>#REF!</v>
      </c>
      <c r="AO18" s="148" t="e">
        <f t="shared" si="25"/>
        <v>#REF!</v>
      </c>
      <c r="AP18" s="148" t="e">
        <f t="shared" si="26"/>
        <v>#REF!</v>
      </c>
      <c r="AQ18" s="148" t="e">
        <f t="shared" si="27"/>
        <v>#REF!</v>
      </c>
      <c r="AR18" s="148" t="e">
        <f t="shared" si="28"/>
        <v>#REF!</v>
      </c>
      <c r="AS18" s="148" t="e">
        <f t="shared" si="29"/>
        <v>#REF!</v>
      </c>
      <c r="AT18" s="148" t="e">
        <f t="shared" si="30"/>
        <v>#REF!</v>
      </c>
      <c r="AU18" s="148" t="e">
        <f t="shared" si="31"/>
        <v>#REF!</v>
      </c>
      <c r="AV18" s="148" t="e">
        <f t="shared" si="32"/>
        <v>#REF!</v>
      </c>
      <c r="AW18" s="148" t="e">
        <f t="shared" si="33"/>
        <v>#REF!</v>
      </c>
      <c r="AX18" s="148" t="e">
        <f t="shared" si="34"/>
        <v>#REF!</v>
      </c>
      <c r="AY18" s="148" t="e">
        <f t="shared" si="35"/>
        <v>#REF!</v>
      </c>
      <c r="AZ18" s="148" t="e">
        <f t="shared" si="36"/>
        <v>#REF!</v>
      </c>
      <c r="BA18" s="148" t="e">
        <f t="shared" si="37"/>
        <v>#REF!</v>
      </c>
      <c r="BB18" s="148" t="e">
        <f t="shared" si="38"/>
        <v>#REF!</v>
      </c>
      <c r="BC18" s="148" t="e">
        <f t="shared" si="39"/>
        <v>#REF!</v>
      </c>
      <c r="BD18" s="148" t="e">
        <f t="shared" si="40"/>
        <v>#REF!</v>
      </c>
      <c r="BE18" s="148" t="e">
        <f t="shared" si="41"/>
        <v>#REF!</v>
      </c>
      <c r="BF18" s="148" t="e">
        <f t="shared" si="42"/>
        <v>#REF!</v>
      </c>
      <c r="BG18" s="148" t="e">
        <f t="shared" si="43"/>
        <v>#REF!</v>
      </c>
      <c r="BH18" s="148" t="e">
        <f t="shared" si="44"/>
        <v>#REF!</v>
      </c>
      <c r="BI18" s="148" t="e">
        <f t="shared" si="45"/>
        <v>#REF!</v>
      </c>
      <c r="BJ18" s="148" t="e">
        <f t="shared" si="46"/>
        <v>#REF!</v>
      </c>
      <c r="BK18" s="148" t="e">
        <f t="shared" si="47"/>
        <v>#REF!</v>
      </c>
      <c r="BL18" s="148" t="e">
        <f t="shared" si="48"/>
        <v>#REF!</v>
      </c>
      <c r="BM18" s="148" t="e">
        <f t="shared" si="49"/>
        <v>#REF!</v>
      </c>
      <c r="BN18" s="148" t="e">
        <f t="shared" si="50"/>
        <v>#REF!</v>
      </c>
      <c r="BO18" s="148" t="e">
        <f t="shared" si="51"/>
        <v>#REF!</v>
      </c>
      <c r="BP18" s="148" t="e">
        <f t="shared" si="52"/>
        <v>#REF!</v>
      </c>
      <c r="BQ18" s="148" t="e">
        <f t="shared" si="53"/>
        <v>#REF!</v>
      </c>
      <c r="BR18" s="148" t="e">
        <f t="shared" si="54"/>
        <v>#REF!</v>
      </c>
      <c r="BS18" s="148" t="e">
        <f t="shared" si="55"/>
        <v>#REF!</v>
      </c>
      <c r="BT18" s="148" t="e">
        <f t="shared" si="56"/>
        <v>#REF!</v>
      </c>
      <c r="BU18" s="148" t="e">
        <f t="shared" si="57"/>
        <v>#REF!</v>
      </c>
      <c r="BV18" s="148" t="e">
        <f t="shared" si="58"/>
        <v>#REF!</v>
      </c>
      <c r="BW18" s="148" t="e">
        <f t="shared" si="59"/>
        <v>#REF!</v>
      </c>
      <c r="BX18" s="148" t="e">
        <f t="shared" si="60"/>
        <v>#REF!</v>
      </c>
      <c r="BY18" s="148" t="e">
        <f t="shared" si="61"/>
        <v>#REF!</v>
      </c>
      <c r="BZ18" s="148" t="e">
        <f t="shared" si="62"/>
        <v>#REF!</v>
      </c>
      <c r="CA18" s="148" t="e">
        <f t="shared" si="63"/>
        <v>#REF!</v>
      </c>
      <c r="CB18" s="148" t="e">
        <f t="shared" si="64"/>
        <v>#REF!</v>
      </c>
      <c r="CC18" s="148" t="e">
        <f t="shared" si="65"/>
        <v>#REF!</v>
      </c>
      <c r="CD18" s="148" t="e">
        <f t="shared" si="66"/>
        <v>#REF!</v>
      </c>
      <c r="CE18" s="148" t="e">
        <f t="shared" si="67"/>
        <v>#REF!</v>
      </c>
      <c r="CF18" s="148" t="e">
        <f t="shared" si="68"/>
        <v>#REF!</v>
      </c>
      <c r="CG18" s="148" t="e">
        <f t="shared" si="69"/>
        <v>#REF!</v>
      </c>
      <c r="CH18" s="148" t="e">
        <f t="shared" si="70"/>
        <v>#REF!</v>
      </c>
      <c r="CI18" s="148" t="e">
        <f t="shared" si="71"/>
        <v>#REF!</v>
      </c>
      <c r="CJ18" s="148" t="e">
        <f t="shared" si="72"/>
        <v>#REF!</v>
      </c>
      <c r="CK18" s="148" t="e">
        <f t="shared" si="73"/>
        <v>#REF!</v>
      </c>
    </row>
    <row r="19" spans="1:89" x14ac:dyDescent="0.25">
      <c r="A19" t="str">
        <f>PLANTILLA!D20</f>
        <v>J. Limon</v>
      </c>
      <c r="B19" s="430">
        <f>PLANTILLA!E20</f>
        <v>34</v>
      </c>
      <c r="C19" s="430">
        <f ca="1">PLANTILLA!F20</f>
        <v>76</v>
      </c>
      <c r="D19" s="430" t="str">
        <f>PLANTILLA!G20</f>
        <v>RAP</v>
      </c>
      <c r="E19" s="263">
        <v>41664</v>
      </c>
      <c r="F19" s="303">
        <f>PLANTILLA!Q20</f>
        <v>4</v>
      </c>
      <c r="G19" s="354">
        <f t="shared" si="78"/>
        <v>0.7559289460184544</v>
      </c>
      <c r="H19" s="354">
        <f t="shared" si="75"/>
        <v>0.84430867747355465</v>
      </c>
      <c r="I19" s="439">
        <v>1.5</v>
      </c>
      <c r="J19" s="440">
        <f>PLANTILLA!I20</f>
        <v>14.3</v>
      </c>
      <c r="K19" s="152">
        <f>PLANTILLA!X20</f>
        <v>0</v>
      </c>
      <c r="L19" s="152">
        <f>PLANTILLA!Y20</f>
        <v>6.8376190476190493</v>
      </c>
      <c r="M19" s="152">
        <f>PLANTILLA!Z20</f>
        <v>8.9499999999999993</v>
      </c>
      <c r="N19" s="152">
        <f>PLANTILLA!AA20</f>
        <v>8.7399999999999967</v>
      </c>
      <c r="O19" s="152">
        <f>PLANTILLA!AB20</f>
        <v>9.9499999999999993</v>
      </c>
      <c r="P19" s="152">
        <f>PLANTILLA!AC20</f>
        <v>7.95</v>
      </c>
      <c r="Q19" s="152">
        <f>PLANTILLA!AD20</f>
        <v>18.999999999999993</v>
      </c>
      <c r="R19" s="152">
        <f t="shared" si="2"/>
        <v>3.7172023809523811</v>
      </c>
      <c r="S19" s="152">
        <f t="shared" si="3"/>
        <v>22.766390190397047</v>
      </c>
      <c r="T19" s="152">
        <f t="shared" si="4"/>
        <v>0.96749999999999969</v>
      </c>
      <c r="U19" s="152">
        <f t="shared" si="5"/>
        <v>0.84350476190476176</v>
      </c>
      <c r="V19" s="152">
        <f t="shared" ca="1" si="6"/>
        <v>16.28304819116655</v>
      </c>
      <c r="W19" s="152">
        <f t="shared" ca="1" si="7"/>
        <v>18.18678720524397</v>
      </c>
      <c r="X19" s="148">
        <f t="shared" si="8"/>
        <v>4.5414940047521899</v>
      </c>
      <c r="Y19" s="148">
        <f t="shared" si="9"/>
        <v>6.8312065277279563</v>
      </c>
      <c r="Z19" s="148">
        <f t="shared" si="10"/>
        <v>4.5414940047521899</v>
      </c>
      <c r="AA19" s="148">
        <f t="shared" si="11"/>
        <v>5.0970826223473926</v>
      </c>
      <c r="AB19" s="148">
        <f t="shared" si="12"/>
        <v>9.8780670975724654</v>
      </c>
      <c r="AC19" s="148">
        <f t="shared" si="13"/>
        <v>2.5485413111736963</v>
      </c>
      <c r="AD19" s="148">
        <f t="shared" si="14"/>
        <v>2.8537266358889126</v>
      </c>
      <c r="AE19" s="148">
        <f t="shared" si="15"/>
        <v>3.7339093628823918</v>
      </c>
      <c r="AF19" s="148">
        <f t="shared" si="16"/>
        <v>7.1418425115448922</v>
      </c>
      <c r="AG19" s="148">
        <f t="shared" si="17"/>
        <v>1.8669546814411959</v>
      </c>
      <c r="AH19" s="148">
        <f t="shared" si="18"/>
        <v>4.6163224992320648</v>
      </c>
      <c r="AI19" s="148">
        <f t="shared" si="19"/>
        <v>9.0878217297666684</v>
      </c>
      <c r="AJ19" s="148">
        <f t="shared" si="20"/>
        <v>4.0895197783950001</v>
      </c>
      <c r="AK19" s="148">
        <f t="shared" si="21"/>
        <v>2.0024048243422206</v>
      </c>
      <c r="AL19" s="148">
        <f t="shared" si="22"/>
        <v>6.9269034533726055</v>
      </c>
      <c r="AM19" s="148">
        <f t="shared" si="23"/>
        <v>7.4480625915696388</v>
      </c>
      <c r="AN19" s="148">
        <f t="shared" si="24"/>
        <v>6.9936715050813048</v>
      </c>
      <c r="AO19" s="148">
        <f t="shared" si="25"/>
        <v>3.6807548243422192</v>
      </c>
      <c r="AP19" s="148">
        <f t="shared" si="26"/>
        <v>1.9462033241008694</v>
      </c>
      <c r="AQ19" s="148">
        <f t="shared" si="27"/>
        <v>2.667078116344566</v>
      </c>
      <c r="AR19" s="148">
        <f t="shared" si="28"/>
        <v>5.8675718559580439</v>
      </c>
      <c r="AS19" s="148">
        <f t="shared" si="29"/>
        <v>1.333539058172283</v>
      </c>
      <c r="AT19" s="148">
        <f t="shared" si="30"/>
        <v>11.318982959156022</v>
      </c>
      <c r="AU19" s="148">
        <f t="shared" si="31"/>
        <v>1.6887582464939439</v>
      </c>
      <c r="AV19" s="148">
        <f t="shared" si="32"/>
        <v>3.4602012786363501</v>
      </c>
      <c r="AW19" s="148">
        <f t="shared" si="33"/>
        <v>0.84437912324697195</v>
      </c>
      <c r="AX19" s="148">
        <f t="shared" si="34"/>
        <v>1.8669546814411959</v>
      </c>
      <c r="AY19" s="148">
        <f t="shared" si="35"/>
        <v>3.9512268390289864</v>
      </c>
      <c r="AZ19" s="148">
        <f t="shared" si="36"/>
        <v>0.93347734072059796</v>
      </c>
      <c r="BA19" s="148">
        <f t="shared" si="37"/>
        <v>11.990448049953415</v>
      </c>
      <c r="BB19" s="148">
        <f t="shared" si="38"/>
        <v>3.2865833566382139</v>
      </c>
      <c r="BC19" s="148">
        <f t="shared" si="39"/>
        <v>6.7377368755243321</v>
      </c>
      <c r="BD19" s="148">
        <f t="shared" si="40"/>
        <v>1.6432916783191069</v>
      </c>
      <c r="BE19" s="148">
        <f t="shared" si="41"/>
        <v>2.8745175253935873</v>
      </c>
      <c r="BF19" s="148">
        <f t="shared" si="42"/>
        <v>3.4375673499552177</v>
      </c>
      <c r="BG19" s="148">
        <f t="shared" si="43"/>
        <v>10.563584732008959</v>
      </c>
      <c r="BH19" s="148">
        <f t="shared" si="44"/>
        <v>10.853968316408583</v>
      </c>
      <c r="BI19" s="148">
        <f t="shared" si="45"/>
        <v>3.1306979800387729</v>
      </c>
      <c r="BJ19" s="148">
        <f t="shared" si="46"/>
        <v>4.7908625423226452</v>
      </c>
      <c r="BK19" s="148">
        <f t="shared" si="47"/>
        <v>2.607809713759131</v>
      </c>
      <c r="BL19" s="148">
        <f t="shared" si="48"/>
        <v>4.5683607070322507</v>
      </c>
      <c r="BM19" s="148">
        <f t="shared" si="49"/>
        <v>10.539321595659283</v>
      </c>
      <c r="BN19" s="148">
        <f t="shared" si="50"/>
        <v>0.67550329859757752</v>
      </c>
      <c r="BO19" s="148">
        <f t="shared" si="51"/>
        <v>1.7780520775630437</v>
      </c>
      <c r="BP19" s="148">
        <f t="shared" si="52"/>
        <v>0.67170856263492773</v>
      </c>
      <c r="BQ19" s="148">
        <f t="shared" si="53"/>
        <v>3.6570866552357915</v>
      </c>
      <c r="BR19" s="148">
        <f t="shared" si="54"/>
        <v>15.495716192240089</v>
      </c>
      <c r="BS19" s="148">
        <f t="shared" si="55"/>
        <v>1.753710486743711</v>
      </c>
      <c r="BT19" s="148">
        <f t="shared" si="56"/>
        <v>2.8053710557105798</v>
      </c>
      <c r="BU19" s="148">
        <f t="shared" si="57"/>
        <v>2.4102483718076817</v>
      </c>
      <c r="BV19" s="148">
        <f t="shared" si="58"/>
        <v>5.4556538627288038</v>
      </c>
      <c r="BW19" s="148">
        <f t="shared" si="59"/>
        <v>13.347976439348383</v>
      </c>
      <c r="BX19" s="148">
        <f t="shared" si="60"/>
        <v>1.5718442140443631</v>
      </c>
      <c r="BY19" s="148">
        <f t="shared" si="61"/>
        <v>2.8053710557105798</v>
      </c>
      <c r="BZ19" s="148">
        <f t="shared" si="62"/>
        <v>2.4102483718076817</v>
      </c>
      <c r="CA19" s="148">
        <f t="shared" si="63"/>
        <v>7.5659727195206044</v>
      </c>
      <c r="CB19" s="148">
        <f t="shared" si="64"/>
        <v>10.777031004708304</v>
      </c>
      <c r="CC19" s="148">
        <f t="shared" si="65"/>
        <v>1.9225863113931052</v>
      </c>
      <c r="CD19" s="148">
        <f t="shared" si="66"/>
        <v>4.8681219082810863</v>
      </c>
      <c r="CE19" s="148">
        <f t="shared" si="67"/>
        <v>6.339783434025728</v>
      </c>
      <c r="CF19" s="148">
        <f t="shared" si="68"/>
        <v>13.461244504247546</v>
      </c>
      <c r="CG19" s="148">
        <f t="shared" si="69"/>
        <v>6.339783434025728</v>
      </c>
      <c r="CH19" s="148">
        <f t="shared" si="70"/>
        <v>7.1756391351209761</v>
      </c>
      <c r="CI19" s="148">
        <f t="shared" si="71"/>
        <v>15.783923380386224</v>
      </c>
      <c r="CJ19" s="148">
        <f t="shared" si="72"/>
        <v>7.1756391351209761</v>
      </c>
      <c r="CK19" s="148">
        <f t="shared" si="73"/>
        <v>2.9976120124883536</v>
      </c>
    </row>
    <row r="20" spans="1:89" x14ac:dyDescent="0.25">
      <c r="A20" t="str">
        <f>PLANTILLA!D21</f>
        <v>L. Calosso</v>
      </c>
      <c r="B20" s="430">
        <f>PLANTILLA!E21</f>
        <v>35</v>
      </c>
      <c r="C20" s="430">
        <f ca="1">PLANTILLA!F21</f>
        <v>33</v>
      </c>
      <c r="D20" s="430" t="str">
        <f>PLANTILLA!G21</f>
        <v>TEC</v>
      </c>
      <c r="E20" s="263">
        <v>41890</v>
      </c>
      <c r="F20" s="303">
        <f>PLANTILLA!Q21</f>
        <v>5</v>
      </c>
      <c r="G20" s="354">
        <f t="shared" si="78"/>
        <v>0.84515425472851657</v>
      </c>
      <c r="H20" s="354">
        <f t="shared" si="75"/>
        <v>0.92504826128926143</v>
      </c>
      <c r="I20" s="439">
        <v>1.5</v>
      </c>
      <c r="J20" s="440">
        <f>PLANTILLA!I21</f>
        <v>15.4</v>
      </c>
      <c r="K20" s="152">
        <f>PLANTILLA!X21</f>
        <v>0</v>
      </c>
      <c r="L20" s="152">
        <f>PLANTILLA!Y21</f>
        <v>2.95</v>
      </c>
      <c r="M20" s="152">
        <f>PLANTILLA!Z21</f>
        <v>13.95</v>
      </c>
      <c r="N20" s="152">
        <f>PLANTILLA!AA21</f>
        <v>2.95</v>
      </c>
      <c r="O20" s="152">
        <f>PLANTILLA!AB21</f>
        <v>14.95</v>
      </c>
      <c r="P20" s="152">
        <f>PLANTILLA!AC21</f>
        <v>8.9499999999999993</v>
      </c>
      <c r="Q20" s="152">
        <f>PLANTILLA!AD21</f>
        <v>11.25</v>
      </c>
      <c r="R20" s="152">
        <f t="shared" si="2"/>
        <v>4.4812500000000002</v>
      </c>
      <c r="S20" s="152">
        <f t="shared" si="3"/>
        <v>20.258727724064777</v>
      </c>
      <c r="T20" s="152">
        <f t="shared" si="4"/>
        <v>0.78499999999999992</v>
      </c>
      <c r="U20" s="152">
        <f t="shared" si="5"/>
        <v>0.45549999999999996</v>
      </c>
      <c r="V20" s="152">
        <f t="shared" ca="1" si="6"/>
        <v>11.691323873481943</v>
      </c>
      <c r="W20" s="152">
        <f t="shared" ca="1" si="7"/>
        <v>12.79652650486644</v>
      </c>
      <c r="X20" s="148">
        <f t="shared" si="8"/>
        <v>3.5059741190536431</v>
      </c>
      <c r="Y20" s="148">
        <f t="shared" si="9"/>
        <v>5.2343690007998322</v>
      </c>
      <c r="Z20" s="148">
        <f t="shared" si="10"/>
        <v>3.5059741190536431</v>
      </c>
      <c r="AA20" s="148">
        <f t="shared" si="11"/>
        <v>3.1132142559354867</v>
      </c>
      <c r="AB20" s="148">
        <f t="shared" si="12"/>
        <v>6.0333609611152843</v>
      </c>
      <c r="AC20" s="148">
        <f t="shared" si="13"/>
        <v>1.5566071279677434</v>
      </c>
      <c r="AD20" s="148">
        <f t="shared" si="14"/>
        <v>4.0539399087454377</v>
      </c>
      <c r="AE20" s="148">
        <f t="shared" si="15"/>
        <v>2.2806104433015775</v>
      </c>
      <c r="AF20" s="148">
        <f t="shared" si="16"/>
        <v>4.3621199748863502</v>
      </c>
      <c r="AG20" s="148">
        <f t="shared" si="17"/>
        <v>1.1403052216507887</v>
      </c>
      <c r="AH20" s="148">
        <f t="shared" si="18"/>
        <v>6.5578439700293849</v>
      </c>
      <c r="AI20" s="148">
        <f t="shared" si="19"/>
        <v>5.5506920842260614</v>
      </c>
      <c r="AJ20" s="148">
        <f t="shared" si="20"/>
        <v>2.4978114379017278</v>
      </c>
      <c r="AK20" s="148">
        <f t="shared" si="21"/>
        <v>2.8445712805062526</v>
      </c>
      <c r="AL20" s="148">
        <f t="shared" si="22"/>
        <v>3.5476162451357869</v>
      </c>
      <c r="AM20" s="148">
        <f t="shared" si="23"/>
        <v>4.5491541646809246</v>
      </c>
      <c r="AN20" s="148">
        <f t="shared" si="24"/>
        <v>4.2716195604696212</v>
      </c>
      <c r="AO20" s="148">
        <f t="shared" si="25"/>
        <v>2.3936712805062528</v>
      </c>
      <c r="AP20" s="148">
        <f t="shared" si="26"/>
        <v>2.1786079568012018</v>
      </c>
      <c r="AQ20" s="148">
        <f t="shared" si="27"/>
        <v>1.6290074595011268</v>
      </c>
      <c r="AR20" s="148">
        <f t="shared" si="28"/>
        <v>3.5838164109024788</v>
      </c>
      <c r="AS20" s="148">
        <f t="shared" si="29"/>
        <v>0.8145037297505634</v>
      </c>
      <c r="AT20" s="148">
        <f t="shared" si="30"/>
        <v>16.079492747292829</v>
      </c>
      <c r="AU20" s="148">
        <f t="shared" si="31"/>
        <v>2.344336924944987</v>
      </c>
      <c r="AV20" s="148">
        <f t="shared" si="32"/>
        <v>4.2457747616067785</v>
      </c>
      <c r="AW20" s="148">
        <f t="shared" si="33"/>
        <v>1.1721684624724935</v>
      </c>
      <c r="AX20" s="148">
        <f t="shared" si="34"/>
        <v>1.1403052216507887</v>
      </c>
      <c r="AY20" s="148">
        <f t="shared" si="35"/>
        <v>2.413344384446114</v>
      </c>
      <c r="AZ20" s="148">
        <f t="shared" si="36"/>
        <v>0.57015261082539437</v>
      </c>
      <c r="BA20" s="148">
        <f t="shared" si="37"/>
        <v>17.033360961115285</v>
      </c>
      <c r="BB20" s="148">
        <f t="shared" si="38"/>
        <v>4.5624403231621669</v>
      </c>
      <c r="BC20" s="148">
        <f t="shared" si="39"/>
        <v>8.6763818895745217</v>
      </c>
      <c r="BD20" s="148">
        <f t="shared" si="40"/>
        <v>2.2812201615810834</v>
      </c>
      <c r="BE20" s="148">
        <f t="shared" si="41"/>
        <v>1.7557080396845477</v>
      </c>
      <c r="BF20" s="148">
        <f t="shared" si="42"/>
        <v>2.0996096144681187</v>
      </c>
      <c r="BG20" s="148">
        <f t="shared" si="43"/>
        <v>15.006391006742566</v>
      </c>
      <c r="BH20" s="148">
        <f t="shared" si="44"/>
        <v>9.1436578944314881</v>
      </c>
      <c r="BI20" s="148">
        <f t="shared" si="45"/>
        <v>4.3460399916287837</v>
      </c>
      <c r="BJ20" s="148">
        <f t="shared" si="46"/>
        <v>2.9261800661409127</v>
      </c>
      <c r="BK20" s="148">
        <f t="shared" si="47"/>
        <v>1.5928072937344351</v>
      </c>
      <c r="BL20" s="148">
        <f t="shared" si="48"/>
        <v>6.4897105261849237</v>
      </c>
      <c r="BM20" s="148">
        <f t="shared" si="49"/>
        <v>7.6851574800147597</v>
      </c>
      <c r="BN20" s="148">
        <f t="shared" si="50"/>
        <v>0.93773476997799476</v>
      </c>
      <c r="BO20" s="148">
        <f t="shared" si="51"/>
        <v>1.0860049730007511</v>
      </c>
      <c r="BP20" s="148">
        <f t="shared" si="52"/>
        <v>0.41026854535583934</v>
      </c>
      <c r="BQ20" s="148">
        <f t="shared" si="53"/>
        <v>5.1951750931401621</v>
      </c>
      <c r="BR20" s="148">
        <f t="shared" si="54"/>
        <v>11.190902195994255</v>
      </c>
      <c r="BS20" s="148">
        <f t="shared" si="55"/>
        <v>2.4345037297505638</v>
      </c>
      <c r="BT20" s="148">
        <f t="shared" si="56"/>
        <v>1.7134745129567406</v>
      </c>
      <c r="BU20" s="148">
        <f t="shared" si="57"/>
        <v>1.4721400745121294</v>
      </c>
      <c r="BV20" s="148">
        <f t="shared" si="58"/>
        <v>7.7501792373074547</v>
      </c>
      <c r="BW20" s="148">
        <f t="shared" si="59"/>
        <v>9.6129639449157338</v>
      </c>
      <c r="BX20" s="148">
        <f t="shared" si="60"/>
        <v>2.1820366762949495</v>
      </c>
      <c r="BY20" s="148">
        <f t="shared" si="61"/>
        <v>1.7134745129567406</v>
      </c>
      <c r="BZ20" s="148">
        <f t="shared" si="62"/>
        <v>1.4721400745121294</v>
      </c>
      <c r="CA20" s="148">
        <f t="shared" si="63"/>
        <v>10.748050766463745</v>
      </c>
      <c r="CB20" s="148">
        <f t="shared" si="64"/>
        <v>7.7158580601981797</v>
      </c>
      <c r="CC20" s="148">
        <f t="shared" si="65"/>
        <v>2.6689374222450621</v>
      </c>
      <c r="CD20" s="148">
        <f t="shared" si="66"/>
        <v>6.9155445502128066</v>
      </c>
      <c r="CE20" s="148">
        <f t="shared" si="67"/>
        <v>8.276049937630285</v>
      </c>
      <c r="CF20" s="148">
        <f t="shared" si="68"/>
        <v>16.80756444221581</v>
      </c>
      <c r="CG20" s="148">
        <f t="shared" si="69"/>
        <v>8.276049937630285</v>
      </c>
      <c r="CH20" s="148">
        <f t="shared" si="70"/>
        <v>6.8927838787748215</v>
      </c>
      <c r="CI20" s="148">
        <f t="shared" si="71"/>
        <v>18.687671155766822</v>
      </c>
      <c r="CJ20" s="148">
        <f t="shared" si="72"/>
        <v>6.8927838787748215</v>
      </c>
      <c r="CK20" s="148">
        <f t="shared" si="73"/>
        <v>4.2583402402788213</v>
      </c>
    </row>
    <row r="21" spans="1:89" x14ac:dyDescent="0.25">
      <c r="A21" t="str">
        <f>PLANTILLA!D30</f>
        <v>P .Trivadi</v>
      </c>
      <c r="B21" s="430">
        <f>PLANTILLA!E30</f>
        <v>31</v>
      </c>
      <c r="C21" s="430">
        <f ca="1">PLANTILLA!F30</f>
        <v>107</v>
      </c>
      <c r="D21" s="430"/>
      <c r="E21" s="263">
        <v>41973</v>
      </c>
      <c r="F21" s="303">
        <f>PLANTILLA!Q30</f>
        <v>5</v>
      </c>
      <c r="G21" s="354">
        <f t="shared" si="78"/>
        <v>0.84515425472851657</v>
      </c>
      <c r="H21" s="354">
        <f t="shared" si="75"/>
        <v>0.92504826128926143</v>
      </c>
      <c r="I21" s="439">
        <v>1.5</v>
      </c>
      <c r="J21" s="440">
        <f>PLANTILLA!I30</f>
        <v>6.2</v>
      </c>
      <c r="K21" s="152">
        <f>PLANTILLA!X30</f>
        <v>0</v>
      </c>
      <c r="L21" s="152">
        <f>PLANTILLA!Y30</f>
        <v>4.0199999999999996</v>
      </c>
      <c r="M21" s="152">
        <f>PLANTILLA!Z30</f>
        <v>5.95</v>
      </c>
      <c r="N21" s="152">
        <f>PLANTILLA!AA30</f>
        <v>5.5099999999999989</v>
      </c>
      <c r="O21" s="152">
        <f>PLANTILLA!AB30</f>
        <v>10.95</v>
      </c>
      <c r="P21" s="152">
        <f>PLANTILLA!AC30</f>
        <v>7.95</v>
      </c>
      <c r="Q21" s="152">
        <f>PLANTILLA!AD30</f>
        <v>14</v>
      </c>
      <c r="R21" s="152">
        <f t="shared" si="2"/>
        <v>3.6149999999999998</v>
      </c>
      <c r="S21" s="152">
        <f t="shared" si="3"/>
        <v>18.946914178388191</v>
      </c>
      <c r="T21" s="152">
        <f t="shared" si="4"/>
        <v>0.81750000000000012</v>
      </c>
      <c r="U21" s="152">
        <f t="shared" si="5"/>
        <v>0.58079999999999998</v>
      </c>
      <c r="V21" s="152">
        <f t="shared" ca="1" si="6"/>
        <v>13.57023809798237</v>
      </c>
      <c r="W21" s="152">
        <f t="shared" ca="1" si="7"/>
        <v>14.85305799217948</v>
      </c>
      <c r="X21" s="148">
        <f t="shared" si="8"/>
        <v>3.3413639265759674</v>
      </c>
      <c r="Y21" s="148">
        <f t="shared" si="9"/>
        <v>5.0089702281896606</v>
      </c>
      <c r="Z21" s="148">
        <f t="shared" si="10"/>
        <v>3.3413639265759674</v>
      </c>
      <c r="AA21" s="148">
        <f t="shared" si="11"/>
        <v>3.3934854823747984</v>
      </c>
      <c r="AB21" s="148">
        <f t="shared" si="12"/>
        <v>6.5765222526643381</v>
      </c>
      <c r="AC21" s="148">
        <f t="shared" si="13"/>
        <v>1.6967427411873992</v>
      </c>
      <c r="AD21" s="148">
        <f t="shared" si="14"/>
        <v>2.0245522961341127</v>
      </c>
      <c r="AE21" s="148">
        <f t="shared" si="15"/>
        <v>2.4859254115071199</v>
      </c>
      <c r="AF21" s="148">
        <f t="shared" si="16"/>
        <v>4.754825588676316</v>
      </c>
      <c r="AG21" s="148">
        <f t="shared" si="17"/>
        <v>1.2429627057535599</v>
      </c>
      <c r="AH21" s="148">
        <f t="shared" si="18"/>
        <v>3.2750110672757708</v>
      </c>
      <c r="AI21" s="148">
        <f t="shared" si="19"/>
        <v>6.0504004724511917</v>
      </c>
      <c r="AJ21" s="148">
        <f t="shared" si="20"/>
        <v>2.7226802126030361</v>
      </c>
      <c r="AK21" s="148">
        <f t="shared" si="21"/>
        <v>1.4205892161949447</v>
      </c>
      <c r="AL21" s="148">
        <f t="shared" si="22"/>
        <v>4.7431150845666306</v>
      </c>
      <c r="AM21" s="148">
        <f t="shared" si="23"/>
        <v>4.9586977785089106</v>
      </c>
      <c r="AN21" s="148">
        <f t="shared" si="24"/>
        <v>4.6561777548863512</v>
      </c>
      <c r="AO21" s="148">
        <f t="shared" si="25"/>
        <v>2.7649392161949442</v>
      </c>
      <c r="AP21" s="148">
        <f t="shared" si="26"/>
        <v>1.7773984087673294</v>
      </c>
      <c r="AQ21" s="148">
        <f t="shared" si="27"/>
        <v>1.7756610082193713</v>
      </c>
      <c r="AR21" s="148">
        <f t="shared" si="28"/>
        <v>3.9064542180826165</v>
      </c>
      <c r="AS21" s="148">
        <f t="shared" si="29"/>
        <v>0.88783050410968567</v>
      </c>
      <c r="AT21" s="148">
        <f t="shared" si="30"/>
        <v>8.030157006515136</v>
      </c>
      <c r="AU21" s="148">
        <f t="shared" si="31"/>
        <v>1.7558478928463639</v>
      </c>
      <c r="AV21" s="148">
        <f t="shared" si="32"/>
        <v>3.4384110200306508</v>
      </c>
      <c r="AW21" s="148">
        <f t="shared" si="33"/>
        <v>0.87792394642318194</v>
      </c>
      <c r="AX21" s="148">
        <f t="shared" si="34"/>
        <v>1.2429627057535599</v>
      </c>
      <c r="AY21" s="148">
        <f t="shared" si="35"/>
        <v>2.6306089010657354</v>
      </c>
      <c r="AZ21" s="148">
        <f t="shared" si="36"/>
        <v>0.62148135287677997</v>
      </c>
      <c r="BA21" s="148">
        <f t="shared" si="37"/>
        <v>8.5065222526643396</v>
      </c>
      <c r="BB21" s="148">
        <f t="shared" si="38"/>
        <v>3.4171501299240776</v>
      </c>
      <c r="BC21" s="148">
        <f t="shared" si="39"/>
        <v>6.8120937612180503</v>
      </c>
      <c r="BD21" s="148">
        <f t="shared" si="40"/>
        <v>1.7085750649620388</v>
      </c>
      <c r="BE21" s="148">
        <f t="shared" si="41"/>
        <v>1.9137679755253223</v>
      </c>
      <c r="BF21" s="148">
        <f t="shared" si="42"/>
        <v>2.2886297439271894</v>
      </c>
      <c r="BG21" s="148">
        <f t="shared" si="43"/>
        <v>7.4942461045972832</v>
      </c>
      <c r="BH21" s="148">
        <f t="shared" si="44"/>
        <v>8.8847382826185957</v>
      </c>
      <c r="BI21" s="148">
        <f t="shared" si="45"/>
        <v>3.2550718628921054</v>
      </c>
      <c r="BJ21" s="148">
        <f t="shared" si="46"/>
        <v>3.1896132925422038</v>
      </c>
      <c r="BK21" s="148">
        <f t="shared" si="47"/>
        <v>1.7362018747033854</v>
      </c>
      <c r="BL21" s="148">
        <f t="shared" si="48"/>
        <v>3.2409849782651134</v>
      </c>
      <c r="BM21" s="148">
        <f t="shared" si="49"/>
        <v>8.143580448828633</v>
      </c>
      <c r="BN21" s="148">
        <f t="shared" si="50"/>
        <v>0.70233915713854556</v>
      </c>
      <c r="BO21" s="148">
        <f t="shared" si="51"/>
        <v>1.1837740054795809</v>
      </c>
      <c r="BP21" s="148">
        <f t="shared" si="52"/>
        <v>0.44720351318117502</v>
      </c>
      <c r="BQ21" s="148">
        <f t="shared" si="53"/>
        <v>2.5944892870626237</v>
      </c>
      <c r="BR21" s="148">
        <f t="shared" si="54"/>
        <v>11.929387616926338</v>
      </c>
      <c r="BS21" s="148">
        <f t="shared" si="55"/>
        <v>1.8233805041096858</v>
      </c>
      <c r="BT21" s="148">
        <f t="shared" si="56"/>
        <v>1.8677323197566718</v>
      </c>
      <c r="BU21" s="148">
        <f t="shared" si="57"/>
        <v>1.6046714296500986</v>
      </c>
      <c r="BV21" s="148">
        <f t="shared" si="58"/>
        <v>3.8704676249622745</v>
      </c>
      <c r="BW21" s="148">
        <f t="shared" si="59"/>
        <v>10.265066655952086</v>
      </c>
      <c r="BX21" s="148">
        <f t="shared" si="60"/>
        <v>1.6342891925723848</v>
      </c>
      <c r="BY21" s="148">
        <f t="shared" si="61"/>
        <v>1.8677323197566718</v>
      </c>
      <c r="BZ21" s="148">
        <f t="shared" si="62"/>
        <v>1.6046714296500986</v>
      </c>
      <c r="CA21" s="148">
        <f t="shared" si="63"/>
        <v>5.3676155414311983</v>
      </c>
      <c r="CB21" s="148">
        <f t="shared" si="64"/>
        <v>8.269457416134582</v>
      </c>
      <c r="CC21" s="148">
        <f t="shared" si="65"/>
        <v>1.9989652933943218</v>
      </c>
      <c r="CD21" s="148">
        <f t="shared" si="66"/>
        <v>3.4536480345817222</v>
      </c>
      <c r="CE21" s="148">
        <f t="shared" si="67"/>
        <v>5.87253809363812</v>
      </c>
      <c r="CF21" s="148">
        <f t="shared" si="68"/>
        <v>13.459344056500044</v>
      </c>
      <c r="CG21" s="148">
        <f t="shared" si="69"/>
        <v>5.87253809363812</v>
      </c>
      <c r="CH21" s="148">
        <f t="shared" si="70"/>
        <v>6.302323363409883</v>
      </c>
      <c r="CI21" s="148">
        <f t="shared" si="71"/>
        <v>15.490428963897479</v>
      </c>
      <c r="CJ21" s="148">
        <f t="shared" si="72"/>
        <v>6.302323363409883</v>
      </c>
      <c r="CK21" s="148">
        <f t="shared" si="73"/>
        <v>2.1266305631660849</v>
      </c>
    </row>
    <row r="22" spans="1:89" x14ac:dyDescent="0.25">
      <c r="R22" s="152"/>
      <c r="S22" s="152"/>
      <c r="T22" s="152"/>
      <c r="U22" s="152"/>
      <c r="V22" s="152"/>
      <c r="W22" s="152"/>
      <c r="X22" s="148"/>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8"/>
      <c r="AX22" s="148"/>
      <c r="AY22" s="148"/>
      <c r="AZ22" s="148"/>
      <c r="BA22" s="148"/>
      <c r="BB22" s="148"/>
      <c r="BC22" s="148"/>
      <c r="BD22" s="148"/>
      <c r="BE22" s="148"/>
      <c r="BF22" s="148"/>
      <c r="BG22" s="148"/>
      <c r="BH22" s="148"/>
      <c r="BI22" s="148"/>
      <c r="BJ22" s="148"/>
      <c r="BK22" s="148"/>
      <c r="BL22" s="148"/>
      <c r="BM22" s="148"/>
      <c r="BN22" s="148"/>
      <c r="BO22" s="148"/>
      <c r="BP22" s="148"/>
      <c r="BQ22" s="148"/>
      <c r="BR22" s="148"/>
      <c r="BS22" s="148"/>
      <c r="BT22" s="148"/>
      <c r="BU22" s="148"/>
      <c r="BV22" s="148"/>
      <c r="BW22" s="148"/>
      <c r="BX22" s="148"/>
      <c r="BY22" s="148"/>
      <c r="BZ22" s="148"/>
      <c r="CA22" s="148"/>
      <c r="CB22" s="148"/>
      <c r="CC22" s="148"/>
      <c r="CD22" s="148"/>
      <c r="CE22" s="148"/>
      <c r="CF22" s="148"/>
      <c r="CG22" s="148"/>
      <c r="CH22" s="148"/>
      <c r="CI22" s="148"/>
      <c r="CJ22" s="148"/>
      <c r="CK22" s="148"/>
    </row>
    <row r="23" spans="1:89" x14ac:dyDescent="0.25">
      <c r="R23" s="152"/>
      <c r="S23" s="152"/>
      <c r="T23" s="152"/>
      <c r="U23" s="152"/>
      <c r="V23" s="152"/>
      <c r="W23" s="152"/>
      <c r="X23" s="148"/>
      <c r="Y23" s="148"/>
      <c r="Z23" s="148"/>
      <c r="AA23" s="148"/>
      <c r="AB23" s="148"/>
      <c r="AC23" s="148"/>
      <c r="AD23" s="148"/>
      <c r="AE23" s="148"/>
      <c r="AF23" s="148"/>
      <c r="AG23" s="148"/>
      <c r="AH23" s="148"/>
      <c r="AI23" s="148"/>
      <c r="AJ23" s="148"/>
      <c r="AK23" s="148"/>
      <c r="AL23" s="148"/>
      <c r="AM23" s="148"/>
      <c r="AN23" s="148"/>
      <c r="AO23" s="148"/>
      <c r="AP23" s="148"/>
      <c r="AQ23" s="148"/>
      <c r="AR23" s="148"/>
      <c r="AS23" s="148"/>
      <c r="AT23" s="148"/>
      <c r="AU23" s="148"/>
      <c r="AV23" s="148"/>
      <c r="AW23" s="148"/>
      <c r="AX23" s="148"/>
      <c r="AY23" s="148"/>
      <c r="AZ23" s="148"/>
      <c r="BA23" s="148"/>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48"/>
      <c r="CC23" s="148"/>
      <c r="CD23" s="148"/>
      <c r="CE23" s="148"/>
      <c r="CF23" s="148"/>
      <c r="CG23" s="148"/>
      <c r="CH23" s="148"/>
      <c r="CI23" s="148"/>
      <c r="CJ23" s="148"/>
      <c r="CK23" s="148"/>
    </row>
    <row r="24" spans="1:89" x14ac:dyDescent="0.25">
      <c r="R24" s="152"/>
      <c r="S24" s="152"/>
      <c r="T24" s="152"/>
      <c r="U24" s="152"/>
      <c r="V24" s="152"/>
      <c r="W24" s="152"/>
      <c r="X24" s="148"/>
      <c r="Y24" s="148"/>
      <c r="Z24" s="148"/>
      <c r="AA24" s="148"/>
      <c r="AB24" s="148"/>
      <c r="AC24" s="148"/>
      <c r="AD24" s="148"/>
      <c r="AE24" s="148"/>
      <c r="AF24" s="148"/>
      <c r="AG24" s="148"/>
      <c r="AH24" s="148"/>
      <c r="AI24" s="148"/>
      <c r="AJ24" s="148"/>
      <c r="AK24" s="148"/>
      <c r="AL24" s="148"/>
      <c r="AM24" s="148"/>
      <c r="AN24" s="148"/>
      <c r="AO24" s="148"/>
      <c r="AP24" s="148"/>
      <c r="AQ24" s="148"/>
      <c r="AR24" s="148"/>
      <c r="AS24" s="148"/>
      <c r="AT24" s="148"/>
      <c r="AU24" s="148"/>
      <c r="AV24" s="148"/>
      <c r="AW24" s="148"/>
      <c r="AX24" s="148"/>
      <c r="AY24" s="148"/>
      <c r="AZ24" s="148"/>
      <c r="BA24" s="148"/>
      <c r="BB24" s="148"/>
      <c r="BC24" s="148"/>
      <c r="BD24" s="148"/>
      <c r="BE24" s="148"/>
      <c r="BF24" s="148"/>
      <c r="BG24" s="148"/>
      <c r="BH24" s="148"/>
      <c r="BI24" s="148"/>
      <c r="BJ24" s="148"/>
      <c r="BK24" s="148"/>
      <c r="BL24" s="148"/>
      <c r="BM24" s="148"/>
      <c r="BN24" s="148"/>
      <c r="BO24" s="148"/>
      <c r="BP24" s="148"/>
      <c r="BQ24" s="148"/>
      <c r="BR24" s="148"/>
      <c r="BS24" s="148"/>
      <c r="BT24" s="148"/>
      <c r="BU24" s="148"/>
      <c r="BV24" s="148"/>
      <c r="BW24" s="148"/>
      <c r="BX24" s="148"/>
      <c r="BY24" s="148"/>
      <c r="BZ24" s="148"/>
      <c r="CA24" s="148"/>
      <c r="CB24" s="148"/>
      <c r="CC24" s="148"/>
      <c r="CD24" s="148"/>
      <c r="CE24" s="148"/>
      <c r="CF24" s="148"/>
      <c r="CG24" s="148"/>
      <c r="CH24" s="148"/>
      <c r="CI24" s="148"/>
      <c r="CJ24" s="148"/>
      <c r="CK24" s="148"/>
    </row>
    <row r="25" spans="1:89" x14ac:dyDescent="0.25">
      <c r="D25" s="430"/>
      <c r="L25">
        <f>L15*G15</f>
        <v>8.9163773873858467</v>
      </c>
      <c r="M25">
        <f>L15*H15</f>
        <v>9.7592591566017042</v>
      </c>
      <c r="R25" s="152"/>
      <c r="S25" s="152"/>
      <c r="T25" s="152"/>
      <c r="U25" s="152"/>
      <c r="V25" s="152"/>
      <c r="W25" s="152"/>
      <c r="X25" s="148"/>
      <c r="Y25" s="148"/>
      <c r="Z25" s="148"/>
      <c r="AA25" s="148"/>
      <c r="AB25" s="148"/>
      <c r="AC25" s="148"/>
      <c r="AD25" s="148"/>
      <c r="AE25" s="148"/>
      <c r="AF25" s="148"/>
      <c r="AG25" s="148"/>
      <c r="AH25" s="148"/>
      <c r="AI25" s="148"/>
      <c r="AJ25" s="148"/>
      <c r="AK25" s="148"/>
      <c r="AL25" s="148"/>
      <c r="AM25" s="148"/>
      <c r="AN25" s="148"/>
      <c r="AO25" s="148"/>
      <c r="AP25" s="148"/>
      <c r="AQ25" s="148"/>
      <c r="AR25" s="148"/>
      <c r="AS25" s="148"/>
      <c r="AT25" s="148"/>
      <c r="AU25" s="148"/>
      <c r="AV25" s="148"/>
      <c r="AW25" s="148"/>
      <c r="AX25" s="148"/>
      <c r="AY25" s="148"/>
      <c r="AZ25" s="148"/>
      <c r="BA25" s="148"/>
      <c r="BB25" s="148"/>
      <c r="BC25" s="148"/>
      <c r="BD25" s="148"/>
      <c r="BE25" s="148"/>
      <c r="BF25" s="148"/>
      <c r="BG25" s="148"/>
      <c r="BH25" s="148"/>
      <c r="BI25" s="148"/>
      <c r="BJ25" s="148"/>
      <c r="BK25" s="148"/>
      <c r="BL25" s="148"/>
      <c r="BM25" s="148"/>
      <c r="BN25" s="148"/>
      <c r="BO25" s="148"/>
      <c r="BP25" s="148"/>
      <c r="BQ25" s="148"/>
      <c r="BR25" s="148"/>
      <c r="BS25" s="148"/>
      <c r="BT25" s="148"/>
      <c r="BU25" s="148"/>
      <c r="BV25" s="148"/>
      <c r="BW25" s="148"/>
      <c r="BX25" s="148"/>
      <c r="BY25" s="148"/>
      <c r="BZ25" s="148"/>
      <c r="CA25" s="148"/>
      <c r="CB25" s="148"/>
      <c r="CC25" s="148"/>
      <c r="CD25" s="148"/>
      <c r="CE25" s="148"/>
      <c r="CF25" s="148"/>
      <c r="CG25" s="148"/>
      <c r="CH25" s="148"/>
      <c r="CI25" s="148"/>
      <c r="CJ25" s="148"/>
      <c r="CK25" s="148"/>
    </row>
    <row r="26" spans="1:89" x14ac:dyDescent="0.25">
      <c r="D26" s="430"/>
      <c r="R26" s="152"/>
      <c r="S26" s="152"/>
      <c r="T26" s="152"/>
      <c r="U26" s="152"/>
      <c r="V26" s="152"/>
      <c r="W26" s="152"/>
      <c r="X26" s="148"/>
      <c r="Y26" s="148"/>
      <c r="Z26" s="148"/>
      <c r="AA26" s="148"/>
      <c r="AB26" s="148"/>
      <c r="AC26" s="148"/>
      <c r="AD26" s="148"/>
      <c r="AE26" s="148"/>
      <c r="AF26" s="148"/>
      <c r="AG26" s="148"/>
      <c r="AH26" s="148"/>
      <c r="AI26" s="148"/>
      <c r="AJ26" s="148"/>
      <c r="AK26" s="148"/>
      <c r="AL26" s="148"/>
      <c r="AM26" s="148"/>
      <c r="AN26" s="148"/>
      <c r="AO26" s="148"/>
      <c r="AP26" s="148"/>
      <c r="AQ26" s="148"/>
      <c r="AR26" s="148"/>
      <c r="AS26" s="148"/>
      <c r="AT26" s="148"/>
      <c r="AU26" s="148"/>
      <c r="AV26" s="148"/>
      <c r="AW26" s="148"/>
      <c r="AX26" s="148"/>
      <c r="AY26" s="148"/>
      <c r="AZ26" s="148"/>
      <c r="BA26" s="148"/>
      <c r="BB26" s="148"/>
      <c r="BC26" s="148"/>
      <c r="BD26" s="148"/>
      <c r="BE26" s="148"/>
      <c r="BF26" s="148"/>
      <c r="BG26" s="148"/>
      <c r="BH26" s="148"/>
      <c r="BI26" s="148"/>
      <c r="BJ26" s="148"/>
      <c r="BK26" s="148"/>
      <c r="BL26" s="148"/>
      <c r="BM26" s="148"/>
      <c r="BN26" s="148"/>
      <c r="BO26" s="148"/>
      <c r="BP26" s="148"/>
      <c r="BQ26" s="148"/>
      <c r="BR26" s="148"/>
      <c r="BS26" s="148"/>
      <c r="BT26" s="148"/>
      <c r="BU26" s="148"/>
      <c r="BV26" s="148"/>
      <c r="BW26" s="148"/>
      <c r="BX26" s="148"/>
      <c r="BY26" s="148"/>
      <c r="BZ26" s="148"/>
      <c r="CA26" s="148"/>
      <c r="CB26" s="148"/>
      <c r="CC26" s="148"/>
      <c r="CD26" s="148"/>
      <c r="CE26" s="148"/>
      <c r="CF26" s="148"/>
      <c r="CG26" s="148"/>
      <c r="CH26" s="148"/>
      <c r="CI26" s="148"/>
      <c r="CJ26" s="148"/>
      <c r="CK26" s="148"/>
    </row>
    <row r="27" spans="1:89" x14ac:dyDescent="0.25">
      <c r="D27" s="430"/>
      <c r="L27">
        <f>L14*G14</f>
        <v>7.360269793191784</v>
      </c>
      <c r="M27">
        <f>L14*H14</f>
        <v>7.9443193990602943</v>
      </c>
      <c r="R27" s="152"/>
      <c r="S27" s="152"/>
      <c r="T27" s="152"/>
      <c r="U27" s="152"/>
      <c r="V27" s="152"/>
      <c r="W27" s="152"/>
      <c r="X27" s="148"/>
      <c r="Y27" s="148"/>
      <c r="Z27" s="148"/>
      <c r="AA27" s="148"/>
      <c r="AB27" s="148"/>
      <c r="AC27" s="148"/>
      <c r="AD27" s="148"/>
      <c r="AE27" s="148"/>
      <c r="AF27" s="148"/>
      <c r="AG27" s="148"/>
      <c r="AH27" s="148"/>
      <c r="AI27" s="148"/>
      <c r="AJ27" s="148"/>
      <c r="AK27" s="148"/>
      <c r="AL27" s="148"/>
      <c r="AM27" s="148"/>
      <c r="AN27" s="148"/>
      <c r="AO27" s="148"/>
      <c r="AP27" s="148"/>
      <c r="AQ27" s="148"/>
      <c r="AR27" s="148"/>
      <c r="AS27" s="148"/>
      <c r="AT27" s="148"/>
      <c r="AU27" s="148"/>
      <c r="AV27" s="148"/>
      <c r="AW27" s="148"/>
      <c r="AX27" s="148"/>
      <c r="AY27" s="148"/>
      <c r="AZ27" s="148"/>
      <c r="BA27" s="148"/>
      <c r="BB27" s="148"/>
      <c r="BC27" s="148"/>
      <c r="BD27" s="148"/>
      <c r="BE27" s="148"/>
      <c r="BF27" s="148"/>
      <c r="BG27" s="148"/>
      <c r="BH27" s="148"/>
      <c r="BI27" s="148"/>
      <c r="BJ27" s="148"/>
      <c r="BK27" s="148"/>
      <c r="BL27" s="148"/>
      <c r="BM27" s="148"/>
      <c r="BN27" s="148"/>
      <c r="BO27" s="148"/>
      <c r="BP27" s="148"/>
      <c r="BQ27" s="148"/>
      <c r="BR27" s="148"/>
      <c r="BS27" s="148"/>
      <c r="BT27" s="148"/>
      <c r="BU27" s="148"/>
      <c r="BV27" s="148"/>
      <c r="BW27" s="148"/>
      <c r="BX27" s="148"/>
      <c r="BY27" s="148"/>
      <c r="BZ27" s="148"/>
      <c r="CA27" s="148"/>
      <c r="CB27" s="148"/>
      <c r="CC27" s="148"/>
      <c r="CD27" s="148"/>
      <c r="CE27" s="148"/>
      <c r="CF27" s="148"/>
      <c r="CG27" s="148"/>
      <c r="CH27" s="148"/>
      <c r="CI27" s="148"/>
      <c r="CJ27" s="148"/>
      <c r="CK27" s="148"/>
    </row>
    <row r="28" spans="1:89" x14ac:dyDescent="0.25">
      <c r="D28" s="430"/>
    </row>
    <row r="29" spans="1:89" x14ac:dyDescent="0.25">
      <c r="D29" s="430"/>
      <c r="L29" s="47">
        <f>(M25-L27)/M25</f>
        <v>0.24581674950061252</v>
      </c>
      <c r="M29" s="47">
        <f>(L25-M27)/M27</f>
        <v>0.12235887550550067</v>
      </c>
    </row>
    <row r="30" spans="1:89" x14ac:dyDescent="0.25">
      <c r="D30" s="430"/>
    </row>
    <row r="31" spans="1:89" ht="18.75" x14ac:dyDescent="0.3">
      <c r="A31" s="386" t="s">
        <v>492</v>
      </c>
      <c r="B31" s="386" t="s">
        <v>171</v>
      </c>
      <c r="C31" s="386"/>
      <c r="D31" s="387"/>
      <c r="L31" s="47"/>
      <c r="M31" s="47"/>
    </row>
    <row r="32" spans="1:89" x14ac:dyDescent="0.25">
      <c r="A32" s="231" t="s">
        <v>497</v>
      </c>
      <c r="B32" s="388">
        <v>1</v>
      </c>
      <c r="C32" s="441">
        <v>0.624</v>
      </c>
      <c r="D32" s="442">
        <v>0.245</v>
      </c>
    </row>
    <row r="33" spans="1:4" x14ac:dyDescent="0.25">
      <c r="A33" s="231" t="s">
        <v>498</v>
      </c>
      <c r="B33" s="388">
        <v>1</v>
      </c>
      <c r="C33" s="441">
        <v>1.002</v>
      </c>
      <c r="D33" s="442">
        <v>0.34</v>
      </c>
    </row>
    <row r="34" spans="1:4" x14ac:dyDescent="0.25">
      <c r="A34" s="231" t="s">
        <v>499</v>
      </c>
      <c r="B34" s="388">
        <v>1</v>
      </c>
      <c r="C34" s="441">
        <v>0.46800000000000003</v>
      </c>
      <c r="D34" s="442">
        <v>0.125</v>
      </c>
    </row>
    <row r="35" spans="1:4" x14ac:dyDescent="0.25">
      <c r="A35" s="231" t="s">
        <v>500</v>
      </c>
      <c r="B35" s="388">
        <v>1</v>
      </c>
      <c r="C35" s="441">
        <v>0.877</v>
      </c>
      <c r="D35" s="442">
        <v>0.25</v>
      </c>
    </row>
    <row r="36" spans="1:4" x14ac:dyDescent="0.25">
      <c r="A36" s="231" t="s">
        <v>501</v>
      </c>
      <c r="B36" s="388">
        <v>1</v>
      </c>
      <c r="C36" s="441">
        <v>0.59299999999999997</v>
      </c>
      <c r="D36" s="442">
        <v>0.19</v>
      </c>
    </row>
  </sheetData>
  <conditionalFormatting sqref="V3:W27">
    <cfRule type="cellIs" dxfId="147" priority="27" operator="greaterThan">
      <formula>15</formula>
    </cfRule>
  </conditionalFormatting>
  <conditionalFormatting sqref="R22:S27 R3:R21">
    <cfRule type="cellIs" dxfId="146" priority="26" operator="greaterThan">
      <formula>3.2</formula>
    </cfRule>
  </conditionalFormatting>
  <conditionalFormatting sqref="T3:U27">
    <cfRule type="cellIs" dxfId="145" priority="25" operator="greaterThan">
      <formula>0.6</formula>
    </cfRule>
  </conditionalFormatting>
  <conditionalFormatting sqref="AI22:AJ27 X22:AC27 AC3:AH9 BM3:BS27 BH3:BK27 BB3:BE27 AP3:AS27 AC10:AC21 X3:AA21 AJ3:AJ21 BT3:BX21 BY3:CK27 AD10:AH27 AU3:AZ27 AL3:AN27">
    <cfRule type="cellIs" dxfId="144" priority="24" operator="greaterThan">
      <formula>12.5</formula>
    </cfRule>
  </conditionalFormatting>
  <conditionalFormatting sqref="BL22:BL27 BG22:BG27 AT22:AT27">
    <cfRule type="cellIs" dxfId="143" priority="23" operator="greaterThan">
      <formula>12.5</formula>
    </cfRule>
  </conditionalFormatting>
  <conditionalFormatting sqref="J3:J21">
    <cfRule type="cellIs" dxfId="142" priority="21" operator="greaterThan">
      <formula>7</formula>
    </cfRule>
  </conditionalFormatting>
  <conditionalFormatting sqref="BA22:BA27">
    <cfRule type="cellIs" dxfId="141" priority="13" operator="greaterThan">
      <formula>12.5</formula>
    </cfRule>
  </conditionalFormatting>
  <conditionalFormatting sqref="AB3:AB21 AI3:AI21 AT3:AT21 BA3:BA21 BL3:BL21 BG3:BG21">
    <cfRule type="cellIs" dxfId="140" priority="9" operator="greaterThan">
      <formula>12</formula>
    </cfRule>
  </conditionalFormatting>
  <conditionalFormatting sqref="BT22:BU27">
    <cfRule type="cellIs" dxfId="139" priority="4" operator="greaterThan">
      <formula>12.5</formula>
    </cfRule>
  </conditionalFormatting>
  <conditionalFormatting sqref="BV22:BV27">
    <cfRule type="cellIs" dxfId="138" priority="3" operator="greaterThan">
      <formula>12.5</formula>
    </cfRule>
  </conditionalFormatting>
  <conditionalFormatting sqref="BW22:BX27">
    <cfRule type="cellIs" dxfId="137"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32</vt:i4>
      </vt:variant>
    </vt:vector>
  </HeadingPairs>
  <TitlesOfParts>
    <vt:vector size="32" baseType="lpstr">
      <vt:lpstr>RecienPromocionados</vt:lpstr>
      <vt:lpstr>Resistencia</vt:lpstr>
      <vt:lpstr>CA_Calculator</vt:lpstr>
      <vt:lpstr>TL_Tactica</vt:lpstr>
      <vt:lpstr>CAPITAN</vt:lpstr>
      <vt:lpstr>ENTRENADOR</vt:lpstr>
      <vt:lpstr>Calendari</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2019-06-14T13:15:23Z</dcterms:modified>
</cp:coreProperties>
</file>