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2"/>
  </bookViews>
  <sheets>
    <sheet name="goblins" sheetId="441" r:id="rId1"/>
    <sheet name="Goblins-OBIWAN_352" sheetId="443" r:id="rId2"/>
    <sheet name="Columbus-OBIWAN" sheetId="444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BF48" i="444" l="1"/>
  <c r="BF47" i="444"/>
  <c r="BF46" i="444"/>
  <c r="BF45" i="444"/>
  <c r="BE45" i="444"/>
  <c r="BE44" i="444"/>
  <c r="BD44" i="444"/>
  <c r="BE43" i="444"/>
  <c r="BF43" i="444" s="1"/>
  <c r="BD43" i="444"/>
  <c r="BC43" i="444"/>
  <c r="BF42" i="444"/>
  <c r="BE42" i="444"/>
  <c r="BD42" i="444"/>
  <c r="BC42" i="444"/>
  <c r="BF41" i="444"/>
  <c r="BE41" i="444"/>
  <c r="BD41" i="444"/>
  <c r="BC41" i="444"/>
  <c r="BF40" i="444"/>
  <c r="BE40" i="444"/>
  <c r="BD40" i="444"/>
  <c r="BC40" i="444"/>
  <c r="BC39" i="444"/>
  <c r="AS38" i="444"/>
  <c r="AR38" i="444"/>
  <c r="AQ38" i="444"/>
  <c r="AP38" i="444"/>
  <c r="AO38" i="444"/>
  <c r="AN38" i="444"/>
  <c r="AM38" i="444"/>
  <c r="AL38" i="444"/>
  <c r="AK38" i="444"/>
  <c r="AJ38" i="444"/>
  <c r="AI38" i="444"/>
  <c r="AH38" i="444"/>
  <c r="AG38" i="444"/>
  <c r="AF38" i="444"/>
  <c r="AE38" i="444"/>
  <c r="AD38" i="444"/>
  <c r="AC38" i="444"/>
  <c r="AB38" i="444"/>
  <c r="AA38" i="444"/>
  <c r="Z38" i="444"/>
  <c r="Y38" i="444"/>
  <c r="X38" i="444"/>
  <c r="W38" i="444"/>
  <c r="V38" i="444"/>
  <c r="U38" i="444"/>
  <c r="T38" i="444"/>
  <c r="S38" i="444"/>
  <c r="R38" i="444"/>
  <c r="Q38" i="444"/>
  <c r="P38" i="444"/>
  <c r="O38" i="444"/>
  <c r="N38" i="444"/>
  <c r="M38" i="444"/>
  <c r="L38" i="444"/>
  <c r="K38" i="444"/>
  <c r="J38" i="444"/>
  <c r="I38" i="444"/>
  <c r="H38" i="444"/>
  <c r="G38" i="444"/>
  <c r="BH36" i="444"/>
  <c r="BH42" i="444" s="1"/>
  <c r="BH47" i="444" s="1"/>
  <c r="BH52" i="444" s="1"/>
  <c r="BH55" i="444" s="1"/>
  <c r="BH57" i="444" s="1"/>
  <c r="BL13" i="444" s="1"/>
  <c r="BF34" i="444"/>
  <c r="BF33" i="444"/>
  <c r="C33" i="444"/>
  <c r="B33" i="444"/>
  <c r="BF32" i="444"/>
  <c r="C32" i="444"/>
  <c r="B32" i="444"/>
  <c r="BF31" i="444"/>
  <c r="BE31" i="444"/>
  <c r="BP30" i="444"/>
  <c r="BP37" i="444" s="1"/>
  <c r="BP45" i="444" s="1"/>
  <c r="BH30" i="444"/>
  <c r="BH37" i="444" s="1"/>
  <c r="BH43" i="444" s="1"/>
  <c r="BH48" i="444" s="1"/>
  <c r="BH53" i="444" s="1"/>
  <c r="BH56" i="444" s="1"/>
  <c r="BH58" i="444" s="1"/>
  <c r="BH59" i="444" s="1"/>
  <c r="BE30" i="444"/>
  <c r="BD30" i="444"/>
  <c r="E30" i="444"/>
  <c r="D30" i="444"/>
  <c r="BH29" i="444"/>
  <c r="BF29" i="444"/>
  <c r="BE29" i="444"/>
  <c r="BF30" i="444" s="1"/>
  <c r="BD29" i="444"/>
  <c r="BC29" i="444"/>
  <c r="C29" i="444"/>
  <c r="B29" i="444"/>
  <c r="BH28" i="444"/>
  <c r="BH35" i="444" s="1"/>
  <c r="BH41" i="444" s="1"/>
  <c r="BH46" i="444" s="1"/>
  <c r="BH51" i="444" s="1"/>
  <c r="BH54" i="444" s="1"/>
  <c r="BF28" i="444"/>
  <c r="BE28" i="444"/>
  <c r="BD28" i="444"/>
  <c r="BC28" i="444"/>
  <c r="BH27" i="444"/>
  <c r="BH34" i="444" s="1"/>
  <c r="BH40" i="444" s="1"/>
  <c r="BH45" i="444" s="1"/>
  <c r="BH50" i="444" s="1"/>
  <c r="BF27" i="444"/>
  <c r="BE27" i="444"/>
  <c r="BD27" i="444"/>
  <c r="BC27" i="444"/>
  <c r="C27" i="444"/>
  <c r="B27" i="444"/>
  <c r="BH26" i="444"/>
  <c r="BH33" i="444" s="1"/>
  <c r="BH39" i="444" s="1"/>
  <c r="BH44" i="444" s="1"/>
  <c r="BF26" i="444"/>
  <c r="BE26" i="444"/>
  <c r="BD26" i="444"/>
  <c r="BC26" i="444"/>
  <c r="E26" i="444"/>
  <c r="E27" i="444" s="1"/>
  <c r="D26" i="444"/>
  <c r="D27" i="444" s="1"/>
  <c r="D23" i="444" s="1"/>
  <c r="C26" i="444"/>
  <c r="B26" i="444"/>
  <c r="BH25" i="444"/>
  <c r="BH32" i="444" s="1"/>
  <c r="BH38" i="444" s="1"/>
  <c r="BC25" i="444"/>
  <c r="E25" i="444"/>
  <c r="E23" i="444" s="1"/>
  <c r="D25" i="444"/>
  <c r="C25" i="444"/>
  <c r="B25" i="444"/>
  <c r="BH24" i="444"/>
  <c r="BH31" i="444" s="1"/>
  <c r="BL8" i="444" s="1"/>
  <c r="BP18" i="444" s="1"/>
  <c r="BP22" i="444" s="1"/>
  <c r="BP28" i="444" s="1"/>
  <c r="BP35" i="444" s="1"/>
  <c r="BP43" i="444" s="1"/>
  <c r="BH23" i="444"/>
  <c r="B22" i="444"/>
  <c r="C22" i="444" s="1"/>
  <c r="B20" i="444"/>
  <c r="B21" i="444" s="1"/>
  <c r="AK19" i="444"/>
  <c r="AG19" i="444"/>
  <c r="Z19" i="444"/>
  <c r="P19" i="444"/>
  <c r="AA18" i="444"/>
  <c r="Q18" i="444"/>
  <c r="AK17" i="444"/>
  <c r="AG17" i="444"/>
  <c r="Z17" i="444"/>
  <c r="P17" i="444"/>
  <c r="AA16" i="444"/>
  <c r="Q16" i="444"/>
  <c r="C16" i="444"/>
  <c r="B16" i="444"/>
  <c r="AA15" i="444"/>
  <c r="Q15" i="444"/>
  <c r="AN14" i="444"/>
  <c r="Z14" i="444"/>
  <c r="P14" i="444"/>
  <c r="O14" i="444"/>
  <c r="BP13" i="444"/>
  <c r="BP17" i="444" s="1"/>
  <c r="BP21" i="444" s="1"/>
  <c r="BP27" i="444" s="1"/>
  <c r="BP34" i="444" s="1"/>
  <c r="BP42" i="444" s="1"/>
  <c r="Z13" i="444"/>
  <c r="P13" i="444"/>
  <c r="BL12" i="444"/>
  <c r="BP47" i="444" s="1"/>
  <c r="AA12" i="444"/>
  <c r="Q12" i="444"/>
  <c r="BL11" i="444"/>
  <c r="BP38" i="444" s="1"/>
  <c r="BP46" i="444" s="1"/>
  <c r="AK11" i="444"/>
  <c r="AG11" i="444"/>
  <c r="Z11" i="444"/>
  <c r="P11" i="444"/>
  <c r="BL10" i="444"/>
  <c r="AK10" i="444"/>
  <c r="AG10" i="444"/>
  <c r="Z10" i="444"/>
  <c r="P10" i="444"/>
  <c r="BP9" i="444"/>
  <c r="BP12" i="444" s="1"/>
  <c r="BP16" i="444" s="1"/>
  <c r="BP20" i="444" s="1"/>
  <c r="BP26" i="444" s="1"/>
  <c r="BP33" i="444" s="1"/>
  <c r="BP41" i="444" s="1"/>
  <c r="BL9" i="444"/>
  <c r="BP23" i="444" s="1"/>
  <c r="BP29" i="444" s="1"/>
  <c r="BP36" i="444" s="1"/>
  <c r="BP44" i="444" s="1"/>
  <c r="AK9" i="444"/>
  <c r="AG9" i="444"/>
  <c r="Z9" i="444"/>
  <c r="P9" i="444"/>
  <c r="BP8" i="444"/>
  <c r="BP11" i="444" s="1"/>
  <c r="BP15" i="444" s="1"/>
  <c r="BP19" i="444" s="1"/>
  <c r="BP25" i="444" s="1"/>
  <c r="BP32" i="444" s="1"/>
  <c r="BP40" i="444" s="1"/>
  <c r="AK8" i="444"/>
  <c r="AG8" i="444"/>
  <c r="Z8" i="444"/>
  <c r="P8" i="444"/>
  <c r="BL7" i="444"/>
  <c r="Z7" i="444"/>
  <c r="AA7" i="444" s="1"/>
  <c r="Q7" i="444"/>
  <c r="P7" i="444"/>
  <c r="BP6" i="444"/>
  <c r="BL6" i="444"/>
  <c r="AK6" i="444"/>
  <c r="AG6" i="444"/>
  <c r="Z6" i="444"/>
  <c r="P6" i="444"/>
  <c r="BP5" i="444"/>
  <c r="BP7" i="444" s="1"/>
  <c r="BP10" i="444" s="1"/>
  <c r="BP14" i="444" s="1"/>
  <c r="BH49" i="444" s="1"/>
  <c r="BP24" i="444" s="1"/>
  <c r="BP31" i="444" s="1"/>
  <c r="BP39" i="444" s="1"/>
  <c r="BL14" i="444" s="1"/>
  <c r="AK5" i="444"/>
  <c r="AG5" i="444"/>
  <c r="Z5" i="444"/>
  <c r="P5" i="444"/>
  <c r="K3" i="444"/>
  <c r="D3" i="444"/>
  <c r="G3" i="444" s="1"/>
  <c r="AI2" i="444"/>
  <c r="S2" i="444"/>
  <c r="G2" i="444"/>
  <c r="S1" i="444"/>
  <c r="K1" i="444"/>
  <c r="R18" i="444" l="1"/>
  <c r="R12" i="444"/>
  <c r="R7" i="444"/>
  <c r="AN6" i="444"/>
  <c r="AN17" i="444"/>
  <c r="AN11" i="444"/>
  <c r="AN9" i="444"/>
  <c r="AN10" i="444"/>
  <c r="AN19" i="444"/>
  <c r="AI19" i="444" s="1"/>
  <c r="AN8" i="444"/>
  <c r="AN5" i="444"/>
  <c r="AB7" i="444"/>
  <c r="AC7" i="444" s="1"/>
  <c r="Q14" i="444"/>
  <c r="R14" i="444" s="1"/>
  <c r="S14" i="444" s="1"/>
  <c r="S12" i="444"/>
  <c r="S7" i="444"/>
  <c r="AB12" i="444"/>
  <c r="AB16" i="444"/>
  <c r="AB18" i="444"/>
  <c r="S18" i="444"/>
  <c r="R15" i="444"/>
  <c r="B23" i="444"/>
  <c r="R16" i="444"/>
  <c r="AB15" i="444"/>
  <c r="G1" i="444"/>
  <c r="K2" i="444"/>
  <c r="B31" i="444"/>
  <c r="W25" i="444" s="1"/>
  <c r="BF44" i="444"/>
  <c r="C31" i="444"/>
  <c r="W39" i="444" s="1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AI6" i="444" l="1"/>
  <c r="AI14" i="444"/>
  <c r="Y14" i="444" s="1"/>
  <c r="AA14" i="444" s="1"/>
  <c r="AB14" i="444" s="1"/>
  <c r="AC14" i="444" s="1"/>
  <c r="AI10" i="444"/>
  <c r="AI11" i="444"/>
  <c r="AI17" i="444"/>
  <c r="O19" i="444"/>
  <c r="Q19" i="444" s="1"/>
  <c r="R19" i="444" s="1"/>
  <c r="S19" i="444" s="1"/>
  <c r="Y19" i="444"/>
  <c r="AA19" i="444" s="1"/>
  <c r="AB19" i="444" s="1"/>
  <c r="AC19" i="444" s="1"/>
  <c r="AI5" i="444"/>
  <c r="O5" i="444" s="1"/>
  <c r="Q5" i="444" s="1"/>
  <c r="R5" i="444" s="1"/>
  <c r="S5" i="444" s="1"/>
  <c r="AI13" i="444"/>
  <c r="O13" i="444" s="1"/>
  <c r="Q13" i="444" s="1"/>
  <c r="R13" i="444" s="1"/>
  <c r="AI8" i="444"/>
  <c r="AI9" i="444"/>
  <c r="T39" i="444"/>
  <c r="T43" i="444"/>
  <c r="T48" i="444"/>
  <c r="T46" i="444"/>
  <c r="T45" i="444"/>
  <c r="T41" i="444"/>
  <c r="T40" i="444"/>
  <c r="B24" i="444"/>
  <c r="T47" i="444"/>
  <c r="B34" i="444"/>
  <c r="T44" i="444"/>
  <c r="T49" i="444"/>
  <c r="AC15" i="444"/>
  <c r="AC16" i="444"/>
  <c r="AC18" i="444"/>
  <c r="C23" i="444"/>
  <c r="T42" i="444"/>
  <c r="S16" i="444"/>
  <c r="S15" i="444"/>
  <c r="AC12" i="444"/>
  <c r="AL3" i="441"/>
  <c r="AL4" i="441"/>
  <c r="AL5" i="441"/>
  <c r="AL6" i="441"/>
  <c r="AL7" i="441"/>
  <c r="AL8" i="441"/>
  <c r="AL9" i="441"/>
  <c r="AL10" i="441"/>
  <c r="AL11" i="441"/>
  <c r="AL12" i="441"/>
  <c r="AL13" i="441"/>
  <c r="AL14" i="441"/>
  <c r="AL15" i="441"/>
  <c r="AL16" i="441"/>
  <c r="AL17" i="441"/>
  <c r="AL18" i="441"/>
  <c r="AL19" i="441"/>
  <c r="AL20" i="441"/>
  <c r="AL21" i="441"/>
  <c r="AL2" i="441"/>
  <c r="AK5" i="441"/>
  <c r="AK6" i="441"/>
  <c r="AK13" i="441"/>
  <c r="AK11" i="441"/>
  <c r="AK7" i="441"/>
  <c r="AK16" i="441"/>
  <c r="AK17" i="441"/>
  <c r="AK18" i="441"/>
  <c r="AK19" i="441"/>
  <c r="AK2" i="441"/>
  <c r="AK14" i="441"/>
  <c r="AK15" i="441"/>
  <c r="AK3" i="441"/>
  <c r="AK8" i="441"/>
  <c r="AK12" i="441"/>
  <c r="AK9" i="441"/>
  <c r="AK4" i="441"/>
  <c r="AK21" i="441"/>
  <c r="AK10" i="441"/>
  <c r="AK20" i="441"/>
  <c r="AJ5" i="441"/>
  <c r="AJ6" i="441"/>
  <c r="AJ13" i="441"/>
  <c r="AJ11" i="441"/>
  <c r="AJ7" i="441"/>
  <c r="AJ16" i="441"/>
  <c r="AJ17" i="441"/>
  <c r="AJ18" i="441"/>
  <c r="AJ19" i="441"/>
  <c r="AJ2" i="441"/>
  <c r="AJ14" i="441"/>
  <c r="AJ15" i="441"/>
  <c r="AJ3" i="441"/>
  <c r="AJ8" i="441"/>
  <c r="AJ12" i="441"/>
  <c r="AJ9" i="441"/>
  <c r="AJ4" i="441"/>
  <c r="AJ21" i="441"/>
  <c r="AJ10" i="441"/>
  <c r="AJ20" i="441"/>
  <c r="O6" i="444" l="1"/>
  <c r="Q6" i="444" s="1"/>
  <c r="R6" i="444" s="1"/>
  <c r="S6" i="444" s="1"/>
  <c r="Y6" i="444"/>
  <c r="AA6" i="444" s="1"/>
  <c r="AB6" i="444" s="1"/>
  <c r="AC6" i="444" s="1"/>
  <c r="Y13" i="444"/>
  <c r="AA13" i="444" s="1"/>
  <c r="AB13" i="444" s="1"/>
  <c r="AC13" i="444" s="1"/>
  <c r="Y11" i="444"/>
  <c r="AA11" i="444" s="1"/>
  <c r="AB11" i="444" s="1"/>
  <c r="AC11" i="444" s="1"/>
  <c r="O11" i="444"/>
  <c r="Q11" i="444" s="1"/>
  <c r="R11" i="444" s="1"/>
  <c r="S11" i="444" s="1"/>
  <c r="Y10" i="444"/>
  <c r="AA10" i="444" s="1"/>
  <c r="AB10" i="444" s="1"/>
  <c r="AC10" i="444" s="1"/>
  <c r="O10" i="444"/>
  <c r="Q10" i="444" s="1"/>
  <c r="R10" i="444" s="1"/>
  <c r="S10" i="444" s="1"/>
  <c r="Y5" i="444"/>
  <c r="AA5" i="444" s="1"/>
  <c r="AB5" i="444" s="1"/>
  <c r="AC5" i="444" s="1"/>
  <c r="Y17" i="444"/>
  <c r="AA17" i="444" s="1"/>
  <c r="AB17" i="444" s="1"/>
  <c r="AC17" i="444" s="1"/>
  <c r="O17" i="444"/>
  <c r="Q17" i="444" s="1"/>
  <c r="R17" i="444" s="1"/>
  <c r="S17" i="444" s="1"/>
  <c r="Y8" i="444"/>
  <c r="AA8" i="444" s="1"/>
  <c r="AB8" i="444" s="1"/>
  <c r="AC8" i="444" s="1"/>
  <c r="O8" i="444"/>
  <c r="Q8" i="444" s="1"/>
  <c r="R8" i="444" s="1"/>
  <c r="S8" i="444" s="1"/>
  <c r="O9" i="444"/>
  <c r="Q9" i="444" s="1"/>
  <c r="R9" i="444" s="1"/>
  <c r="S9" i="444" s="1"/>
  <c r="Y9" i="444"/>
  <c r="AA9" i="444" s="1"/>
  <c r="AB9" i="444" s="1"/>
  <c r="AC9" i="444" s="1"/>
  <c r="T37" i="444"/>
  <c r="C34" i="444"/>
  <c r="T25" i="444"/>
  <c r="T27" i="444"/>
  <c r="C24" i="444"/>
  <c r="T26" i="444"/>
  <c r="T30" i="444"/>
  <c r="T28" i="444"/>
  <c r="T29" i="444"/>
  <c r="T34" i="444"/>
  <c r="T33" i="444"/>
  <c r="T35" i="444"/>
  <c r="T32" i="444"/>
  <c r="T31" i="444"/>
  <c r="N29" i="444"/>
  <c r="P29" i="444" s="1"/>
  <c r="N28" i="444"/>
  <c r="P28" i="444" s="1"/>
  <c r="N27" i="444"/>
  <c r="P27" i="444" s="1"/>
  <c r="N30" i="444"/>
  <c r="P30" i="444" s="1"/>
  <c r="R35" i="444" s="1"/>
  <c r="N26" i="444"/>
  <c r="N25" i="444"/>
  <c r="S13" i="444"/>
  <c r="BF48" i="443"/>
  <c r="BF47" i="443"/>
  <c r="BE45" i="443"/>
  <c r="BF46" i="443" s="1"/>
  <c r="BE44" i="443"/>
  <c r="BF45" i="443" s="1"/>
  <c r="BD44" i="443"/>
  <c r="BH43" i="443"/>
  <c r="BH48" i="443" s="1"/>
  <c r="BH53" i="443" s="1"/>
  <c r="BH56" i="443" s="1"/>
  <c r="BH58" i="443" s="1"/>
  <c r="BH59" i="443" s="1"/>
  <c r="BE43" i="443"/>
  <c r="BF44" i="443" s="1"/>
  <c r="BD43" i="443"/>
  <c r="BC43" i="443"/>
  <c r="BE42" i="443"/>
  <c r="BF43" i="443" s="1"/>
  <c r="BD42" i="443"/>
  <c r="BC42" i="443"/>
  <c r="BF41" i="443"/>
  <c r="BE41" i="443"/>
  <c r="BD41" i="443"/>
  <c r="BC41" i="443"/>
  <c r="BF40" i="443"/>
  <c r="BE40" i="443"/>
  <c r="BD40" i="443"/>
  <c r="BC40" i="443"/>
  <c r="BC39" i="443"/>
  <c r="AS38" i="443"/>
  <c r="AR38" i="443"/>
  <c r="AQ38" i="443"/>
  <c r="AP38" i="443"/>
  <c r="AO38" i="443"/>
  <c r="AN38" i="443"/>
  <c r="AM38" i="443"/>
  <c r="AL38" i="443"/>
  <c r="AK38" i="443"/>
  <c r="AJ38" i="443"/>
  <c r="AI38" i="443"/>
  <c r="AH38" i="443"/>
  <c r="AG38" i="443"/>
  <c r="AF38" i="443"/>
  <c r="AE38" i="443"/>
  <c r="AD38" i="443"/>
  <c r="AC38" i="443"/>
  <c r="AB38" i="443"/>
  <c r="AA38" i="443"/>
  <c r="Z38" i="443"/>
  <c r="Y38" i="443"/>
  <c r="X38" i="443"/>
  <c r="W38" i="443"/>
  <c r="V38" i="443"/>
  <c r="U38" i="443"/>
  <c r="T38" i="443"/>
  <c r="S38" i="443"/>
  <c r="R38" i="443"/>
  <c r="Q38" i="443"/>
  <c r="P38" i="443"/>
  <c r="O38" i="443"/>
  <c r="N38" i="443"/>
  <c r="M38" i="443"/>
  <c r="L38" i="443"/>
  <c r="K38" i="443"/>
  <c r="J38" i="443"/>
  <c r="I38" i="443"/>
  <c r="H38" i="443"/>
  <c r="G38" i="443"/>
  <c r="BH34" i="443"/>
  <c r="BH40" i="443" s="1"/>
  <c r="BH45" i="443" s="1"/>
  <c r="BH50" i="443" s="1"/>
  <c r="BL11" i="443" s="1"/>
  <c r="BP38" i="443" s="1"/>
  <c r="BP46" i="443" s="1"/>
  <c r="BF34" i="443"/>
  <c r="BF33" i="443"/>
  <c r="C33" i="443"/>
  <c r="B33" i="443"/>
  <c r="BF32" i="443"/>
  <c r="C32" i="443"/>
  <c r="B32" i="443"/>
  <c r="BH31" i="443"/>
  <c r="BE31" i="443"/>
  <c r="BH30" i="443"/>
  <c r="BH37" i="443" s="1"/>
  <c r="BF30" i="443"/>
  <c r="BE30" i="443"/>
  <c r="BF31" i="443" s="1"/>
  <c r="BD30" i="443"/>
  <c r="E30" i="443"/>
  <c r="D30" i="443"/>
  <c r="BH29" i="443"/>
  <c r="BH36" i="443" s="1"/>
  <c r="BH42" i="443" s="1"/>
  <c r="BH47" i="443" s="1"/>
  <c r="BH52" i="443" s="1"/>
  <c r="BH55" i="443" s="1"/>
  <c r="BH57" i="443" s="1"/>
  <c r="BE29" i="443"/>
  <c r="BD29" i="443"/>
  <c r="BC29" i="443"/>
  <c r="C29" i="443"/>
  <c r="B29" i="443"/>
  <c r="BP28" i="443"/>
  <c r="BP35" i="443" s="1"/>
  <c r="BP43" i="443" s="1"/>
  <c r="BH28" i="443"/>
  <c r="BH35" i="443" s="1"/>
  <c r="BH41" i="443" s="1"/>
  <c r="BH46" i="443" s="1"/>
  <c r="BH51" i="443" s="1"/>
  <c r="BH54" i="443" s="1"/>
  <c r="BE28" i="443"/>
  <c r="BF29" i="443" s="1"/>
  <c r="BD28" i="443"/>
  <c r="BC28" i="443"/>
  <c r="BH27" i="443"/>
  <c r="BF27" i="443"/>
  <c r="BE27" i="443"/>
  <c r="BF28" i="443" s="1"/>
  <c r="BD27" i="443"/>
  <c r="BC27" i="443"/>
  <c r="C27" i="443"/>
  <c r="B27" i="443"/>
  <c r="BH26" i="443"/>
  <c r="BH33" i="443" s="1"/>
  <c r="BH39" i="443" s="1"/>
  <c r="BH44" i="443" s="1"/>
  <c r="BF26" i="443"/>
  <c r="BE26" i="443"/>
  <c r="BD26" i="443"/>
  <c r="BC26" i="443"/>
  <c r="E26" i="443"/>
  <c r="E27" i="443" s="1"/>
  <c r="D26" i="443"/>
  <c r="D27" i="443" s="1"/>
  <c r="C26" i="443"/>
  <c r="B26" i="443"/>
  <c r="BH25" i="443"/>
  <c r="BH32" i="443" s="1"/>
  <c r="BH38" i="443" s="1"/>
  <c r="BC25" i="443"/>
  <c r="E25" i="443"/>
  <c r="D25" i="443"/>
  <c r="D23" i="443" s="1"/>
  <c r="C25" i="443"/>
  <c r="B25" i="443"/>
  <c r="BH24" i="443"/>
  <c r="BH23" i="443"/>
  <c r="BL7" i="443" s="1"/>
  <c r="BP13" i="443" s="1"/>
  <c r="BP17" i="443" s="1"/>
  <c r="BP21" i="443" s="1"/>
  <c r="BP27" i="443" s="1"/>
  <c r="BP34" i="443" s="1"/>
  <c r="BP42" i="443" s="1"/>
  <c r="B22" i="443"/>
  <c r="C22" i="443" s="1"/>
  <c r="AB18" i="443" s="1"/>
  <c r="B20" i="443"/>
  <c r="B21" i="443" s="1"/>
  <c r="AK19" i="443"/>
  <c r="AG19" i="443"/>
  <c r="Z19" i="443"/>
  <c r="P19" i="443"/>
  <c r="AA18" i="443"/>
  <c r="Q18" i="443"/>
  <c r="AK17" i="443"/>
  <c r="AN17" i="443" s="1"/>
  <c r="AG17" i="443"/>
  <c r="Z17" i="443"/>
  <c r="P17" i="443"/>
  <c r="AA16" i="443"/>
  <c r="Q16" i="443"/>
  <c r="C16" i="443"/>
  <c r="B16" i="443"/>
  <c r="AA15" i="443"/>
  <c r="Q15" i="443"/>
  <c r="AN14" i="443"/>
  <c r="Z14" i="443"/>
  <c r="P14" i="443"/>
  <c r="O14" i="443"/>
  <c r="BL13" i="443"/>
  <c r="Z13" i="443"/>
  <c r="P13" i="443"/>
  <c r="BL12" i="443"/>
  <c r="BP47" i="443" s="1"/>
  <c r="AA12" i="443"/>
  <c r="Q12" i="443"/>
  <c r="AK11" i="443"/>
  <c r="AG11" i="443"/>
  <c r="Z11" i="443"/>
  <c r="P11" i="443"/>
  <c r="BL10" i="443"/>
  <c r="BP30" i="443" s="1"/>
  <c r="BP37" i="443" s="1"/>
  <c r="BP45" i="443" s="1"/>
  <c r="AK10" i="443"/>
  <c r="AG10" i="443"/>
  <c r="Z10" i="443"/>
  <c r="P10" i="443"/>
  <c r="BL9" i="443"/>
  <c r="BP23" i="443" s="1"/>
  <c r="BP29" i="443" s="1"/>
  <c r="BP36" i="443" s="1"/>
  <c r="BP44" i="443" s="1"/>
  <c r="AK9" i="443"/>
  <c r="AG9" i="443"/>
  <c r="Z9" i="443"/>
  <c r="P9" i="443"/>
  <c r="BL8" i="443"/>
  <c r="BP18" i="443" s="1"/>
  <c r="BP22" i="443" s="1"/>
  <c r="AK8" i="443"/>
  <c r="AG8" i="443"/>
  <c r="Z8" i="443"/>
  <c r="P8" i="443"/>
  <c r="Z7" i="443"/>
  <c r="AA7" i="443" s="1"/>
  <c r="R7" i="443"/>
  <c r="Q7" i="443"/>
  <c r="P7" i="443"/>
  <c r="BP6" i="443"/>
  <c r="BP8" i="443" s="1"/>
  <c r="BP11" i="443" s="1"/>
  <c r="BP15" i="443" s="1"/>
  <c r="BP19" i="443" s="1"/>
  <c r="BP25" i="443" s="1"/>
  <c r="BP32" i="443" s="1"/>
  <c r="BP40" i="443" s="1"/>
  <c r="BL6" i="443"/>
  <c r="BP9" i="443" s="1"/>
  <c r="BP12" i="443" s="1"/>
  <c r="BP16" i="443" s="1"/>
  <c r="BP20" i="443" s="1"/>
  <c r="BP26" i="443" s="1"/>
  <c r="BP33" i="443" s="1"/>
  <c r="BP41" i="443" s="1"/>
  <c r="AK6" i="443"/>
  <c r="AN6" i="443" s="1"/>
  <c r="AG6" i="443"/>
  <c r="Z6" i="443"/>
  <c r="P6" i="443"/>
  <c r="BP5" i="443"/>
  <c r="BP7" i="443" s="1"/>
  <c r="BP10" i="443" s="1"/>
  <c r="BP14" i="443" s="1"/>
  <c r="BH49" i="443" s="1"/>
  <c r="BP24" i="443" s="1"/>
  <c r="BP31" i="443" s="1"/>
  <c r="BP39" i="443" s="1"/>
  <c r="BL14" i="443" s="1"/>
  <c r="AK5" i="443"/>
  <c r="AG5" i="443"/>
  <c r="Z5" i="443"/>
  <c r="P5" i="443"/>
  <c r="G3" i="443"/>
  <c r="D3" i="443"/>
  <c r="K3" i="443" s="1"/>
  <c r="AI2" i="443"/>
  <c r="S2" i="443"/>
  <c r="K2" i="443"/>
  <c r="G2" i="443"/>
  <c r="S1" i="443"/>
  <c r="G1" i="443"/>
  <c r="R34" i="444" l="1"/>
  <c r="R33" i="444"/>
  <c r="T13" i="444"/>
  <c r="U13" i="444"/>
  <c r="AD7" i="444"/>
  <c r="S20" i="444"/>
  <c r="L25" i="444" s="1"/>
  <c r="AD8" i="444"/>
  <c r="AD19" i="444"/>
  <c r="AE7" i="444"/>
  <c r="T19" i="444"/>
  <c r="AE5" i="444"/>
  <c r="AE11" i="444"/>
  <c r="AD13" i="444"/>
  <c r="AD18" i="444"/>
  <c r="AD16" i="444"/>
  <c r="AD17" i="444"/>
  <c r="AE13" i="444"/>
  <c r="U9" i="444"/>
  <c r="U8" i="444"/>
  <c r="U5" i="444"/>
  <c r="AD10" i="444"/>
  <c r="T8" i="444"/>
  <c r="U15" i="444"/>
  <c r="T7" i="444"/>
  <c r="AE18" i="444"/>
  <c r="T15" i="444"/>
  <c r="T23" i="444"/>
  <c r="U18" i="444"/>
  <c r="AC20" i="444"/>
  <c r="L39" i="444" s="1"/>
  <c r="T10" i="444"/>
  <c r="AE17" i="444"/>
  <c r="AE15" i="444"/>
  <c r="AE16" i="444"/>
  <c r="U16" i="444"/>
  <c r="T17" i="444"/>
  <c r="T14" i="444"/>
  <c r="AD9" i="444"/>
  <c r="U17" i="444"/>
  <c r="T11" i="444"/>
  <c r="T9" i="444"/>
  <c r="AD5" i="444"/>
  <c r="AD15" i="444"/>
  <c r="T18" i="444"/>
  <c r="T12" i="444"/>
  <c r="AD6" i="444"/>
  <c r="AD11" i="444"/>
  <c r="AD14" i="444"/>
  <c r="AD12" i="444"/>
  <c r="AE14" i="444"/>
  <c r="T5" i="444"/>
  <c r="U14" i="444"/>
  <c r="T16" i="444"/>
  <c r="T6" i="444"/>
  <c r="N23" i="444"/>
  <c r="P25" i="444"/>
  <c r="R26" i="444" s="1"/>
  <c r="U11" i="444"/>
  <c r="P26" i="444"/>
  <c r="R31" i="444" s="1"/>
  <c r="AE8" i="444"/>
  <c r="AE9" i="444"/>
  <c r="AE12" i="444"/>
  <c r="AE10" i="444"/>
  <c r="AE6" i="444"/>
  <c r="U12" i="444"/>
  <c r="R32" i="444"/>
  <c r="U7" i="444"/>
  <c r="N43" i="444"/>
  <c r="P43" i="444" s="1"/>
  <c r="N41" i="444"/>
  <c r="P41" i="444" s="1"/>
  <c r="N39" i="444"/>
  <c r="N44" i="444"/>
  <c r="P44" i="444" s="1"/>
  <c r="N42" i="444"/>
  <c r="P42" i="444" s="1"/>
  <c r="N40" i="444"/>
  <c r="P40" i="444" s="1"/>
  <c r="U10" i="444"/>
  <c r="U6" i="444"/>
  <c r="R12" i="443"/>
  <c r="AB7" i="443"/>
  <c r="R18" i="443"/>
  <c r="S18" i="443" s="1"/>
  <c r="AB12" i="443"/>
  <c r="AC12" i="443" s="1"/>
  <c r="R16" i="443"/>
  <c r="AN10" i="443"/>
  <c r="AN11" i="443"/>
  <c r="AN9" i="443"/>
  <c r="AI9" i="443" s="1"/>
  <c r="O9" i="443" s="1"/>
  <c r="Q9" i="443" s="1"/>
  <c r="R9" i="443" s="1"/>
  <c r="AN8" i="443"/>
  <c r="AN5" i="443"/>
  <c r="Q14" i="443"/>
  <c r="R14" i="443" s="1"/>
  <c r="S14" i="443" s="1"/>
  <c r="AN19" i="443"/>
  <c r="AI19" i="443" s="1"/>
  <c r="Y19" i="443" s="1"/>
  <c r="AA19" i="443" s="1"/>
  <c r="AB19" i="443" s="1"/>
  <c r="E23" i="443"/>
  <c r="AC7" i="443"/>
  <c r="AC18" i="443"/>
  <c r="AI5" i="443"/>
  <c r="S7" i="443"/>
  <c r="K1" i="443"/>
  <c r="S12" i="443"/>
  <c r="R15" i="443"/>
  <c r="S16" i="443"/>
  <c r="AI14" i="443"/>
  <c r="Y14" i="443" s="1"/>
  <c r="AA14" i="443" s="1"/>
  <c r="AB14" i="443" s="1"/>
  <c r="AB16" i="443"/>
  <c r="AB15" i="443"/>
  <c r="B23" i="443"/>
  <c r="B31" i="443"/>
  <c r="W25" i="443" s="1"/>
  <c r="C31" i="443"/>
  <c r="W39" i="443" s="1"/>
  <c r="BF42" i="443"/>
  <c r="AE20" i="444" l="1"/>
  <c r="L41" i="444" s="1"/>
  <c r="U20" i="444"/>
  <c r="L27" i="444" s="1"/>
  <c r="AD20" i="444"/>
  <c r="T20" i="444"/>
  <c r="R30" i="444"/>
  <c r="R29" i="444"/>
  <c r="R25" i="444"/>
  <c r="V26" i="444" s="1"/>
  <c r="R27" i="444"/>
  <c r="R28" i="444"/>
  <c r="P23" i="444"/>
  <c r="R47" i="444"/>
  <c r="R49" i="444"/>
  <c r="R48" i="444"/>
  <c r="R46" i="444"/>
  <c r="R45" i="444"/>
  <c r="N37" i="444"/>
  <c r="P39" i="444"/>
  <c r="R43" i="444" s="1"/>
  <c r="R41" i="444"/>
  <c r="Y9" i="443"/>
  <c r="AA9" i="443" s="1"/>
  <c r="AB9" i="443" s="1"/>
  <c r="O19" i="443"/>
  <c r="Q19" i="443" s="1"/>
  <c r="R19" i="443" s="1"/>
  <c r="AI10" i="443"/>
  <c r="Y10" i="443" s="1"/>
  <c r="AA10" i="443" s="1"/>
  <c r="AB10" i="443" s="1"/>
  <c r="T47" i="443"/>
  <c r="T45" i="443"/>
  <c r="AI8" i="443"/>
  <c r="O8" i="443" s="1"/>
  <c r="Q8" i="443" s="1"/>
  <c r="R8" i="443" s="1"/>
  <c r="AI13" i="443"/>
  <c r="AI6" i="443"/>
  <c r="O6" i="443" s="1"/>
  <c r="Q6" i="443" s="1"/>
  <c r="R6" i="443" s="1"/>
  <c r="AI17" i="443"/>
  <c r="O17" i="443" s="1"/>
  <c r="Q17" i="443" s="1"/>
  <c r="R17" i="443" s="1"/>
  <c r="AI11" i="443"/>
  <c r="Y11" i="443" s="1"/>
  <c r="AA11" i="443" s="1"/>
  <c r="AB11" i="443" s="1"/>
  <c r="T41" i="443"/>
  <c r="T49" i="443"/>
  <c r="AC14" i="443"/>
  <c r="S19" i="443"/>
  <c r="AC19" i="443"/>
  <c r="AC9" i="443"/>
  <c r="O11" i="443"/>
  <c r="Q11" i="443" s="1"/>
  <c r="R11" i="443" s="1"/>
  <c r="T48" i="443"/>
  <c r="AC15" i="443"/>
  <c r="Y8" i="443"/>
  <c r="AA8" i="443" s="1"/>
  <c r="AB8" i="443" s="1"/>
  <c r="S15" i="443"/>
  <c r="S9" i="443"/>
  <c r="T42" i="443"/>
  <c r="T46" i="443"/>
  <c r="B34" i="443"/>
  <c r="B24" i="443"/>
  <c r="T40" i="443"/>
  <c r="C23" i="443"/>
  <c r="AC16" i="443"/>
  <c r="T39" i="443"/>
  <c r="T44" i="443"/>
  <c r="T43" i="443"/>
  <c r="O5" i="443"/>
  <c r="Q5" i="443" s="1"/>
  <c r="R5" i="443" s="1"/>
  <c r="Y5" i="443"/>
  <c r="AA5" i="443" s="1"/>
  <c r="AB5" i="443" s="1"/>
  <c r="L26" i="444" l="1"/>
  <c r="V20" i="444"/>
  <c r="L28" i="444" s="1"/>
  <c r="L40" i="444"/>
  <c r="AF20" i="444"/>
  <c r="L42" i="444" s="1"/>
  <c r="AA25" i="444"/>
  <c r="AA26" i="444"/>
  <c r="P37" i="444"/>
  <c r="R39" i="444"/>
  <c r="V28" i="444"/>
  <c r="R23" i="444"/>
  <c r="V25" i="444"/>
  <c r="V31" i="444"/>
  <c r="V30" i="444"/>
  <c r="V32" i="444"/>
  <c r="V33" i="444"/>
  <c r="V29" i="444"/>
  <c r="V34" i="444"/>
  <c r="R42" i="444"/>
  <c r="R44" i="444"/>
  <c r="V27" i="444"/>
  <c r="R40" i="444"/>
  <c r="O10" i="443"/>
  <c r="Q10" i="443" s="1"/>
  <c r="R10" i="443" s="1"/>
  <c r="Y6" i="443"/>
  <c r="AA6" i="443" s="1"/>
  <c r="AB6" i="443" s="1"/>
  <c r="Y17" i="443"/>
  <c r="AA17" i="443" s="1"/>
  <c r="AB17" i="443" s="1"/>
  <c r="AC17" i="443" s="1"/>
  <c r="Y13" i="443"/>
  <c r="AA13" i="443" s="1"/>
  <c r="AB13" i="443" s="1"/>
  <c r="AC13" i="443" s="1"/>
  <c r="O13" i="443"/>
  <c r="Q13" i="443" s="1"/>
  <c r="R13" i="443" s="1"/>
  <c r="S13" i="443" s="1"/>
  <c r="S11" i="443"/>
  <c r="AC6" i="443"/>
  <c r="N30" i="443"/>
  <c r="P30" i="443" s="1"/>
  <c r="R35" i="443" s="1"/>
  <c r="N29" i="443"/>
  <c r="P29" i="443" s="1"/>
  <c r="N26" i="443"/>
  <c r="N28" i="443"/>
  <c r="P28" i="443" s="1"/>
  <c r="N25" i="443"/>
  <c r="N27" i="443"/>
  <c r="P27" i="443" s="1"/>
  <c r="AC10" i="443"/>
  <c r="AC11" i="443"/>
  <c r="S6" i="443"/>
  <c r="AC8" i="443"/>
  <c r="S5" i="443"/>
  <c r="S10" i="443"/>
  <c r="AC5" i="443"/>
  <c r="T37" i="443"/>
  <c r="C34" i="443"/>
  <c r="T27" i="443"/>
  <c r="T33" i="443"/>
  <c r="T32" i="443"/>
  <c r="T29" i="443"/>
  <c r="T26" i="443"/>
  <c r="C24" i="443"/>
  <c r="T28" i="443"/>
  <c r="T25" i="443"/>
  <c r="T30" i="443"/>
  <c r="T35" i="443"/>
  <c r="T31" i="443"/>
  <c r="T34" i="443"/>
  <c r="S8" i="443"/>
  <c r="S17" i="443"/>
  <c r="AA23" i="444" l="1"/>
  <c r="L37" i="444"/>
  <c r="V42" i="444"/>
  <c r="AE42" i="444" s="1"/>
  <c r="L23" i="444"/>
  <c r="AO30" i="444"/>
  <c r="AO31" i="444"/>
  <c r="AO27" i="444"/>
  <c r="AO29" i="444"/>
  <c r="AO32" i="444"/>
  <c r="AO26" i="444"/>
  <c r="AO33" i="444"/>
  <c r="AO25" i="444"/>
  <c r="AO28" i="444"/>
  <c r="V40" i="444"/>
  <c r="AM32" i="444"/>
  <c r="AM26" i="444"/>
  <c r="AM25" i="444"/>
  <c r="AM31" i="444"/>
  <c r="AM29" i="444"/>
  <c r="AM28" i="444"/>
  <c r="AM27" i="444"/>
  <c r="AM30" i="444"/>
  <c r="AC27" i="444"/>
  <c r="AC26" i="444"/>
  <c r="AC25" i="444"/>
  <c r="AQ32" i="444"/>
  <c r="AQ28" i="444"/>
  <c r="AQ26" i="444"/>
  <c r="AQ30" i="444"/>
  <c r="AQ33" i="444"/>
  <c r="AQ29" i="444"/>
  <c r="AQ25" i="444"/>
  <c r="AQ31" i="444"/>
  <c r="AQ34" i="444"/>
  <c r="AQ27" i="444"/>
  <c r="AI30" i="444"/>
  <c r="AI28" i="444"/>
  <c r="AI29" i="444"/>
  <c r="AI27" i="444"/>
  <c r="AI25" i="444"/>
  <c r="AI26" i="444"/>
  <c r="AE26" i="444"/>
  <c r="AE28" i="444"/>
  <c r="AE25" i="444"/>
  <c r="AE27" i="444"/>
  <c r="V23" i="444"/>
  <c r="V35" i="444" s="1"/>
  <c r="V22" i="444"/>
  <c r="Y25" i="444"/>
  <c r="V39" i="444"/>
  <c r="R37" i="444"/>
  <c r="V46" i="444"/>
  <c r="V48" i="444"/>
  <c r="V47" i="444"/>
  <c r="V45" i="444"/>
  <c r="V43" i="444"/>
  <c r="V44" i="444"/>
  <c r="AG26" i="444"/>
  <c r="AG25" i="444"/>
  <c r="AG27" i="444"/>
  <c r="AG29" i="444"/>
  <c r="AG28" i="444"/>
  <c r="AK28" i="444"/>
  <c r="AK29" i="444"/>
  <c r="AK30" i="444"/>
  <c r="AK27" i="444"/>
  <c r="AK26" i="444"/>
  <c r="AK25" i="444"/>
  <c r="AK31" i="444"/>
  <c r="V41" i="444"/>
  <c r="R34" i="443"/>
  <c r="AD5" i="443"/>
  <c r="U15" i="443"/>
  <c r="AE6" i="443"/>
  <c r="T8" i="443"/>
  <c r="AE5" i="443"/>
  <c r="AD17" i="443"/>
  <c r="T5" i="443"/>
  <c r="AE15" i="443"/>
  <c r="AE11" i="443"/>
  <c r="U5" i="443"/>
  <c r="AE10" i="443"/>
  <c r="R33" i="443"/>
  <c r="AE7" i="443"/>
  <c r="T23" i="443"/>
  <c r="S20" i="443"/>
  <c r="T14" i="443"/>
  <c r="T16" i="443"/>
  <c r="T18" i="443"/>
  <c r="T12" i="443"/>
  <c r="T7" i="443"/>
  <c r="T13" i="443"/>
  <c r="T9" i="443"/>
  <c r="U18" i="443"/>
  <c r="T15" i="443"/>
  <c r="T19" i="443"/>
  <c r="U13" i="443"/>
  <c r="T6" i="443"/>
  <c r="U14" i="443"/>
  <c r="T17" i="443"/>
  <c r="U8" i="443"/>
  <c r="AE17" i="443"/>
  <c r="AD8" i="443"/>
  <c r="U6" i="443"/>
  <c r="AD11" i="443"/>
  <c r="P26" i="443"/>
  <c r="R31" i="443" s="1"/>
  <c r="N44" i="443"/>
  <c r="P44" i="443" s="1"/>
  <c r="N40" i="443"/>
  <c r="P40" i="443" s="1"/>
  <c r="N42" i="443"/>
  <c r="P42" i="443" s="1"/>
  <c r="N39" i="443"/>
  <c r="N43" i="443"/>
  <c r="P43" i="443" s="1"/>
  <c r="N41" i="443"/>
  <c r="P41" i="443" s="1"/>
  <c r="AC20" i="443"/>
  <c r="AD7" i="443"/>
  <c r="AD12" i="443"/>
  <c r="AD18" i="443"/>
  <c r="AD9" i="443"/>
  <c r="AE9" i="443"/>
  <c r="AE18" i="443"/>
  <c r="AD16" i="443"/>
  <c r="AD14" i="443"/>
  <c r="AD19" i="443"/>
  <c r="AD15" i="443"/>
  <c r="AE12" i="443"/>
  <c r="AD13" i="443"/>
  <c r="T10" i="443"/>
  <c r="U12" i="443"/>
  <c r="R32" i="443"/>
  <c r="U11" i="443"/>
  <c r="U9" i="443"/>
  <c r="T11" i="443"/>
  <c r="U17" i="443"/>
  <c r="U16" i="443"/>
  <c r="U7" i="443"/>
  <c r="U10" i="443"/>
  <c r="AE16" i="443"/>
  <c r="AE8" i="443"/>
  <c r="AD10" i="443"/>
  <c r="P25" i="443"/>
  <c r="N23" i="443"/>
  <c r="AD6" i="443"/>
  <c r="AE13" i="443"/>
  <c r="AE14" i="443"/>
  <c r="AE23" i="444" l="1"/>
  <c r="AI23" i="444"/>
  <c r="AQ23" i="444"/>
  <c r="AO23" i="444"/>
  <c r="AK23" i="444"/>
  <c r="AE40" i="444"/>
  <c r="AM23" i="444"/>
  <c r="AE39" i="444"/>
  <c r="AG23" i="444"/>
  <c r="AE41" i="444"/>
  <c r="AC23" i="444"/>
  <c r="AG39" i="444"/>
  <c r="AG43" i="444"/>
  <c r="AG41" i="444"/>
  <c r="AG42" i="444"/>
  <c r="AG40" i="444"/>
  <c r="AK43" i="444"/>
  <c r="AK39" i="444"/>
  <c r="AK41" i="444"/>
  <c r="AK42" i="444"/>
  <c r="AK44" i="444"/>
  <c r="AK40" i="444"/>
  <c r="AK45" i="444"/>
  <c r="AI41" i="444"/>
  <c r="AI40" i="444"/>
  <c r="AI39" i="444"/>
  <c r="AI43" i="444"/>
  <c r="AI44" i="444"/>
  <c r="AI42" i="444"/>
  <c r="AO43" i="444"/>
  <c r="AO39" i="444"/>
  <c r="AO46" i="444"/>
  <c r="AO40" i="444"/>
  <c r="AO47" i="444"/>
  <c r="AO42" i="444"/>
  <c r="AO41" i="444"/>
  <c r="AO45" i="444"/>
  <c r="AO44" i="444"/>
  <c r="V37" i="444"/>
  <c r="V49" i="444" s="1"/>
  <c r="V36" i="444" s="1"/>
  <c r="Y39" i="444"/>
  <c r="AA39" i="444"/>
  <c r="AA40" i="444"/>
  <c r="AM43" i="444"/>
  <c r="AM45" i="444"/>
  <c r="AM44" i="444"/>
  <c r="AM41" i="444"/>
  <c r="AM46" i="444"/>
  <c r="AM40" i="444"/>
  <c r="AM39" i="444"/>
  <c r="AM42" i="444"/>
  <c r="AC41" i="444"/>
  <c r="AC40" i="444"/>
  <c r="AC39" i="444"/>
  <c r="AS32" i="444"/>
  <c r="J32" i="444" s="1"/>
  <c r="AS35" i="444"/>
  <c r="J35" i="444" s="1"/>
  <c r="AS27" i="444"/>
  <c r="J27" i="444" s="1"/>
  <c r="AS26" i="444"/>
  <c r="J26" i="444" s="1"/>
  <c r="AS29" i="444"/>
  <c r="J29" i="444" s="1"/>
  <c r="AS33" i="444"/>
  <c r="J33" i="444" s="1"/>
  <c r="AS31" i="444"/>
  <c r="J31" i="444" s="1"/>
  <c r="AS34" i="444"/>
  <c r="J34" i="444" s="1"/>
  <c r="AS25" i="444"/>
  <c r="AS30" i="444"/>
  <c r="J30" i="444" s="1"/>
  <c r="AS28" i="444"/>
  <c r="J28" i="444" s="1"/>
  <c r="AQ39" i="444"/>
  <c r="AQ47" i="444"/>
  <c r="AQ41" i="444"/>
  <c r="AQ45" i="444"/>
  <c r="AQ42" i="444"/>
  <c r="AQ46" i="444"/>
  <c r="AQ40" i="444"/>
  <c r="AQ44" i="444"/>
  <c r="AQ48" i="444"/>
  <c r="AQ43" i="444"/>
  <c r="Y23" i="444"/>
  <c r="AD20" i="443"/>
  <c r="L40" i="443" s="1"/>
  <c r="AE20" i="443"/>
  <c r="L41" i="443" s="1"/>
  <c r="U20" i="443"/>
  <c r="L27" i="443" s="1"/>
  <c r="T20" i="443"/>
  <c r="L26" i="443" s="1"/>
  <c r="R30" i="443"/>
  <c r="R28" i="443"/>
  <c r="R25" i="443"/>
  <c r="R27" i="443"/>
  <c r="P23" i="443"/>
  <c r="R29" i="443"/>
  <c r="AF20" i="443"/>
  <c r="L42" i="443" s="1"/>
  <c r="L39" i="443"/>
  <c r="P39" i="443"/>
  <c r="N37" i="443"/>
  <c r="L25" i="443"/>
  <c r="R42" i="443"/>
  <c r="R26" i="443"/>
  <c r="R49" i="443"/>
  <c r="R46" i="443"/>
  <c r="R45" i="443"/>
  <c r="R48" i="443"/>
  <c r="R44" i="443"/>
  <c r="R47" i="443"/>
  <c r="R41" i="443"/>
  <c r="R40" i="443"/>
  <c r="AS23" i="444" l="1"/>
  <c r="AE37" i="444"/>
  <c r="AC37" i="444"/>
  <c r="AO37" i="444"/>
  <c r="AI37" i="444"/>
  <c r="AK37" i="444"/>
  <c r="AQ37" i="444"/>
  <c r="AM37" i="444"/>
  <c r="AA37" i="444"/>
  <c r="AG37" i="444"/>
  <c r="J25" i="444"/>
  <c r="H28" i="444" s="1"/>
  <c r="AS22" i="444"/>
  <c r="H34" i="444"/>
  <c r="H29" i="444"/>
  <c r="H30" i="444"/>
  <c r="H32" i="444"/>
  <c r="H35" i="444"/>
  <c r="H31" i="444"/>
  <c r="H27" i="444"/>
  <c r="Y37" i="444"/>
  <c r="AS46" i="444"/>
  <c r="J46" i="444" s="1"/>
  <c r="AS47" i="444"/>
  <c r="J47" i="444" s="1"/>
  <c r="AS43" i="444"/>
  <c r="J43" i="444" s="1"/>
  <c r="AS41" i="444"/>
  <c r="J41" i="444" s="1"/>
  <c r="AS49" i="444"/>
  <c r="J49" i="444" s="1"/>
  <c r="AS39" i="444"/>
  <c r="AS40" i="444"/>
  <c r="J40" i="444" s="1"/>
  <c r="AS42" i="444"/>
  <c r="J42" i="444" s="1"/>
  <c r="AS48" i="444"/>
  <c r="J48" i="444" s="1"/>
  <c r="AS44" i="444"/>
  <c r="J44" i="444" s="1"/>
  <c r="AS45" i="444"/>
  <c r="J45" i="444" s="1"/>
  <c r="H33" i="444"/>
  <c r="V20" i="443"/>
  <c r="L28" i="443" s="1"/>
  <c r="L23" i="443" s="1"/>
  <c r="R23" i="443"/>
  <c r="V25" i="443"/>
  <c r="V32" i="443"/>
  <c r="V29" i="443"/>
  <c r="V33" i="443"/>
  <c r="V30" i="443"/>
  <c r="V34" i="443"/>
  <c r="V31" i="443"/>
  <c r="V26" i="443"/>
  <c r="R39" i="443"/>
  <c r="V41" i="443" s="1"/>
  <c r="P37" i="443"/>
  <c r="V28" i="443"/>
  <c r="L37" i="443"/>
  <c r="V27" i="443"/>
  <c r="R43" i="443"/>
  <c r="H25" i="444" l="1"/>
  <c r="J23" i="444"/>
  <c r="AS37" i="444"/>
  <c r="AS36" i="444" s="1"/>
  <c r="H26" i="444"/>
  <c r="H48" i="444"/>
  <c r="BN13" i="444" s="1"/>
  <c r="H46" i="444"/>
  <c r="BJ40" i="444" s="1"/>
  <c r="BJ29" i="444"/>
  <c r="BJ55" i="444"/>
  <c r="H44" i="444"/>
  <c r="H43" i="444"/>
  <c r="BJ7" i="444" s="1"/>
  <c r="H47" i="444"/>
  <c r="BJ46" i="444" s="1"/>
  <c r="BJ57" i="444"/>
  <c r="J39" i="444"/>
  <c r="H40" i="444" s="1"/>
  <c r="H45" i="444"/>
  <c r="BJ26" i="444" s="1"/>
  <c r="H49" i="444"/>
  <c r="BJ58" i="444" s="1"/>
  <c r="BJ52" i="444"/>
  <c r="V42" i="443"/>
  <c r="AC41" i="443"/>
  <c r="AC39" i="443"/>
  <c r="AC40" i="443"/>
  <c r="AG28" i="443"/>
  <c r="AG25" i="443"/>
  <c r="AG29" i="443"/>
  <c r="AG27" i="443"/>
  <c r="AG26" i="443"/>
  <c r="AA25" i="443"/>
  <c r="AA26" i="443"/>
  <c r="AM30" i="443"/>
  <c r="AM25" i="443"/>
  <c r="AM32" i="443"/>
  <c r="AM28" i="443"/>
  <c r="AM26" i="443"/>
  <c r="AM27" i="443"/>
  <c r="AM29" i="443"/>
  <c r="AM31" i="443"/>
  <c r="R37" i="443"/>
  <c r="V39" i="443"/>
  <c r="V45" i="443"/>
  <c r="V47" i="443"/>
  <c r="V48" i="443"/>
  <c r="V44" i="443"/>
  <c r="V46" i="443"/>
  <c r="V43" i="443"/>
  <c r="V40" i="443"/>
  <c r="AI26" i="443"/>
  <c r="AI30" i="443"/>
  <c r="AI25" i="443"/>
  <c r="AI27" i="443"/>
  <c r="AI29" i="443"/>
  <c r="AI28" i="443"/>
  <c r="Y25" i="443"/>
  <c r="V23" i="443"/>
  <c r="V35" i="443" s="1"/>
  <c r="AE27" i="443"/>
  <c r="AE25" i="443"/>
  <c r="AE28" i="443"/>
  <c r="AE26" i="443"/>
  <c r="AK30" i="443"/>
  <c r="AK25" i="443"/>
  <c r="AK26" i="443"/>
  <c r="AK27" i="443"/>
  <c r="AK29" i="443"/>
  <c r="AK28" i="443"/>
  <c r="AK31" i="443"/>
  <c r="AQ34" i="443"/>
  <c r="AQ27" i="443"/>
  <c r="AQ32" i="443"/>
  <c r="AQ28" i="443"/>
  <c r="AQ29" i="443"/>
  <c r="AQ31" i="443"/>
  <c r="AQ26" i="443"/>
  <c r="AQ33" i="443"/>
  <c r="AQ30" i="443"/>
  <c r="AQ25" i="443"/>
  <c r="AC27" i="443"/>
  <c r="AC25" i="443"/>
  <c r="AC26" i="443"/>
  <c r="AE41" i="443"/>
  <c r="AE39" i="443"/>
  <c r="AE40" i="443"/>
  <c r="AE42" i="443"/>
  <c r="AO33" i="443"/>
  <c r="AO29" i="443"/>
  <c r="AO28" i="443"/>
  <c r="AO27" i="443"/>
  <c r="AO32" i="443"/>
  <c r="AO26" i="443"/>
  <c r="AO31" i="443"/>
  <c r="AO25" i="443"/>
  <c r="AO30" i="443"/>
  <c r="BJ12" i="444" l="1"/>
  <c r="BJ45" i="444"/>
  <c r="BJ47" i="444"/>
  <c r="BJ36" i="444"/>
  <c r="BJ42" i="444"/>
  <c r="BJ21" i="444"/>
  <c r="BJ34" i="444"/>
  <c r="BN11" i="444"/>
  <c r="BJ50" i="444"/>
  <c r="BR38" i="444"/>
  <c r="BJ10" i="444"/>
  <c r="H23" i="444"/>
  <c r="BJ24" i="444"/>
  <c r="BR18" i="444"/>
  <c r="BJ19" i="444"/>
  <c r="BR35" i="444"/>
  <c r="BN14" i="444"/>
  <c r="BN10" i="444"/>
  <c r="BR37" i="444"/>
  <c r="BJ51" i="444"/>
  <c r="BR22" i="444"/>
  <c r="BJ27" i="444"/>
  <c r="BR6" i="444"/>
  <c r="BR15" i="444"/>
  <c r="BJ4" i="444"/>
  <c r="BR25" i="444"/>
  <c r="BJ53" i="444"/>
  <c r="BN12" i="444"/>
  <c r="BJ33" i="444"/>
  <c r="BR46" i="444"/>
  <c r="H41" i="444"/>
  <c r="BR16" i="444" s="1"/>
  <c r="BJ59" i="444"/>
  <c r="BJ43" i="444"/>
  <c r="BJ22" i="444"/>
  <c r="BR32" i="444"/>
  <c r="BJ48" i="444"/>
  <c r="BR8" i="444"/>
  <c r="BJ37" i="444"/>
  <c r="BJ13" i="444"/>
  <c r="BJ56" i="444"/>
  <c r="BJ30" i="444"/>
  <c r="BR44" i="444"/>
  <c r="BJ17" i="444"/>
  <c r="BJ38" i="444"/>
  <c r="BR29" i="444"/>
  <c r="BR40" i="444"/>
  <c r="BN5" i="444"/>
  <c r="BR11" i="444"/>
  <c r="BR23" i="444"/>
  <c r="BJ39" i="444"/>
  <c r="BR45" i="444"/>
  <c r="BJ18" i="444"/>
  <c r="BJ44" i="444"/>
  <c r="BR47" i="444"/>
  <c r="BJ20" i="444"/>
  <c r="BJ41" i="444"/>
  <c r="BJ35" i="444"/>
  <c r="BJ31" i="444"/>
  <c r="BJ8" i="444"/>
  <c r="BR30" i="444"/>
  <c r="BJ28" i="444"/>
  <c r="BJ25" i="444"/>
  <c r="BR19" i="444"/>
  <c r="J37" i="444"/>
  <c r="H39" i="444"/>
  <c r="BR36" i="444"/>
  <c r="BN9" i="444"/>
  <c r="BJ16" i="444"/>
  <c r="BR43" i="444"/>
  <c r="BN8" i="444"/>
  <c r="BJ32" i="444"/>
  <c r="BJ9" i="444"/>
  <c r="BJ11" i="444"/>
  <c r="BJ54" i="444"/>
  <c r="BR28" i="444"/>
  <c r="H42" i="444"/>
  <c r="AC23" i="443"/>
  <c r="AS33" i="443"/>
  <c r="J33" i="443" s="1"/>
  <c r="AS28" i="443"/>
  <c r="J28" i="443" s="1"/>
  <c r="AS34" i="443"/>
  <c r="J34" i="443" s="1"/>
  <c r="AS35" i="443"/>
  <c r="J35" i="443" s="1"/>
  <c r="AS32" i="443"/>
  <c r="J32" i="443" s="1"/>
  <c r="AS29" i="443"/>
  <c r="J29" i="443" s="1"/>
  <c r="AS26" i="443"/>
  <c r="J26" i="443" s="1"/>
  <c r="AS30" i="443"/>
  <c r="AS25" i="443"/>
  <c r="AS31" i="443"/>
  <c r="J31" i="443" s="1"/>
  <c r="AS27" i="443"/>
  <c r="J27" i="443" s="1"/>
  <c r="AQ46" i="443"/>
  <c r="AQ48" i="443"/>
  <c r="AQ47" i="443"/>
  <c r="AQ42" i="443"/>
  <c r="AQ41" i="443"/>
  <c r="AQ44" i="443"/>
  <c r="AQ40" i="443"/>
  <c r="AQ45" i="443"/>
  <c r="AQ39" i="443"/>
  <c r="AQ43" i="443"/>
  <c r="AM23" i="443"/>
  <c r="AE37" i="443"/>
  <c r="AE23" i="443"/>
  <c r="J25" i="443"/>
  <c r="Y23" i="443"/>
  <c r="AO41" i="443"/>
  <c r="AO46" i="443"/>
  <c r="AO45" i="443"/>
  <c r="AO39" i="443"/>
  <c r="AO40" i="443"/>
  <c r="AO43" i="443"/>
  <c r="AO42" i="443"/>
  <c r="AO44" i="443"/>
  <c r="AO47" i="443"/>
  <c r="AQ23" i="443"/>
  <c r="J30" i="443"/>
  <c r="AM45" i="443"/>
  <c r="AM42" i="443"/>
  <c r="AM41" i="443"/>
  <c r="AM43" i="443"/>
  <c r="AM44" i="443"/>
  <c r="AM40" i="443"/>
  <c r="AM39" i="443"/>
  <c r="AM46" i="443"/>
  <c r="AK41" i="443"/>
  <c r="AK44" i="443"/>
  <c r="AK43" i="443"/>
  <c r="AK45" i="443"/>
  <c r="AK39" i="443"/>
  <c r="AK42" i="443"/>
  <c r="AK40" i="443"/>
  <c r="AC37" i="443"/>
  <c r="AA40" i="443"/>
  <c r="AA39" i="443"/>
  <c r="Y39" i="443"/>
  <c r="V37" i="443"/>
  <c r="V49" i="443" s="1"/>
  <c r="V36" i="443" s="1"/>
  <c r="AK23" i="443"/>
  <c r="AI23" i="443"/>
  <c r="AG43" i="443"/>
  <c r="AG41" i="443"/>
  <c r="AG39" i="443"/>
  <c r="AG40" i="443"/>
  <c r="AG42" i="443"/>
  <c r="AO23" i="443"/>
  <c r="V22" i="443"/>
  <c r="AI43" i="443"/>
  <c r="AI42" i="443"/>
  <c r="AI41" i="443"/>
  <c r="AI39" i="443"/>
  <c r="AI44" i="443"/>
  <c r="AI40" i="443"/>
  <c r="AA23" i="443"/>
  <c r="AG23" i="443"/>
  <c r="BR9" i="444" l="1"/>
  <c r="BR12" i="444"/>
  <c r="BR33" i="444"/>
  <c r="BR41" i="444"/>
  <c r="BJ14" i="444"/>
  <c r="BJ5" i="444"/>
  <c r="BR26" i="444"/>
  <c r="BR20" i="444"/>
  <c r="BN6" i="444"/>
  <c r="BJ15" i="444"/>
  <c r="BR42" i="444"/>
  <c r="BR13" i="444"/>
  <c r="BN7" i="444"/>
  <c r="BR17" i="444"/>
  <c r="BR34" i="444"/>
  <c r="BJ23" i="444"/>
  <c r="BR27" i="444"/>
  <c r="BR21" i="444"/>
  <c r="BJ6" i="444"/>
  <c r="H37" i="444"/>
  <c r="BR10" i="444"/>
  <c r="BR4" i="444"/>
  <c r="BR39" i="444"/>
  <c r="BR5" i="444"/>
  <c r="BR14" i="444"/>
  <c r="BR31" i="444"/>
  <c r="BJ49" i="444"/>
  <c r="BN4" i="444"/>
  <c r="BR24" i="444"/>
  <c r="BR7" i="444"/>
  <c r="H26" i="443"/>
  <c r="H34" i="443"/>
  <c r="AK37" i="443"/>
  <c r="AA37" i="443"/>
  <c r="H31" i="443"/>
  <c r="H28" i="443"/>
  <c r="H27" i="443"/>
  <c r="AI37" i="443"/>
  <c r="H30" i="443"/>
  <c r="AO37" i="443"/>
  <c r="H32" i="443"/>
  <c r="AM37" i="443"/>
  <c r="J23" i="443"/>
  <c r="H25" i="443"/>
  <c r="AS23" i="443"/>
  <c r="AS22" i="443" s="1"/>
  <c r="H29" i="443"/>
  <c r="AS43" i="443"/>
  <c r="J43" i="443" s="1"/>
  <c r="AS45" i="443"/>
  <c r="AS39" i="443"/>
  <c r="J39" i="443" s="1"/>
  <c r="AS48" i="443"/>
  <c r="J48" i="443" s="1"/>
  <c r="AS42" i="443"/>
  <c r="J42" i="443" s="1"/>
  <c r="AS49" i="443"/>
  <c r="J49" i="443" s="1"/>
  <c r="AS47" i="443"/>
  <c r="J47" i="443" s="1"/>
  <c r="AS40" i="443"/>
  <c r="J40" i="443" s="1"/>
  <c r="AS41" i="443"/>
  <c r="J41" i="443" s="1"/>
  <c r="AS46" i="443"/>
  <c r="J46" i="443" s="1"/>
  <c r="AS44" i="443"/>
  <c r="J44" i="443" s="1"/>
  <c r="J45" i="443"/>
  <c r="AG37" i="443"/>
  <c r="Y37" i="443"/>
  <c r="H33" i="443"/>
  <c r="AQ37" i="443"/>
  <c r="H35" i="443"/>
  <c r="B37" i="444" l="1"/>
  <c r="B38" i="444"/>
  <c r="B39" i="444"/>
  <c r="H44" i="443"/>
  <c r="BR44" i="443" s="1"/>
  <c r="H40" i="443"/>
  <c r="BN5" i="443" s="1"/>
  <c r="H48" i="443"/>
  <c r="BN13" i="443" s="1"/>
  <c r="BR19" i="443"/>
  <c r="H47" i="443"/>
  <c r="BJ54" i="443" s="1"/>
  <c r="H46" i="443"/>
  <c r="BJ10" i="443" s="1"/>
  <c r="BR23" i="443"/>
  <c r="BJ17" i="443"/>
  <c r="H41" i="443"/>
  <c r="BJ5" i="443" s="1"/>
  <c r="H42" i="443"/>
  <c r="BJ6" i="443" s="1"/>
  <c r="BJ38" i="443"/>
  <c r="H23" i="443"/>
  <c r="BJ8" i="443"/>
  <c r="J37" i="443"/>
  <c r="H39" i="443"/>
  <c r="BN4" i="443" s="1"/>
  <c r="AS37" i="443"/>
  <c r="AS36" i="443" s="1"/>
  <c r="BN9" i="443"/>
  <c r="H45" i="443"/>
  <c r="H43" i="443"/>
  <c r="BJ7" i="443" s="1"/>
  <c r="H49" i="443"/>
  <c r="BJ48" i="443" s="1"/>
  <c r="BR36" i="443"/>
  <c r="BR29" i="443"/>
  <c r="BJ25" i="443"/>
  <c r="BJ32" i="443"/>
  <c r="B36" i="444" l="1"/>
  <c r="BN7" i="443"/>
  <c r="BR25" i="443"/>
  <c r="BR32" i="443"/>
  <c r="BJ47" i="443"/>
  <c r="BR8" i="443"/>
  <c r="BR15" i="443"/>
  <c r="BR6" i="443"/>
  <c r="BJ4" i="443"/>
  <c r="BJ55" i="443"/>
  <c r="BJ57" i="443"/>
  <c r="BJ21" i="443"/>
  <c r="BR12" i="443"/>
  <c r="BR7" i="443"/>
  <c r="BR26" i="443"/>
  <c r="BR40" i="443"/>
  <c r="BJ40" i="443"/>
  <c r="BJ24" i="443"/>
  <c r="BR5" i="443"/>
  <c r="BJ36" i="443"/>
  <c r="BR24" i="443"/>
  <c r="BR31" i="443"/>
  <c r="BJ52" i="443"/>
  <c r="BJ37" i="443"/>
  <c r="BJ29" i="443"/>
  <c r="BR28" i="443"/>
  <c r="BR14" i="443"/>
  <c r="BJ12" i="443"/>
  <c r="BR10" i="443"/>
  <c r="BJ23" i="443"/>
  <c r="BR34" i="443"/>
  <c r="BR17" i="443"/>
  <c r="BR13" i="443"/>
  <c r="BJ31" i="443"/>
  <c r="BR27" i="443"/>
  <c r="BR35" i="443"/>
  <c r="BR18" i="443"/>
  <c r="BR11" i="443"/>
  <c r="BJ42" i="443"/>
  <c r="BR45" i="443"/>
  <c r="BJ18" i="443"/>
  <c r="BN10" i="443"/>
  <c r="BR47" i="443"/>
  <c r="BJ20" i="443"/>
  <c r="BJ51" i="443"/>
  <c r="BJ27" i="443"/>
  <c r="BR30" i="443"/>
  <c r="BJ56" i="443"/>
  <c r="BR37" i="443"/>
  <c r="BJ44" i="443"/>
  <c r="H37" i="443"/>
  <c r="BR4" i="443"/>
  <c r="BR39" i="443"/>
  <c r="BJ49" i="443"/>
  <c r="BJ39" i="443"/>
  <c r="BJ41" i="443"/>
  <c r="BR41" i="443"/>
  <c r="BR20" i="443"/>
  <c r="BJ14" i="443"/>
  <c r="BJ33" i="443"/>
  <c r="BN6" i="443"/>
  <c r="BJ26" i="443"/>
  <c r="BJ28" i="443"/>
  <c r="BN12" i="443"/>
  <c r="BR38" i="443"/>
  <c r="BJ59" i="443"/>
  <c r="BJ53" i="443"/>
  <c r="BJ22" i="443"/>
  <c r="BR16" i="443"/>
  <c r="BJ45" i="443"/>
  <c r="BJ43" i="443"/>
  <c r="BJ9" i="443"/>
  <c r="BJ19" i="443"/>
  <c r="BR46" i="443"/>
  <c r="BJ50" i="443"/>
  <c r="BR9" i="443"/>
  <c r="BJ34" i="443"/>
  <c r="BJ35" i="443"/>
  <c r="BJ30" i="443"/>
  <c r="BN11" i="443"/>
  <c r="BR33" i="443"/>
  <c r="BJ58" i="443"/>
  <c r="BJ16" i="443"/>
  <c r="BR22" i="443"/>
  <c r="BR43" i="443"/>
  <c r="BJ46" i="443"/>
  <c r="BN14" i="443"/>
  <c r="BJ13" i="443"/>
  <c r="BJ11" i="443"/>
  <c r="BN8" i="443"/>
  <c r="BR42" i="443"/>
  <c r="BJ15" i="443"/>
  <c r="BR21" i="443"/>
  <c r="B38" i="443" l="1"/>
  <c r="B37" i="443"/>
  <c r="B39" i="443"/>
  <c r="B36" i="443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<sst xmlns="http://schemas.openxmlformats.org/spreadsheetml/2006/main" count="1575" uniqueCount="246">
  <si>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</si>
  <si>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</si>
  <si>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</si>
  <si>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</si>
  <si>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</si>
  <si>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</si>
  <si>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</si>
  <si>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</si>
  <si>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</si>
  <si>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</si>
  <si>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</si>
  <si>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</si>
  <si>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</si>
  <si>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</si>
  <si>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</si>
  <si>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</si>
  <si>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</si>
  <si>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</si>
  <si>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</si>
  <si>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</si>
  <si>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</si>
  <si>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</si>
  <si>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</si>
  <si>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</si>
  <si>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</si>
  <si>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</si>
  <si>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</si>
  <si>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</si>
  <si>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</si>
  <si>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</si>
  <si>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</si>
  <si>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</si>
  <si>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</si>
  <si>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</si>
  <si>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</si>
  <si>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</si>
  <si>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</si>
  <si>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</si>
  <si>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</si>
  <si>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</si>
  <si>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</si>
  <si>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</si>
  <si>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</si>
  <si>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</si>
  <si>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</si>
  <si>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</si>
  <si>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</si>
  <si>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</si>
  <si>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</si>
  <si>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</si>
  <si>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</si>
  <si>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</si>
  <si>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</si>
  <si>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</si>
  <si>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</si>
  <si>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</si>
  <si>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</si>
  <si>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</si>
  <si>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</si>
  <si>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</si>
  <si>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</si>
  <si>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</si>
  <si>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</si>
  <si>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</si>
  <si>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</si>
  <si>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</si>
  <si>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</si>
  <si>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</si>
  <si>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</si>
  <si>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</si>
  <si>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</si>
  <si>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</si>
  <si>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</si>
  <si>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</si>
  <si>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</si>
  <si>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</si>
  <si>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</si>
  <si>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</si>
  <si>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</si>
  <si>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</si>
  <si>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</si>
  <si>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</si>
  <si>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</si>
  <si>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</si>
  <si>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</si>
  <si>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</si>
  <si>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</si>
  <si>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</si>
  <si>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</si>
  <si>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</si>
  <si>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</si>
  <si>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</si>
  <si>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</si>
  <si>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</si>
  <si>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</si>
  <si>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</si>
  <si>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</si>
  <si>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</si>
  <si>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</si>
  <si>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</si>
  <si>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</si>
  <si>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</si>
  <si>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</si>
  <si>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</si>
  <si>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</si>
  <si>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</si>
  <si>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</si>
  <si>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</si>
  <si>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</si>
  <si>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</si>
  <si>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</si>
  <si>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</si>
  <si>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</si>
  <si>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</si>
  <si>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</si>
  <si>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</si>
  <si>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</si>
  <si>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</si>
  <si>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</si>
  <si>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</si>
  <si>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</si>
  <si>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</si>
  <si>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</si>
  <si>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</si>
  <si>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</si>
  <si>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</si>
  <si>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</si>
  <si>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</si>
  <si>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</si>
  <si>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</si>
  <si>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</si>
  <si>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</si>
  <si>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</si>
  <si>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</si>
  <si>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</si>
  <si>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</si>
  <si>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</si>
  <si>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</si>
  <si>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</si>
  <si>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</si>
  <si>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</si>
  <si>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</si>
  <si>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</si>
  <si>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</si>
  <si>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</si>
  <si>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</si>
  <si>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</si>
  <si>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</si>
  <si>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</si>
  <si>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</si>
  <si>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</si>
  <si>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</si>
  <si>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</si>
  <si>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</si>
  <si>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</si>
  <si>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Jugador</t>
  </si>
  <si>
    <t>PA</t>
  </si>
  <si>
    <t>Estat</t>
  </si>
  <si>
    <t>Anys</t>
  </si>
  <si>
    <t>D. Mann</t>
  </si>
  <si>
    <t>32.70</t>
  </si>
  <si>
    <t>N. Gerbet</t>
  </si>
  <si>
    <t>30.96</t>
  </si>
  <si>
    <t>L. Elder</t>
  </si>
  <si>
    <t>G×1</t>
  </si>
  <si>
    <t>30.17</t>
  </si>
  <si>
    <t>G. Roussel</t>
  </si>
  <si>
    <t>34.12</t>
  </si>
  <si>
    <t>C. Bitters</t>
  </si>
  <si>
    <t>31.68</t>
  </si>
  <si>
    <t>E. Silva</t>
  </si>
  <si>
    <t>33.14</t>
  </si>
  <si>
    <t>L. Nash</t>
  </si>
  <si>
    <t>29.79</t>
  </si>
  <si>
    <t>K. Rödl</t>
  </si>
  <si>
    <t>35.52</t>
  </si>
  <si>
    <t>M. Sibian</t>
  </si>
  <si>
    <t>H. Ikomi</t>
  </si>
  <si>
    <t>33.23</t>
  </si>
  <si>
    <t>A. Roßdorf</t>
  </si>
  <si>
    <t>34.68</t>
  </si>
  <si>
    <t>A. Develer</t>
  </si>
  <si>
    <t>33.82</t>
  </si>
  <si>
    <t>V. Breßler</t>
  </si>
  <si>
    <t>32.66</t>
  </si>
  <si>
    <t>A. Sandoval</t>
  </si>
  <si>
    <t>36.15</t>
  </si>
  <si>
    <t>A. Albarrán</t>
  </si>
  <si>
    <t>18.59</t>
  </si>
  <si>
    <t>F. NájeraEntrenador</t>
  </si>
  <si>
    <t>36.81</t>
  </si>
  <si>
    <t>J. Asefi</t>
  </si>
  <si>
    <t>18.63</t>
  </si>
  <si>
    <t>J. Stoker</t>
  </si>
  <si>
    <t>19.91</t>
  </si>
  <si>
    <t>L. SalmivainioEntrenador</t>
  </si>
  <si>
    <t>46.99</t>
  </si>
  <si>
    <t>R. Hayden</t>
  </si>
  <si>
    <t>18.13</t>
  </si>
  <si>
    <t>TSI</t>
  </si>
  <si>
    <t>Lid</t>
  </si>
  <si>
    <t>Fo</t>
  </si>
  <si>
    <t>Res</t>
  </si>
  <si>
    <t>Fi</t>
  </si>
  <si>
    <t>MB</t>
  </si>
  <si>
    <t>Últim</t>
  </si>
  <si>
    <t>RT</t>
  </si>
  <si>
    <t>Pos</t>
  </si>
  <si>
    <t>Sou</t>
  </si>
  <si>
    <t>GL</t>
  </si>
  <si>
    <t>HR</t>
  </si>
  <si>
    <t>PO</t>
  </si>
  <si>
    <t>10.5</t>
  </si>
  <si>
    <t>8.5</t>
  </si>
  <si>
    <t>9.5</t>
  </si>
  <si>
    <t>MC</t>
  </si>
  <si>
    <t>6.5</t>
  </si>
  <si>
    <t>5.5</t>
  </si>
  <si>
    <t>?</t>
  </si>
  <si>
    <t>4.5</t>
  </si>
  <si>
    <t>3.5</t>
  </si>
  <si>
    <t>Goblins</t>
  </si>
  <si>
    <t>AIM</t>
  </si>
  <si>
    <t>32.71</t>
  </si>
  <si>
    <t>30.97</t>
  </si>
  <si>
    <t>30.18</t>
  </si>
  <si>
    <t>34.13</t>
  </si>
  <si>
    <t>31.69</t>
  </si>
  <si>
    <t>33.15</t>
  </si>
  <si>
    <t>29.80</t>
  </si>
  <si>
    <t>35.53</t>
  </si>
  <si>
    <t>33.24</t>
  </si>
  <si>
    <t>34.69</t>
  </si>
  <si>
    <t>33.83</t>
  </si>
  <si>
    <t>32.67</t>
  </si>
  <si>
    <t>36.16</t>
  </si>
  <si>
    <t>18.60</t>
  </si>
  <si>
    <t>36.82</t>
  </si>
  <si>
    <t>18.64</t>
  </si>
  <si>
    <t>19.92</t>
  </si>
  <si>
    <t>18.14</t>
  </si>
  <si>
    <t>Dif_TSI</t>
  </si>
  <si>
    <t>DifF</t>
  </si>
  <si>
    <t>DifR</t>
  </si>
  <si>
    <t>Columbub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</si>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</sst>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0" fontId="3" fillId="9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oma" xfId="1" builtinId="3"/>
    <cellStyle name="Normal" xfId="0" builtinId="0"/>
    <cellStyle name="Percentatg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'Goblins-OBIWAN_352'!$G$25:$G$35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'Goblins-OBIWAN_352'!$H$25:$H$35</c:f>
              <c:numCache>
                <c:formatCode>0.0%</c:formatCode>
                <c:ptCount val="11"/>
                <c:pt idx="0">
                  <c:v>1.5206799062970931E-2</c:v>
                </c:pt>
                <c:pt idx="1">
                  <c:v>8.3676903966717273E-2</c:v>
                </c:pt>
                <c:pt idx="2">
                  <c:v>0.19585001838202654</c:v>
                </c:pt>
                <c:pt idx="3">
                  <c:v>0.26185738301237782</c:v>
                </c:pt>
                <c:pt idx="4">
                  <c:v>0.2265450707418942</c:v>
                </c:pt>
                <c:pt idx="5">
                  <c:v>0.13549770546144707</c:v>
                </c:pt>
                <c:pt idx="6">
                  <c:v>5.8137361725116993E-2</c:v>
                </c:pt>
                <c:pt idx="7">
                  <c:v>1.8233438432095673E-2</c:v>
                </c:pt>
                <c:pt idx="8">
                  <c:v>4.1999878306169308E-3</c:v>
                </c:pt>
                <c:pt idx="9">
                  <c:v>7.044020323124095E-4</c:v>
                </c:pt>
                <c:pt idx="10">
                  <c:v>8.386480615656927E-5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'Goblins-OBIWAN_352'!$H$39:$H$49</c:f>
              <c:numCache>
                <c:formatCode>0.0%</c:formatCode>
                <c:ptCount val="11"/>
                <c:pt idx="0">
                  <c:v>3.4147309427739907E-2</c:v>
                </c:pt>
                <c:pt idx="1">
                  <c:v>0.13180880213523752</c:v>
                </c:pt>
                <c:pt idx="2">
                  <c:v>0.23446761017354317</c:v>
                </c:pt>
                <c:pt idx="3">
                  <c:v>0.25469161495314585</c:v>
                </c:pt>
                <c:pt idx="4">
                  <c:v>0.18869388240094701</c:v>
                </c:pt>
                <c:pt idx="5">
                  <c:v>0.100838354623728</c:v>
                </c:pt>
                <c:pt idx="6">
                  <c:v>4.0070822665574782E-2</c:v>
                </c:pt>
                <c:pt idx="7">
                  <c:v>1.2020250159429539E-2</c:v>
                </c:pt>
                <c:pt idx="8">
                  <c:v>2.7312504307055226E-3</c:v>
                </c:pt>
                <c:pt idx="9">
                  <c:v>4.6625957129045549E-4</c:v>
                </c:pt>
                <c:pt idx="10">
                  <c:v>5.842971077539448E-5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02752"/>
        <c:axId val="328206016"/>
      </c:lineChart>
      <c:catAx>
        <c:axId val="3282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06016"/>
        <c:crosses val="autoZero"/>
        <c:auto val="1"/>
        <c:lblAlgn val="ctr"/>
        <c:lblOffset val="100"/>
        <c:noMultiLvlLbl val="0"/>
      </c:catAx>
      <c:valAx>
        <c:axId val="328206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2820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15536"/>
        <c:axId val="629816080"/>
      </c:lineChart>
      <c:catAx>
        <c:axId val="62981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816080"/>
        <c:crosses val="autoZero"/>
        <c:auto val="1"/>
        <c:lblAlgn val="ctr"/>
        <c:lblOffset val="100"/>
        <c:noMultiLvlLbl val="0"/>
      </c:catAx>
      <c:valAx>
        <c:axId val="6298160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2981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'Goblins-OBIWAN_352'!$B$37:$B$39</c:f>
              <c:numCache>
                <c:formatCode>0.0%</c:formatCode>
                <c:ptCount val="3"/>
                <c:pt idx="0">
                  <c:v>0.1831336108477695</c:v>
                </c:pt>
                <c:pt idx="1">
                  <c:v>0.33802972733258552</c:v>
                </c:pt>
                <c:pt idx="2">
                  <c:v>0.47874032411180284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'Columbus-OBIWAN'!$G$25:$G$35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'Columbus-OBIWAN'!$H$25:$H$35</c:f>
              <c:numCache>
                <c:formatCode>0.0%</c:formatCode>
                <c:ptCount val="11"/>
                <c:pt idx="0">
                  <c:v>0.11375962469655877</c:v>
                </c:pt>
                <c:pt idx="1">
                  <c:v>0.2670330016537969</c:v>
                </c:pt>
                <c:pt idx="2">
                  <c:v>0.29138677686244363</c:v>
                </c:pt>
                <c:pt idx="3">
                  <c:v>0.19616957598704429</c:v>
                </c:pt>
                <c:pt idx="4">
                  <c:v>9.1109611118112541E-2</c:v>
                </c:pt>
                <c:pt idx="5">
                  <c:v>3.0885645535395509E-2</c:v>
                </c:pt>
                <c:pt idx="6">
                  <c:v>7.8730365067453349E-3</c:v>
                </c:pt>
                <c:pt idx="7">
                  <c:v>1.5290863293699283E-3</c:v>
                </c:pt>
                <c:pt idx="8">
                  <c:v>2.2628388197716906E-4</c:v>
                </c:pt>
                <c:pt idx="9">
                  <c:v>2.5189251467871448E-5</c:v>
                </c:pt>
                <c:pt idx="10">
                  <c:v>2.0488154485898982E-6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'Columbus-OBIWAN'!$H$39:$H$49</c:f>
              <c:numCache>
                <c:formatCode>0.0%</c:formatCode>
                <c:ptCount val="11"/>
                <c:pt idx="0">
                  <c:v>3.6478888326975413E-2</c:v>
                </c:pt>
                <c:pt idx="1">
                  <c:v>0.13753027724493669</c:v>
                </c:pt>
                <c:pt idx="2">
                  <c:v>0.2391154499656945</c:v>
                </c:pt>
                <c:pt idx="3">
                  <c:v>0.25409367854487153</c:v>
                </c:pt>
                <c:pt idx="4">
                  <c:v>0.18436114854253791</c:v>
                </c:pt>
                <c:pt idx="5">
                  <c:v>9.6615979256906792E-2</c:v>
                </c:pt>
                <c:pt idx="6">
                  <c:v>3.7708210518844508E-2</c:v>
                </c:pt>
                <c:pt idx="7">
                  <c:v>1.1128451718213675E-2</c:v>
                </c:pt>
                <c:pt idx="8">
                  <c:v>2.4916805823451955E-3</c:v>
                </c:pt>
                <c:pt idx="9">
                  <c:v>4.1962655152362298E-4</c:v>
                </c:pt>
                <c:pt idx="10">
                  <c:v>5.1880449601222176E-5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03296"/>
        <c:axId val="328215264"/>
      </c:lineChart>
      <c:catAx>
        <c:axId val="3282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15264"/>
        <c:crosses val="autoZero"/>
        <c:auto val="1"/>
        <c:lblAlgn val="ctr"/>
        <c:lblOffset val="100"/>
        <c:noMultiLvlLbl val="0"/>
      </c:catAx>
      <c:valAx>
        <c:axId val="3282152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2820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'Columbus-OBIWAN'!$B$37:$B$39</c:f>
              <c:numCache>
                <c:formatCode>0.0%</c:formatCode>
                <c:ptCount val="3"/>
                <c:pt idx="0">
                  <c:v>0.18049106526338959</c:v>
                </c:pt>
                <c:pt idx="1">
                  <c:v>0.58198664179156712</c:v>
                </c:pt>
                <c:pt idx="2">
                  <c:v>0.23751539658695164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01664"/>
        <c:axId val="328207648"/>
      </c:lineChart>
      <c:catAx>
        <c:axId val="3282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07648"/>
        <c:crosses val="autoZero"/>
        <c:auto val="1"/>
        <c:lblAlgn val="ctr"/>
        <c:lblOffset val="100"/>
        <c:noMultiLvlLbl val="0"/>
      </c:catAx>
      <c:valAx>
        <c:axId val="3282076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2820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08736"/>
        <c:axId val="328209824"/>
      </c:lineChart>
      <c:catAx>
        <c:axId val="3282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09824"/>
        <c:crosses val="autoZero"/>
        <c:auto val="1"/>
        <c:lblAlgn val="ctr"/>
        <c:lblOffset val="100"/>
        <c:noMultiLvlLbl val="0"/>
      </c:catAx>
      <c:valAx>
        <c:axId val="328209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2820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84208"/>
        <c:axId val="629813360"/>
      </c:lineChart>
      <c:catAx>
        <c:axId val="32798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813360"/>
        <c:crosses val="autoZero"/>
        <c:auto val="1"/>
        <c:lblAlgn val="ctr"/>
        <c:lblOffset val="100"/>
        <c:noMultiLvlLbl val="0"/>
      </c:catAx>
      <c:valAx>
        <c:axId val="6298133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2798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L21"/>
  <sheetViews>
    <sheetView workbookViewId="0">
      <selection activeCell="A6" sqref="A6"/>
    </sheetView>
  </sheetViews>
  <sheetFormatPr defaultColWidth="11.42578125" defaultRowHeight="15" x14ac:dyDescent="0.25"/>
  <cols>
    <col min="1" max="1" width="23.28515625" bestFit="1" customWidth="1"/>
    <col min="2" max="2" width="4.5703125" bestFit="1" customWidth="1"/>
    <col min="3" max="3" width="5.28515625" bestFit="1" customWidth="1"/>
    <col min="4" max="4" width="6.5703125" bestFit="1" customWidth="1"/>
    <col min="5" max="5" width="7" bestFit="1" customWidth="1"/>
    <col min="6" max="6" width="3.5703125" bestFit="1" customWidth="1"/>
    <col min="7" max="7" width="4.140625" bestFit="1" customWidth="1"/>
    <col min="8" max="8" width="3.140625" bestFit="1" customWidth="1"/>
    <col min="9" max="9" width="4.140625" bestFit="1" customWidth="1"/>
    <col min="10" max="10" width="3" bestFit="1" customWidth="1"/>
    <col min="11" max="11" width="3.85546875" bestFit="1" customWidth="1"/>
    <col min="12" max="12" width="10.7109375" bestFit="1" customWidth="1"/>
    <col min="13" max="13" width="4.5703125" bestFit="1" customWidth="1"/>
    <col min="14" max="14" width="4.140625" bestFit="1" customWidth="1"/>
    <col min="15" max="15" width="6" bestFit="1" customWidth="1"/>
    <col min="16" max="16" width="3.140625" bestFit="1" customWidth="1"/>
    <col min="17" max="17" width="4" bestFit="1" customWidth="1"/>
    <col min="18" max="18" width="3.42578125" bestFit="1" customWidth="1"/>
    <col min="19" max="19" width="23.28515625" bestFit="1" customWidth="1"/>
    <col min="20" max="20" width="5.28515625" bestFit="1" customWidth="1"/>
    <col min="21" max="21" width="6.5703125" bestFit="1" customWidth="1"/>
    <col min="22" max="22" width="7" bestFit="1" customWidth="1"/>
    <col min="23" max="23" width="3.5703125" bestFit="1" customWidth="1"/>
    <col min="24" max="24" width="4.140625" bestFit="1" customWidth="1"/>
    <col min="25" max="25" width="3.140625" bestFit="1" customWidth="1"/>
    <col min="26" max="26" width="4.140625" bestFit="1" customWidth="1"/>
    <col min="27" max="27" width="3" bestFit="1" customWidth="1"/>
    <col min="28" max="28" width="3.85546875" bestFit="1" customWidth="1"/>
    <col min="29" max="29" width="10.7109375" bestFit="1" customWidth="1"/>
    <col min="30" max="30" width="4.5703125" bestFit="1" customWidth="1"/>
    <col min="31" max="31" width="4.140625" bestFit="1" customWidth="1"/>
    <col min="32" max="32" width="6" bestFit="1" customWidth="1"/>
    <col min="33" max="33" width="3.140625" bestFit="1" customWidth="1"/>
    <col min="34" max="34" width="4" bestFit="1" customWidth="1"/>
    <col min="35" max="35" width="3.42578125" bestFit="1" customWidth="1"/>
    <col min="36" max="36" width="7.140625" bestFit="1" customWidth="1"/>
    <col min="37" max="37" width="4.5703125" bestFit="1" customWidth="1"/>
    <col min="38" max="38" width="4.7109375" bestFit="1" customWidth="1"/>
  </cols>
  <sheetData>
    <row r="1" spans="1:38" s="14" customFormat="1" x14ac:dyDescent="0.25">
      <c r="A1" s="14" t="s">
        <v>155</v>
      </c>
      <c r="B1" s="14" t="s">
        <v>156</v>
      </c>
      <c r="C1" s="14" t="s">
        <v>157</v>
      </c>
      <c r="D1" s="14" t="s">
        <v>158</v>
      </c>
      <c r="E1" s="14" t="s">
        <v>199</v>
      </c>
      <c r="F1" s="14" t="s">
        <v>200</v>
      </c>
      <c r="G1" s="14" t="s">
        <v>127</v>
      </c>
      <c r="H1" s="14" t="s">
        <v>201</v>
      </c>
      <c r="I1" s="14" t="s">
        <v>202</v>
      </c>
      <c r="J1" s="14" t="s">
        <v>203</v>
      </c>
      <c r="K1" s="14" t="s">
        <v>204</v>
      </c>
      <c r="L1" s="14" t="s">
        <v>205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103</v>
      </c>
      <c r="R1" s="14" t="s">
        <v>210</v>
      </c>
      <c r="S1" s="14" t="s">
        <v>155</v>
      </c>
      <c r="T1" s="14" t="s">
        <v>157</v>
      </c>
      <c r="U1" s="14" t="s">
        <v>158</v>
      </c>
      <c r="V1" s="14" t="s">
        <v>199</v>
      </c>
      <c r="W1" s="14" t="s">
        <v>200</v>
      </c>
      <c r="X1" s="14" t="s">
        <v>127</v>
      </c>
      <c r="Y1" s="14" t="s">
        <v>201</v>
      </c>
      <c r="Z1" s="14" t="s">
        <v>202</v>
      </c>
      <c r="AA1" s="14" t="s">
        <v>203</v>
      </c>
      <c r="AB1" s="14" t="s">
        <v>204</v>
      </c>
      <c r="AC1" s="14" t="s">
        <v>205</v>
      </c>
      <c r="AD1" s="14" t="s">
        <v>206</v>
      </c>
      <c r="AE1" s="14" t="s">
        <v>207</v>
      </c>
      <c r="AF1" s="14" t="s">
        <v>208</v>
      </c>
      <c r="AG1" s="14" t="s">
        <v>209</v>
      </c>
      <c r="AH1" s="14" t="s">
        <v>103</v>
      </c>
      <c r="AI1" s="14" t="s">
        <v>210</v>
      </c>
      <c r="AJ1" s="209" t="s">
        <v>241</v>
      </c>
      <c r="AK1" s="209" t="s">
        <v>242</v>
      </c>
      <c r="AL1" s="209" t="s">
        <v>243</v>
      </c>
    </row>
    <row r="2" spans="1:38" x14ac:dyDescent="0.25">
      <c r="A2" s="14" t="s">
        <v>179</v>
      </c>
      <c r="B2" t="s">
        <v>123</v>
      </c>
      <c r="C2" t="s">
        <v>164</v>
      </c>
      <c r="D2" t="s">
        <v>180</v>
      </c>
      <c r="E2">
        <v>25440</v>
      </c>
      <c r="F2">
        <v>4</v>
      </c>
      <c r="G2">
        <v>14</v>
      </c>
      <c r="H2">
        <v>4</v>
      </c>
      <c r="I2">
        <v>6</v>
      </c>
      <c r="J2">
        <v>14</v>
      </c>
      <c r="L2" s="208">
        <v>43111</v>
      </c>
      <c r="M2" t="s">
        <v>216</v>
      </c>
      <c r="N2" t="s">
        <v>18</v>
      </c>
      <c r="O2">
        <v>26256</v>
      </c>
      <c r="P2">
        <v>0</v>
      </c>
      <c r="Q2">
        <v>72</v>
      </c>
      <c r="R2" t="s">
        <v>210</v>
      </c>
      <c r="S2" t="s">
        <v>179</v>
      </c>
      <c r="T2" t="s">
        <v>164</v>
      </c>
      <c r="U2" t="s">
        <v>232</v>
      </c>
      <c r="V2">
        <v>25060</v>
      </c>
      <c r="W2">
        <v>4</v>
      </c>
      <c r="X2">
        <v>14</v>
      </c>
      <c r="Y2">
        <v>4</v>
      </c>
      <c r="Z2">
        <v>6</v>
      </c>
      <c r="AA2">
        <v>14</v>
      </c>
      <c r="AC2" s="208">
        <v>43111</v>
      </c>
      <c r="AD2" t="s">
        <v>216</v>
      </c>
      <c r="AE2" t="s">
        <v>18</v>
      </c>
      <c r="AF2">
        <v>26256</v>
      </c>
      <c r="AG2">
        <v>0</v>
      </c>
      <c r="AH2">
        <v>72</v>
      </c>
      <c r="AI2" t="s">
        <v>210</v>
      </c>
      <c r="AJ2">
        <f t="shared" ref="AJ2:AJ21" si="0">V2-E2</f>
        <v>-380</v>
      </c>
      <c r="AK2" s="13">
        <f>Y2-H2</f>
        <v>0</v>
      </c>
      <c r="AL2" s="13">
        <f>Z2-I2</f>
        <v>0</v>
      </c>
    </row>
    <row r="3" spans="1:38" x14ac:dyDescent="0.25">
      <c r="A3" t="s">
        <v>185</v>
      </c>
      <c r="B3" t="s">
        <v>131</v>
      </c>
      <c r="D3" t="s">
        <v>186</v>
      </c>
      <c r="E3">
        <v>4550</v>
      </c>
      <c r="F3">
        <v>6</v>
      </c>
      <c r="G3">
        <v>12</v>
      </c>
      <c r="H3">
        <v>8</v>
      </c>
      <c r="I3">
        <v>6</v>
      </c>
      <c r="J3">
        <v>14</v>
      </c>
      <c r="L3" s="208">
        <v>43108</v>
      </c>
      <c r="M3">
        <v>7</v>
      </c>
      <c r="N3" t="s">
        <v>18</v>
      </c>
      <c r="O3">
        <v>2868</v>
      </c>
      <c r="P3">
        <v>0</v>
      </c>
      <c r="Q3">
        <v>38</v>
      </c>
      <c r="R3" t="s">
        <v>210</v>
      </c>
      <c r="S3" t="s">
        <v>185</v>
      </c>
      <c r="U3" t="s">
        <v>235</v>
      </c>
      <c r="V3">
        <v>4610</v>
      </c>
      <c r="W3">
        <v>6</v>
      </c>
      <c r="X3">
        <v>12</v>
      </c>
      <c r="Y3">
        <v>8</v>
      </c>
      <c r="Z3">
        <v>6</v>
      </c>
      <c r="AA3">
        <v>14</v>
      </c>
      <c r="AC3" s="208">
        <v>43108</v>
      </c>
      <c r="AD3">
        <v>7</v>
      </c>
      <c r="AE3" t="s">
        <v>18</v>
      </c>
      <c r="AF3">
        <v>2868</v>
      </c>
      <c r="AG3">
        <v>0</v>
      </c>
      <c r="AH3">
        <v>38</v>
      </c>
      <c r="AI3" t="s">
        <v>210</v>
      </c>
      <c r="AJ3">
        <f t="shared" si="0"/>
        <v>60</v>
      </c>
      <c r="AK3" s="13">
        <f t="shared" ref="AK3:AK21" si="1">Y3-H3</f>
        <v>0</v>
      </c>
      <c r="AL3" s="13">
        <f t="shared" ref="AL3:AL21" si="2">Z3-I3</f>
        <v>0</v>
      </c>
    </row>
    <row r="4" spans="1:38" x14ac:dyDescent="0.25">
      <c r="A4" t="s">
        <v>193</v>
      </c>
      <c r="D4" t="s">
        <v>194</v>
      </c>
      <c r="E4">
        <v>1520</v>
      </c>
      <c r="F4">
        <v>3</v>
      </c>
      <c r="G4">
        <v>2</v>
      </c>
      <c r="H4">
        <v>7</v>
      </c>
      <c r="I4">
        <v>7</v>
      </c>
      <c r="J4">
        <v>20</v>
      </c>
      <c r="K4" t="s">
        <v>218</v>
      </c>
      <c r="L4" s="208">
        <v>43097</v>
      </c>
      <c r="M4">
        <v>3</v>
      </c>
      <c r="N4" t="s">
        <v>18</v>
      </c>
      <c r="O4">
        <v>370</v>
      </c>
      <c r="P4">
        <v>0</v>
      </c>
      <c r="Q4">
        <v>4</v>
      </c>
      <c r="R4" t="s">
        <v>210</v>
      </c>
      <c r="S4" t="s">
        <v>193</v>
      </c>
      <c r="U4" t="s">
        <v>239</v>
      </c>
      <c r="V4">
        <v>1510</v>
      </c>
      <c r="W4">
        <v>3</v>
      </c>
      <c r="X4">
        <v>2</v>
      </c>
      <c r="Y4">
        <v>7</v>
      </c>
      <c r="Z4">
        <v>7</v>
      </c>
      <c r="AA4">
        <v>20</v>
      </c>
      <c r="AB4" t="s">
        <v>218</v>
      </c>
      <c r="AC4" s="208">
        <v>43097</v>
      </c>
      <c r="AD4">
        <v>3</v>
      </c>
      <c r="AE4" t="s">
        <v>18</v>
      </c>
      <c r="AF4">
        <v>370</v>
      </c>
      <c r="AG4">
        <v>0</v>
      </c>
      <c r="AH4">
        <v>4</v>
      </c>
      <c r="AI4" t="s">
        <v>210</v>
      </c>
      <c r="AJ4">
        <f t="shared" si="0"/>
        <v>-10</v>
      </c>
      <c r="AK4" s="13">
        <f t="shared" si="1"/>
        <v>0</v>
      </c>
      <c r="AL4" s="13">
        <f t="shared" si="2"/>
        <v>0</v>
      </c>
    </row>
    <row r="5" spans="1:38" x14ac:dyDescent="0.25">
      <c r="A5" s="14" t="s">
        <v>161</v>
      </c>
      <c r="B5" t="s">
        <v>123</v>
      </c>
      <c r="D5" t="s">
        <v>162</v>
      </c>
      <c r="E5">
        <v>256510</v>
      </c>
      <c r="F5">
        <v>2</v>
      </c>
      <c r="G5">
        <v>11</v>
      </c>
      <c r="H5">
        <v>6</v>
      </c>
      <c r="I5">
        <v>7</v>
      </c>
      <c r="J5">
        <v>20</v>
      </c>
      <c r="L5" s="208">
        <v>43111</v>
      </c>
      <c r="M5" t="s">
        <v>212</v>
      </c>
      <c r="N5" t="s">
        <v>22</v>
      </c>
      <c r="O5">
        <v>25632</v>
      </c>
      <c r="P5">
        <v>2</v>
      </c>
      <c r="Q5">
        <v>140</v>
      </c>
      <c r="R5" t="s">
        <v>210</v>
      </c>
      <c r="S5" t="s">
        <v>161</v>
      </c>
      <c r="U5" t="s">
        <v>224</v>
      </c>
      <c r="V5">
        <v>257540</v>
      </c>
      <c r="W5">
        <v>2</v>
      </c>
      <c r="X5">
        <v>11</v>
      </c>
      <c r="Y5">
        <v>6</v>
      </c>
      <c r="Z5">
        <v>7</v>
      </c>
      <c r="AA5">
        <v>20</v>
      </c>
      <c r="AC5" s="208">
        <v>43111</v>
      </c>
      <c r="AD5" t="s">
        <v>212</v>
      </c>
      <c r="AE5" t="s">
        <v>22</v>
      </c>
      <c r="AF5">
        <v>25632</v>
      </c>
      <c r="AG5">
        <v>2</v>
      </c>
      <c r="AH5">
        <v>140</v>
      </c>
      <c r="AI5" t="s">
        <v>210</v>
      </c>
      <c r="AJ5">
        <f t="shared" si="0"/>
        <v>1030</v>
      </c>
      <c r="AK5" s="13">
        <f t="shared" si="1"/>
        <v>0</v>
      </c>
      <c r="AL5" s="13">
        <f t="shared" si="2"/>
        <v>0</v>
      </c>
    </row>
    <row r="6" spans="1:38" x14ac:dyDescent="0.25">
      <c r="A6" s="14" t="s">
        <v>163</v>
      </c>
      <c r="B6" t="s">
        <v>123</v>
      </c>
      <c r="C6" t="s">
        <v>164</v>
      </c>
      <c r="D6" t="s">
        <v>165</v>
      </c>
      <c r="E6">
        <v>211470</v>
      </c>
      <c r="F6">
        <v>4</v>
      </c>
      <c r="G6">
        <v>7</v>
      </c>
      <c r="H6">
        <v>7</v>
      </c>
      <c r="I6">
        <v>8</v>
      </c>
      <c r="J6">
        <v>20</v>
      </c>
      <c r="L6" s="208">
        <v>43108</v>
      </c>
      <c r="M6" t="s">
        <v>212</v>
      </c>
      <c r="N6" t="s">
        <v>22</v>
      </c>
      <c r="O6">
        <v>28392</v>
      </c>
      <c r="P6">
        <v>0</v>
      </c>
      <c r="Q6">
        <v>96</v>
      </c>
      <c r="R6" t="s">
        <v>210</v>
      </c>
      <c r="S6" t="s">
        <v>163</v>
      </c>
      <c r="T6" t="s">
        <v>164</v>
      </c>
      <c r="U6" t="s">
        <v>225</v>
      </c>
      <c r="V6">
        <v>212150</v>
      </c>
      <c r="W6">
        <v>4</v>
      </c>
      <c r="X6">
        <v>7</v>
      </c>
      <c r="Y6">
        <v>7</v>
      </c>
      <c r="Z6">
        <v>8</v>
      </c>
      <c r="AA6">
        <v>20</v>
      </c>
      <c r="AC6" s="208">
        <v>43108</v>
      </c>
      <c r="AD6" t="s">
        <v>212</v>
      </c>
      <c r="AE6" t="s">
        <v>22</v>
      </c>
      <c r="AF6">
        <v>28392</v>
      </c>
      <c r="AG6">
        <v>0</v>
      </c>
      <c r="AH6">
        <v>96</v>
      </c>
      <c r="AI6" t="s">
        <v>210</v>
      </c>
      <c r="AJ6">
        <f t="shared" si="0"/>
        <v>680</v>
      </c>
      <c r="AK6" s="13">
        <f t="shared" si="1"/>
        <v>0</v>
      </c>
      <c r="AL6" s="13">
        <f t="shared" si="2"/>
        <v>0</v>
      </c>
    </row>
    <row r="7" spans="1:38" x14ac:dyDescent="0.25">
      <c r="A7" s="14" t="s">
        <v>170</v>
      </c>
      <c r="B7" t="s">
        <v>123</v>
      </c>
      <c r="D7" t="s">
        <v>171</v>
      </c>
      <c r="E7">
        <v>124120</v>
      </c>
      <c r="F7">
        <v>4</v>
      </c>
      <c r="G7">
        <v>14</v>
      </c>
      <c r="H7">
        <v>7</v>
      </c>
      <c r="I7">
        <v>7</v>
      </c>
      <c r="J7">
        <v>17</v>
      </c>
      <c r="L7" s="208">
        <v>43111</v>
      </c>
      <c r="M7" t="s">
        <v>214</v>
      </c>
      <c r="N7" t="s">
        <v>22</v>
      </c>
      <c r="O7">
        <v>36960</v>
      </c>
      <c r="P7">
        <v>2</v>
      </c>
      <c r="Q7">
        <v>136</v>
      </c>
      <c r="R7" t="s">
        <v>210</v>
      </c>
      <c r="S7" t="s">
        <v>170</v>
      </c>
      <c r="U7" t="s">
        <v>228</v>
      </c>
      <c r="V7">
        <v>120430</v>
      </c>
      <c r="W7">
        <v>4</v>
      </c>
      <c r="X7">
        <v>14</v>
      </c>
      <c r="Y7">
        <v>7</v>
      </c>
      <c r="Z7">
        <v>7</v>
      </c>
      <c r="AA7">
        <v>17</v>
      </c>
      <c r="AC7" s="208">
        <v>43111</v>
      </c>
      <c r="AD7" t="s">
        <v>214</v>
      </c>
      <c r="AE7" t="s">
        <v>22</v>
      </c>
      <c r="AF7">
        <v>36960</v>
      </c>
      <c r="AG7">
        <v>2</v>
      </c>
      <c r="AH7">
        <v>136</v>
      </c>
      <c r="AI7" t="s">
        <v>210</v>
      </c>
      <c r="AJ7">
        <f t="shared" si="0"/>
        <v>-3690</v>
      </c>
      <c r="AK7" s="13">
        <f t="shared" si="1"/>
        <v>0</v>
      </c>
      <c r="AL7" s="13">
        <f t="shared" si="2"/>
        <v>0</v>
      </c>
    </row>
    <row r="8" spans="1:38" x14ac:dyDescent="0.25">
      <c r="A8" t="s">
        <v>187</v>
      </c>
      <c r="D8" t="s">
        <v>188</v>
      </c>
      <c r="E8">
        <v>1430</v>
      </c>
      <c r="F8">
        <v>3</v>
      </c>
      <c r="G8">
        <v>2</v>
      </c>
      <c r="H8">
        <v>7</v>
      </c>
      <c r="I8">
        <v>6</v>
      </c>
      <c r="J8">
        <v>20</v>
      </c>
      <c r="K8" t="s">
        <v>218</v>
      </c>
      <c r="L8" s="208">
        <v>43090</v>
      </c>
      <c r="M8" t="s">
        <v>219</v>
      </c>
      <c r="N8" t="s">
        <v>22</v>
      </c>
      <c r="O8">
        <v>310</v>
      </c>
      <c r="P8">
        <v>0</v>
      </c>
      <c r="Q8">
        <v>1</v>
      </c>
      <c r="R8" t="s">
        <v>210</v>
      </c>
      <c r="S8" t="s">
        <v>187</v>
      </c>
      <c r="U8" t="s">
        <v>236</v>
      </c>
      <c r="V8">
        <v>1460</v>
      </c>
      <c r="W8">
        <v>3</v>
      </c>
      <c r="X8">
        <v>2</v>
      </c>
      <c r="Y8">
        <v>7</v>
      </c>
      <c r="Z8">
        <v>6</v>
      </c>
      <c r="AA8">
        <v>20</v>
      </c>
      <c r="AB8" t="s">
        <v>218</v>
      </c>
      <c r="AC8" s="208">
        <v>43090</v>
      </c>
      <c r="AD8" t="s">
        <v>219</v>
      </c>
      <c r="AE8" t="s">
        <v>22</v>
      </c>
      <c r="AF8">
        <v>310</v>
      </c>
      <c r="AG8">
        <v>0</v>
      </c>
      <c r="AH8">
        <v>1</v>
      </c>
      <c r="AI8" t="s">
        <v>210</v>
      </c>
      <c r="AJ8">
        <f t="shared" si="0"/>
        <v>30</v>
      </c>
      <c r="AK8" s="13">
        <f t="shared" si="1"/>
        <v>0</v>
      </c>
      <c r="AL8" s="13">
        <f t="shared" si="2"/>
        <v>0</v>
      </c>
    </row>
    <row r="9" spans="1:38" x14ac:dyDescent="0.25">
      <c r="A9" t="s">
        <v>191</v>
      </c>
      <c r="B9" t="s">
        <v>131</v>
      </c>
      <c r="D9" t="s">
        <v>192</v>
      </c>
      <c r="E9">
        <v>3430</v>
      </c>
      <c r="F9">
        <v>5</v>
      </c>
      <c r="G9">
        <v>2</v>
      </c>
      <c r="H9">
        <v>5</v>
      </c>
      <c r="I9">
        <v>8</v>
      </c>
      <c r="J9">
        <v>20</v>
      </c>
      <c r="K9" t="s">
        <v>218</v>
      </c>
      <c r="L9" s="208">
        <v>43104</v>
      </c>
      <c r="M9" t="s">
        <v>220</v>
      </c>
      <c r="N9" t="s">
        <v>22</v>
      </c>
      <c r="O9">
        <v>410</v>
      </c>
      <c r="P9">
        <v>0</v>
      </c>
      <c r="Q9">
        <v>5</v>
      </c>
      <c r="R9" t="s">
        <v>210</v>
      </c>
      <c r="S9" t="s">
        <v>191</v>
      </c>
      <c r="U9" t="s">
        <v>238</v>
      </c>
      <c r="V9">
        <v>3270</v>
      </c>
      <c r="W9">
        <v>5</v>
      </c>
      <c r="X9">
        <v>2</v>
      </c>
      <c r="Y9">
        <v>5</v>
      </c>
      <c r="Z9">
        <v>8</v>
      </c>
      <c r="AA9">
        <v>20</v>
      </c>
      <c r="AB9" t="s">
        <v>218</v>
      </c>
      <c r="AC9" s="208">
        <v>43104</v>
      </c>
      <c r="AD9" t="s">
        <v>220</v>
      </c>
      <c r="AE9" t="s">
        <v>22</v>
      </c>
      <c r="AF9">
        <v>410</v>
      </c>
      <c r="AG9">
        <v>0</v>
      </c>
      <c r="AH9">
        <v>5</v>
      </c>
      <c r="AI9" t="s">
        <v>210</v>
      </c>
      <c r="AJ9">
        <f t="shared" si="0"/>
        <v>-160</v>
      </c>
      <c r="AK9" s="13">
        <f t="shared" si="1"/>
        <v>0</v>
      </c>
      <c r="AL9" s="13">
        <f t="shared" si="2"/>
        <v>0</v>
      </c>
    </row>
    <row r="10" spans="1:38" x14ac:dyDescent="0.25">
      <c r="A10" t="s">
        <v>197</v>
      </c>
      <c r="B10" t="s">
        <v>123</v>
      </c>
      <c r="D10" t="s">
        <v>198</v>
      </c>
      <c r="E10">
        <v>1820</v>
      </c>
      <c r="F10">
        <v>4</v>
      </c>
      <c r="G10">
        <v>2</v>
      </c>
      <c r="H10">
        <v>6</v>
      </c>
      <c r="I10">
        <v>7</v>
      </c>
      <c r="J10">
        <v>20</v>
      </c>
      <c r="K10" t="s">
        <v>218</v>
      </c>
      <c r="L10" s="208">
        <v>43104</v>
      </c>
      <c r="M10" t="s">
        <v>219</v>
      </c>
      <c r="N10" t="s">
        <v>22</v>
      </c>
      <c r="O10">
        <v>330</v>
      </c>
      <c r="P10">
        <v>0</v>
      </c>
      <c r="Q10">
        <v>3</v>
      </c>
      <c r="S10" t="s">
        <v>197</v>
      </c>
      <c r="U10" t="s">
        <v>240</v>
      </c>
      <c r="V10">
        <v>1930</v>
      </c>
      <c r="W10">
        <v>4</v>
      </c>
      <c r="X10">
        <v>2</v>
      </c>
      <c r="Y10">
        <v>7</v>
      </c>
      <c r="Z10">
        <v>7</v>
      </c>
      <c r="AA10">
        <v>20</v>
      </c>
      <c r="AB10" t="s">
        <v>218</v>
      </c>
      <c r="AC10" s="208">
        <v>43104</v>
      </c>
      <c r="AD10" t="s">
        <v>219</v>
      </c>
      <c r="AE10" t="s">
        <v>22</v>
      </c>
      <c r="AF10">
        <v>330</v>
      </c>
      <c r="AG10">
        <v>0</v>
      </c>
      <c r="AH10">
        <v>3</v>
      </c>
      <c r="AJ10">
        <f t="shared" si="0"/>
        <v>110</v>
      </c>
      <c r="AK10" s="13">
        <f t="shared" si="1"/>
        <v>1</v>
      </c>
      <c r="AL10" s="13">
        <f t="shared" si="2"/>
        <v>0</v>
      </c>
    </row>
    <row r="11" spans="1:38" x14ac:dyDescent="0.25">
      <c r="A11" s="14" t="s">
        <v>168</v>
      </c>
      <c r="B11" t="s">
        <v>123</v>
      </c>
      <c r="D11" t="s">
        <v>169</v>
      </c>
      <c r="E11">
        <v>263960</v>
      </c>
      <c r="F11">
        <v>2</v>
      </c>
      <c r="G11">
        <v>12</v>
      </c>
      <c r="H11">
        <v>7</v>
      </c>
      <c r="I11">
        <v>7</v>
      </c>
      <c r="J11">
        <v>12</v>
      </c>
      <c r="L11" s="208">
        <v>43111</v>
      </c>
      <c r="M11">
        <v>10</v>
      </c>
      <c r="N11" t="s">
        <v>20</v>
      </c>
      <c r="O11">
        <v>25220</v>
      </c>
      <c r="P11">
        <v>1</v>
      </c>
      <c r="Q11">
        <v>45</v>
      </c>
      <c r="R11" t="s">
        <v>210</v>
      </c>
      <c r="S11" t="s">
        <v>168</v>
      </c>
      <c r="U11" t="s">
        <v>227</v>
      </c>
      <c r="V11">
        <v>278560</v>
      </c>
      <c r="W11">
        <v>2</v>
      </c>
      <c r="X11">
        <v>12</v>
      </c>
      <c r="Y11">
        <v>7</v>
      </c>
      <c r="Z11">
        <v>7</v>
      </c>
      <c r="AA11">
        <v>12</v>
      </c>
      <c r="AC11" s="208">
        <v>43111</v>
      </c>
      <c r="AD11">
        <v>10</v>
      </c>
      <c r="AE11" t="s">
        <v>20</v>
      </c>
      <c r="AF11">
        <v>25220</v>
      </c>
      <c r="AG11">
        <v>1</v>
      </c>
      <c r="AH11">
        <v>45</v>
      </c>
      <c r="AI11" t="s">
        <v>210</v>
      </c>
      <c r="AJ11">
        <f t="shared" si="0"/>
        <v>14600</v>
      </c>
      <c r="AK11" s="13">
        <f t="shared" si="1"/>
        <v>0</v>
      </c>
      <c r="AL11" s="13">
        <f t="shared" si="2"/>
        <v>0</v>
      </c>
    </row>
    <row r="12" spans="1:38" x14ac:dyDescent="0.25">
      <c r="A12" t="s">
        <v>189</v>
      </c>
      <c r="B12" t="s">
        <v>123</v>
      </c>
      <c r="D12" t="s">
        <v>190</v>
      </c>
      <c r="E12">
        <v>12030</v>
      </c>
      <c r="F12">
        <v>6</v>
      </c>
      <c r="G12">
        <v>13</v>
      </c>
      <c r="H12">
        <v>5</v>
      </c>
      <c r="I12">
        <v>4</v>
      </c>
      <c r="J12">
        <v>20</v>
      </c>
      <c r="L12" s="208">
        <v>43111</v>
      </c>
      <c r="M12" t="s">
        <v>216</v>
      </c>
      <c r="N12" t="s">
        <v>20</v>
      </c>
      <c r="O12">
        <v>5232</v>
      </c>
      <c r="P12">
        <v>0</v>
      </c>
      <c r="Q12">
        <v>67</v>
      </c>
      <c r="R12" t="s">
        <v>210</v>
      </c>
      <c r="S12" t="s">
        <v>189</v>
      </c>
      <c r="U12" t="s">
        <v>237</v>
      </c>
      <c r="V12">
        <v>12170</v>
      </c>
      <c r="W12">
        <v>6</v>
      </c>
      <c r="X12">
        <v>13</v>
      </c>
      <c r="Y12">
        <v>5</v>
      </c>
      <c r="Z12">
        <v>4</v>
      </c>
      <c r="AA12">
        <v>20</v>
      </c>
      <c r="AC12" s="208">
        <v>43111</v>
      </c>
      <c r="AD12" t="s">
        <v>216</v>
      </c>
      <c r="AE12" t="s">
        <v>20</v>
      </c>
      <c r="AF12">
        <v>5232</v>
      </c>
      <c r="AG12">
        <v>0</v>
      </c>
      <c r="AH12">
        <v>67</v>
      </c>
      <c r="AI12" t="s">
        <v>210</v>
      </c>
      <c r="AJ12">
        <f t="shared" si="0"/>
        <v>140</v>
      </c>
      <c r="AK12" s="13">
        <f t="shared" si="1"/>
        <v>0</v>
      </c>
      <c r="AL12" s="13">
        <f t="shared" si="2"/>
        <v>0</v>
      </c>
    </row>
    <row r="13" spans="1:38" x14ac:dyDescent="0.25">
      <c r="A13" s="14" t="s">
        <v>166</v>
      </c>
      <c r="B13" t="s">
        <v>123</v>
      </c>
      <c r="D13" t="s">
        <v>167</v>
      </c>
      <c r="E13">
        <v>25220</v>
      </c>
      <c r="F13">
        <v>3</v>
      </c>
      <c r="G13">
        <v>13</v>
      </c>
      <c r="H13">
        <v>6</v>
      </c>
      <c r="I13">
        <v>6</v>
      </c>
      <c r="J13">
        <v>20</v>
      </c>
      <c r="L13" s="208">
        <v>43111</v>
      </c>
      <c r="M13" t="s">
        <v>213</v>
      </c>
      <c r="N13" t="s">
        <v>17</v>
      </c>
      <c r="O13">
        <v>13680</v>
      </c>
      <c r="P13">
        <v>0</v>
      </c>
      <c r="Q13">
        <v>51</v>
      </c>
      <c r="R13" t="s">
        <v>210</v>
      </c>
      <c r="S13" t="s">
        <v>166</v>
      </c>
      <c r="U13" t="s">
        <v>226</v>
      </c>
      <c r="V13">
        <v>23090</v>
      </c>
      <c r="W13">
        <v>3</v>
      </c>
      <c r="X13">
        <v>13</v>
      </c>
      <c r="Y13">
        <v>5</v>
      </c>
      <c r="Z13">
        <v>6</v>
      </c>
      <c r="AA13">
        <v>20</v>
      </c>
      <c r="AC13" s="208">
        <v>43111</v>
      </c>
      <c r="AD13" t="s">
        <v>213</v>
      </c>
      <c r="AE13" t="s">
        <v>17</v>
      </c>
      <c r="AF13">
        <v>13680</v>
      </c>
      <c r="AG13">
        <v>0</v>
      </c>
      <c r="AH13">
        <v>51</v>
      </c>
      <c r="AI13" t="s">
        <v>210</v>
      </c>
      <c r="AJ13">
        <f t="shared" si="0"/>
        <v>-2130</v>
      </c>
      <c r="AK13" s="13">
        <f t="shared" si="1"/>
        <v>-1</v>
      </c>
      <c r="AL13" s="13">
        <f t="shared" si="2"/>
        <v>0</v>
      </c>
    </row>
    <row r="14" spans="1:38" x14ac:dyDescent="0.25">
      <c r="A14" t="s">
        <v>181</v>
      </c>
      <c r="B14" t="s">
        <v>123</v>
      </c>
      <c r="D14" t="s">
        <v>182</v>
      </c>
      <c r="E14">
        <v>40400</v>
      </c>
      <c r="F14">
        <v>3</v>
      </c>
      <c r="G14">
        <v>12</v>
      </c>
      <c r="H14">
        <v>4</v>
      </c>
      <c r="I14">
        <v>7</v>
      </c>
      <c r="J14">
        <v>10</v>
      </c>
      <c r="L14" s="208">
        <v>43108</v>
      </c>
      <c r="M14" t="s">
        <v>217</v>
      </c>
      <c r="N14" t="s">
        <v>17</v>
      </c>
      <c r="O14">
        <v>30636</v>
      </c>
      <c r="P14">
        <v>0</v>
      </c>
      <c r="Q14">
        <v>40</v>
      </c>
      <c r="R14" t="s">
        <v>210</v>
      </c>
      <c r="S14" t="s">
        <v>181</v>
      </c>
      <c r="U14" t="s">
        <v>233</v>
      </c>
      <c r="V14">
        <v>45390</v>
      </c>
      <c r="W14">
        <v>3</v>
      </c>
      <c r="X14">
        <v>12</v>
      </c>
      <c r="Y14">
        <v>5</v>
      </c>
      <c r="Z14">
        <v>7</v>
      </c>
      <c r="AA14">
        <v>10</v>
      </c>
      <c r="AC14" s="208">
        <v>43108</v>
      </c>
      <c r="AD14" t="s">
        <v>217</v>
      </c>
      <c r="AE14" t="s">
        <v>17</v>
      </c>
      <c r="AF14">
        <v>30636</v>
      </c>
      <c r="AG14">
        <v>0</v>
      </c>
      <c r="AH14">
        <v>40</v>
      </c>
      <c r="AI14" t="s">
        <v>210</v>
      </c>
      <c r="AJ14">
        <f t="shared" si="0"/>
        <v>4990</v>
      </c>
      <c r="AK14" s="13">
        <f t="shared" si="1"/>
        <v>1</v>
      </c>
      <c r="AL14" s="13">
        <f t="shared" si="2"/>
        <v>0</v>
      </c>
    </row>
    <row r="15" spans="1:38" x14ac:dyDescent="0.25">
      <c r="A15" t="s">
        <v>183</v>
      </c>
      <c r="B15" t="s">
        <v>123</v>
      </c>
      <c r="D15" t="s">
        <v>184</v>
      </c>
      <c r="E15">
        <v>46860</v>
      </c>
      <c r="F15">
        <v>3</v>
      </c>
      <c r="G15">
        <v>9</v>
      </c>
      <c r="H15">
        <v>4</v>
      </c>
      <c r="I15">
        <v>6</v>
      </c>
      <c r="J15">
        <v>20</v>
      </c>
      <c r="L15" s="208">
        <v>43111</v>
      </c>
      <c r="M15" t="s">
        <v>217</v>
      </c>
      <c r="N15" t="s">
        <v>17</v>
      </c>
      <c r="O15">
        <v>15588</v>
      </c>
      <c r="P15">
        <v>0</v>
      </c>
      <c r="Q15">
        <v>43</v>
      </c>
      <c r="R15" t="s">
        <v>210</v>
      </c>
      <c r="S15" t="s">
        <v>183</v>
      </c>
      <c r="U15" t="s">
        <v>234</v>
      </c>
      <c r="V15">
        <v>56060</v>
      </c>
      <c r="W15">
        <v>3</v>
      </c>
      <c r="X15">
        <v>9</v>
      </c>
      <c r="Y15">
        <v>6</v>
      </c>
      <c r="Z15">
        <v>7</v>
      </c>
      <c r="AA15">
        <v>20</v>
      </c>
      <c r="AC15" s="208">
        <v>43111</v>
      </c>
      <c r="AD15" t="s">
        <v>217</v>
      </c>
      <c r="AE15" t="s">
        <v>17</v>
      </c>
      <c r="AF15">
        <v>15588</v>
      </c>
      <c r="AG15">
        <v>0</v>
      </c>
      <c r="AH15">
        <v>43</v>
      </c>
      <c r="AI15" t="s">
        <v>210</v>
      </c>
      <c r="AJ15">
        <f t="shared" si="0"/>
        <v>9200</v>
      </c>
      <c r="AK15" s="13">
        <f t="shared" si="1"/>
        <v>2</v>
      </c>
      <c r="AL15" s="13">
        <f t="shared" si="2"/>
        <v>1</v>
      </c>
    </row>
    <row r="16" spans="1:38" x14ac:dyDescent="0.25">
      <c r="A16" s="14" t="s">
        <v>172</v>
      </c>
      <c r="B16" t="s">
        <v>123</v>
      </c>
      <c r="D16" t="s">
        <v>173</v>
      </c>
      <c r="E16">
        <v>274910</v>
      </c>
      <c r="F16">
        <v>3</v>
      </c>
      <c r="G16">
        <v>11</v>
      </c>
      <c r="H16">
        <v>7</v>
      </c>
      <c r="I16">
        <v>7</v>
      </c>
      <c r="J16">
        <v>20</v>
      </c>
      <c r="L16" s="208">
        <v>43111</v>
      </c>
      <c r="M16">
        <v>9</v>
      </c>
      <c r="N16" t="s">
        <v>215</v>
      </c>
      <c r="O16">
        <v>27570</v>
      </c>
      <c r="P16">
        <v>4</v>
      </c>
      <c r="Q16">
        <v>104</v>
      </c>
      <c r="R16" t="s">
        <v>210</v>
      </c>
      <c r="S16" t="s">
        <v>172</v>
      </c>
      <c r="U16" t="s">
        <v>229</v>
      </c>
      <c r="V16">
        <v>282330</v>
      </c>
      <c r="W16">
        <v>3</v>
      </c>
      <c r="X16">
        <v>11</v>
      </c>
      <c r="Y16">
        <v>7</v>
      </c>
      <c r="Z16">
        <v>8</v>
      </c>
      <c r="AA16">
        <v>20</v>
      </c>
      <c r="AC16" s="208">
        <v>43111</v>
      </c>
      <c r="AD16">
        <v>9</v>
      </c>
      <c r="AE16" t="s">
        <v>215</v>
      </c>
      <c r="AF16">
        <v>27570</v>
      </c>
      <c r="AG16">
        <v>4</v>
      </c>
      <c r="AH16">
        <v>104</v>
      </c>
      <c r="AI16" t="s">
        <v>210</v>
      </c>
      <c r="AJ16">
        <f t="shared" si="0"/>
        <v>7420</v>
      </c>
      <c r="AK16" s="13">
        <f t="shared" si="1"/>
        <v>0</v>
      </c>
      <c r="AL16" s="13">
        <f t="shared" si="2"/>
        <v>1</v>
      </c>
    </row>
    <row r="17" spans="1:38" x14ac:dyDescent="0.25">
      <c r="A17" s="14" t="s">
        <v>174</v>
      </c>
      <c r="D17" t="s">
        <v>175</v>
      </c>
      <c r="E17">
        <v>29750</v>
      </c>
      <c r="F17">
        <v>1</v>
      </c>
      <c r="G17">
        <v>12</v>
      </c>
      <c r="H17">
        <v>6</v>
      </c>
      <c r="I17">
        <v>6</v>
      </c>
      <c r="J17">
        <v>20</v>
      </c>
      <c r="L17" s="208">
        <v>43111</v>
      </c>
      <c r="M17" t="s">
        <v>213</v>
      </c>
      <c r="N17" t="s">
        <v>215</v>
      </c>
      <c r="O17">
        <v>18156</v>
      </c>
      <c r="P17">
        <v>0</v>
      </c>
      <c r="Q17">
        <v>65</v>
      </c>
      <c r="R17" t="s">
        <v>210</v>
      </c>
      <c r="S17" t="s">
        <v>174</v>
      </c>
      <c r="U17" t="s">
        <v>230</v>
      </c>
      <c r="V17">
        <v>29160</v>
      </c>
      <c r="W17">
        <v>1</v>
      </c>
      <c r="X17">
        <v>12</v>
      </c>
      <c r="Y17">
        <v>6</v>
      </c>
      <c r="Z17">
        <v>6</v>
      </c>
      <c r="AA17">
        <v>20</v>
      </c>
      <c r="AC17" s="208">
        <v>43111</v>
      </c>
      <c r="AD17" t="s">
        <v>213</v>
      </c>
      <c r="AE17" t="s">
        <v>215</v>
      </c>
      <c r="AF17">
        <v>18156</v>
      </c>
      <c r="AG17">
        <v>0</v>
      </c>
      <c r="AH17">
        <v>65</v>
      </c>
      <c r="AI17" t="s">
        <v>210</v>
      </c>
      <c r="AJ17">
        <f t="shared" si="0"/>
        <v>-590</v>
      </c>
      <c r="AK17" s="13">
        <f t="shared" si="1"/>
        <v>0</v>
      </c>
      <c r="AL17" s="13">
        <f t="shared" si="2"/>
        <v>0</v>
      </c>
    </row>
    <row r="18" spans="1:38" x14ac:dyDescent="0.25">
      <c r="A18" t="s">
        <v>176</v>
      </c>
      <c r="D18" s="207">
        <v>32110</v>
      </c>
      <c r="E18">
        <v>193370</v>
      </c>
      <c r="F18">
        <v>4</v>
      </c>
      <c r="G18">
        <v>13</v>
      </c>
      <c r="H18">
        <v>7</v>
      </c>
      <c r="I18">
        <v>6</v>
      </c>
      <c r="J18">
        <v>7</v>
      </c>
      <c r="L18" s="208">
        <v>43111</v>
      </c>
      <c r="M18" t="s">
        <v>214</v>
      </c>
      <c r="N18" t="s">
        <v>215</v>
      </c>
      <c r="O18">
        <v>52416</v>
      </c>
      <c r="P18">
        <v>1</v>
      </c>
      <c r="Q18">
        <v>88</v>
      </c>
      <c r="R18" t="s">
        <v>210</v>
      </c>
      <c r="S18" t="s">
        <v>176</v>
      </c>
      <c r="U18" s="207">
        <v>32111</v>
      </c>
      <c r="V18">
        <v>199650</v>
      </c>
      <c r="W18">
        <v>4</v>
      </c>
      <c r="X18">
        <v>13</v>
      </c>
      <c r="Y18">
        <v>7</v>
      </c>
      <c r="Z18">
        <v>6</v>
      </c>
      <c r="AA18">
        <v>7</v>
      </c>
      <c r="AC18" s="208">
        <v>43111</v>
      </c>
      <c r="AD18" t="s">
        <v>214</v>
      </c>
      <c r="AE18" t="s">
        <v>215</v>
      </c>
      <c r="AF18">
        <v>52416</v>
      </c>
      <c r="AG18">
        <v>1</v>
      </c>
      <c r="AH18">
        <v>88</v>
      </c>
      <c r="AI18" t="s">
        <v>210</v>
      </c>
      <c r="AJ18">
        <f t="shared" si="0"/>
        <v>6280</v>
      </c>
      <c r="AK18" s="13">
        <f t="shared" si="1"/>
        <v>0</v>
      </c>
      <c r="AL18" s="13">
        <f t="shared" si="2"/>
        <v>0</v>
      </c>
    </row>
    <row r="19" spans="1:38" x14ac:dyDescent="0.25">
      <c r="A19" s="14" t="s">
        <v>177</v>
      </c>
      <c r="B19" t="s">
        <v>123</v>
      </c>
      <c r="D19" t="s">
        <v>178</v>
      </c>
      <c r="E19">
        <v>56080</v>
      </c>
      <c r="F19">
        <v>3</v>
      </c>
      <c r="G19">
        <v>12</v>
      </c>
      <c r="H19">
        <v>7</v>
      </c>
      <c r="I19">
        <v>7</v>
      </c>
      <c r="J19">
        <v>20</v>
      </c>
      <c r="L19" s="208">
        <v>43104</v>
      </c>
      <c r="M19">
        <v>10</v>
      </c>
      <c r="N19" t="s">
        <v>215</v>
      </c>
      <c r="O19">
        <v>21480</v>
      </c>
      <c r="P19">
        <v>0</v>
      </c>
      <c r="Q19">
        <v>65</v>
      </c>
      <c r="R19" t="s">
        <v>210</v>
      </c>
      <c r="S19" t="s">
        <v>177</v>
      </c>
      <c r="U19" t="s">
        <v>231</v>
      </c>
      <c r="V19">
        <v>49360</v>
      </c>
      <c r="W19">
        <v>3</v>
      </c>
      <c r="X19">
        <v>12</v>
      </c>
      <c r="Y19">
        <v>6</v>
      </c>
      <c r="Z19">
        <v>7</v>
      </c>
      <c r="AA19">
        <v>20</v>
      </c>
      <c r="AC19" s="208">
        <v>43104</v>
      </c>
      <c r="AD19">
        <v>10</v>
      </c>
      <c r="AE19" t="s">
        <v>215</v>
      </c>
      <c r="AF19">
        <v>21480</v>
      </c>
      <c r="AG19">
        <v>0</v>
      </c>
      <c r="AH19">
        <v>65</v>
      </c>
      <c r="AI19" t="s">
        <v>210</v>
      </c>
      <c r="AJ19">
        <f t="shared" si="0"/>
        <v>-6720</v>
      </c>
      <c r="AK19" s="13">
        <f t="shared" si="1"/>
        <v>-1</v>
      </c>
      <c r="AL19" s="13">
        <f t="shared" si="2"/>
        <v>0</v>
      </c>
    </row>
    <row r="20" spans="1:38" x14ac:dyDescent="0.25">
      <c r="A20" s="14" t="s">
        <v>159</v>
      </c>
      <c r="D20" t="s">
        <v>160</v>
      </c>
      <c r="E20">
        <v>84120</v>
      </c>
      <c r="F20">
        <v>3</v>
      </c>
      <c r="G20">
        <v>10</v>
      </c>
      <c r="H20">
        <v>5</v>
      </c>
      <c r="I20">
        <v>7</v>
      </c>
      <c r="J20">
        <v>20</v>
      </c>
      <c r="L20" s="208">
        <v>43111</v>
      </c>
      <c r="M20">
        <v>9</v>
      </c>
      <c r="N20" t="s">
        <v>211</v>
      </c>
      <c r="O20">
        <v>34050</v>
      </c>
      <c r="P20">
        <v>0</v>
      </c>
      <c r="Q20">
        <v>3</v>
      </c>
      <c r="R20" t="s">
        <v>210</v>
      </c>
      <c r="S20" t="s">
        <v>159</v>
      </c>
      <c r="U20" t="s">
        <v>223</v>
      </c>
      <c r="V20">
        <v>79710</v>
      </c>
      <c r="W20">
        <v>3</v>
      </c>
      <c r="X20">
        <v>10</v>
      </c>
      <c r="Y20">
        <v>5</v>
      </c>
      <c r="Z20">
        <v>7</v>
      </c>
      <c r="AA20">
        <v>20</v>
      </c>
      <c r="AC20" s="208">
        <v>43111</v>
      </c>
      <c r="AD20">
        <v>9</v>
      </c>
      <c r="AE20" t="s">
        <v>211</v>
      </c>
      <c r="AF20">
        <v>34050</v>
      </c>
      <c r="AG20">
        <v>0</v>
      </c>
      <c r="AH20">
        <v>3</v>
      </c>
      <c r="AI20" t="s">
        <v>210</v>
      </c>
      <c r="AJ20">
        <f t="shared" si="0"/>
        <v>-4410</v>
      </c>
      <c r="AK20" s="13">
        <f t="shared" si="1"/>
        <v>0</v>
      </c>
      <c r="AL20" s="13">
        <f t="shared" si="2"/>
        <v>0</v>
      </c>
    </row>
    <row r="21" spans="1:38" x14ac:dyDescent="0.25">
      <c r="A21" t="s">
        <v>195</v>
      </c>
      <c r="D21" t="s">
        <v>196</v>
      </c>
      <c r="E21">
        <v>0</v>
      </c>
      <c r="F21">
        <v>5</v>
      </c>
      <c r="G21">
        <v>11</v>
      </c>
      <c r="H21">
        <v>4</v>
      </c>
      <c r="I21">
        <v>3</v>
      </c>
      <c r="J21">
        <v>20</v>
      </c>
      <c r="L21" s="208">
        <v>43097</v>
      </c>
      <c r="M21">
        <v>0</v>
      </c>
      <c r="N21" t="s">
        <v>211</v>
      </c>
      <c r="O21">
        <v>300</v>
      </c>
      <c r="P21">
        <v>0</v>
      </c>
      <c r="Q21">
        <v>80</v>
      </c>
      <c r="R21" t="s">
        <v>210</v>
      </c>
      <c r="S21" t="s">
        <v>195</v>
      </c>
      <c r="U21" s="207">
        <v>46100</v>
      </c>
      <c r="V21">
        <v>0</v>
      </c>
      <c r="W21">
        <v>5</v>
      </c>
      <c r="X21">
        <v>11</v>
      </c>
      <c r="Y21">
        <v>3</v>
      </c>
      <c r="Z21">
        <v>2</v>
      </c>
      <c r="AA21">
        <v>20</v>
      </c>
      <c r="AC21" s="208">
        <v>43097</v>
      </c>
      <c r="AD21">
        <v>0</v>
      </c>
      <c r="AE21" t="s">
        <v>211</v>
      </c>
      <c r="AF21">
        <v>300</v>
      </c>
      <c r="AG21">
        <v>0</v>
      </c>
      <c r="AH21">
        <v>80</v>
      </c>
      <c r="AI21" t="s">
        <v>210</v>
      </c>
      <c r="AJ21">
        <f t="shared" si="0"/>
        <v>0</v>
      </c>
      <c r="AK21" s="13">
        <f t="shared" si="1"/>
        <v>-1</v>
      </c>
      <c r="AL21" s="13">
        <f t="shared" si="2"/>
        <v>-1</v>
      </c>
    </row>
  </sheetData>
  <sortState ref="A2:AK21">
    <sortCondition ref="AE2:AE21"/>
  </sortState>
  <conditionalFormatting sqref="AJ2:AJ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{E532274F-0A76-4C68-9E1F-E6559891A524}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2274F-0A76-4C68-9E1F-E6559891A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AJ2:AJ21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C12" sqref="C12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221</v>
      </c>
      <c r="B1" t="s">
        <v>145</v>
      </c>
      <c r="F1" s="204" t="s">
        <v>123</v>
      </c>
      <c r="G1" s="202">
        <f>IF(D3="SI",COUNTIF($F$6:$F$18,"RAP"),0)</f>
        <v>8</v>
      </c>
      <c r="H1" s="13"/>
      <c r="J1" s="205" t="s">
        <v>123</v>
      </c>
      <c r="K1" s="202">
        <f>IF(D3="SI",COUNTIF($J$6:$J$18,"RAP"),0)</f>
        <v>0</v>
      </c>
      <c r="L1" s="13"/>
      <c r="P1" s="211"/>
      <c r="Q1" s="211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2" t="s">
        <v>116</v>
      </c>
      <c r="C3" s="212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2.0043899688014506E-3</v>
      </c>
      <c r="BL4">
        <v>0</v>
      </c>
      <c r="BM4">
        <v>0</v>
      </c>
      <c r="BN4" s="107">
        <f>H25*H39</f>
        <v>5.1927127300873364E-4</v>
      </c>
      <c r="BP4">
        <v>1</v>
      </c>
      <c r="BQ4">
        <v>0</v>
      </c>
      <c r="BR4" s="107">
        <f>$H$26*H39</f>
        <v>2.8573411317067716E-3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3.5655018346840697E-3</v>
      </c>
      <c r="BL5">
        <v>1</v>
      </c>
      <c r="BM5">
        <v>1</v>
      </c>
      <c r="BN5" s="107">
        <f>$H$26*H40</f>
        <v>1.1029352478238308E-2</v>
      </c>
      <c r="BP5">
        <f>BP4+1</f>
        <v>2</v>
      </c>
      <c r="BQ5">
        <v>0</v>
      </c>
      <c r="BR5" s="107">
        <f>$H$27*H39</f>
        <v>6.6877511791196085E-3</v>
      </c>
    </row>
    <row r="6" spans="1:70" x14ac:dyDescent="0.25">
      <c r="A6" s="2" t="s">
        <v>1</v>
      </c>
      <c r="B6" s="168">
        <v>13</v>
      </c>
      <c r="C6" s="169">
        <v>11.5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>
        <v>11</v>
      </c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0.127</v>
      </c>
      <c r="Z6" s="197" t="str">
        <f>Z3</f>
        <v>0,6</v>
      </c>
      <c r="AA6" s="19">
        <f t="shared" ref="AA6:AA19" si="3">Z6*Y6</f>
        <v>7.6200000000000004E-2</v>
      </c>
      <c r="AB6" s="157">
        <f t="shared" ref="AB6:AB19" si="4">IF($M$2="SI",AA6*$C$22/0.5*$S$1,AA6*$C$22/0.5*$S$2)</f>
        <v>7.1534693877551014E-2</v>
      </c>
      <c r="AC6" s="176">
        <f t="shared" ref="AC6:AC19" si="5">(1-AB6)</f>
        <v>0.92846530612244904</v>
      </c>
      <c r="AD6" s="177">
        <f>AB6*AC5*PRODUCT(AC7:AC19)</f>
        <v>4.6461458249604293E-2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2.1371167719462347E-2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0.127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3.8730442116160515E-3</v>
      </c>
      <c r="BL6">
        <f>BH14+1</f>
        <v>2</v>
      </c>
      <c r="BM6">
        <v>2</v>
      </c>
      <c r="BN6" s="107">
        <f>$H$27*H41</f>
        <v>4.5920485762478265E-2</v>
      </c>
      <c r="BP6">
        <f>BL5+1</f>
        <v>2</v>
      </c>
      <c r="BQ6">
        <v>1</v>
      </c>
      <c r="BR6" s="107">
        <f>$H$27*H40</f>
        <v>2.5814756321099166E-2</v>
      </c>
    </row>
    <row r="7" spans="1:70" x14ac:dyDescent="0.25">
      <c r="A7" s="5" t="s">
        <v>2</v>
      </c>
      <c r="B7" s="168">
        <v>8.75</v>
      </c>
      <c r="C7" s="169">
        <v>14.75</v>
      </c>
      <c r="E7" s="192" t="s">
        <v>18</v>
      </c>
      <c r="F7" s="167"/>
      <c r="G7" s="167"/>
      <c r="H7" s="10"/>
      <c r="I7" s="10"/>
      <c r="J7" s="166"/>
      <c r="K7" s="166">
        <v>12</v>
      </c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2.8694299540830679E-3</v>
      </c>
      <c r="BL7">
        <f>BH23+1</f>
        <v>3</v>
      </c>
      <c r="BM7">
        <v>3</v>
      </c>
      <c r="BN7" s="107">
        <f>$H$28*H42</f>
        <v>6.6692879766826973E-2</v>
      </c>
      <c r="BP7">
        <f>BP5+1</f>
        <v>3</v>
      </c>
      <c r="BQ7">
        <v>0</v>
      </c>
      <c r="BR7" s="107">
        <f>$H$28*H39</f>
        <v>8.9417250836618684E-3</v>
      </c>
    </row>
    <row r="8" spans="1:70" x14ac:dyDescent="0.25">
      <c r="A8" s="5" t="s">
        <v>3</v>
      </c>
      <c r="B8" s="168">
        <v>9</v>
      </c>
      <c r="C8" s="169">
        <v>15.75</v>
      </c>
      <c r="E8" s="192" t="s">
        <v>18</v>
      </c>
      <c r="F8" s="167"/>
      <c r="G8" s="167"/>
      <c r="H8" s="10"/>
      <c r="I8" s="10"/>
      <c r="J8" s="166" t="s">
        <v>16</v>
      </c>
      <c r="K8" s="166">
        <v>12</v>
      </c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0.127</v>
      </c>
      <c r="Z8" s="197" t="str">
        <f>Z3</f>
        <v>0,6</v>
      </c>
      <c r="AA8" s="19">
        <f t="shared" si="3"/>
        <v>7.6200000000000004E-2</v>
      </c>
      <c r="AB8" s="157">
        <f t="shared" si="4"/>
        <v>7.1534693877551014E-2</v>
      </c>
      <c r="AC8" s="176">
        <f t="shared" si="5"/>
        <v>0.92846530612244904</v>
      </c>
      <c r="AD8" s="177">
        <f>AB8*PRODUCT(AC5:AC7)*PRODUCT(AC9:AC19)</f>
        <v>4.6461458249604307E-2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1.7791490405648175E-2</v>
      </c>
      <c r="AG8" s="203">
        <f>IF(COUNTIF(F6:F18,"IMP")+COUNTIF(J6:J18,"IMP")=0,0,COUNTIF(F6:F18,"IMP")/(COUNTIF(F6:F18,"IMP")+COUNTIF(J6:J18,"IMP")))</f>
        <v>0</v>
      </c>
      <c r="AI8" s="206">
        <f t="shared" si="6"/>
        <v>0.127</v>
      </c>
      <c r="AK8" s="203">
        <f>IF(COUNTIF(F6:F18,"IMP")+COUNTIF(J6:J18,"IMP")=0,0,COUNTIF(J6:J18,"IMP")/(COUNTIF(F6:F18,"IMP")+COUNTIF(J6:J18,"IMP")))</f>
        <v>1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1.5334285966036375E-3</v>
      </c>
      <c r="BL8">
        <f>BH31+1</f>
        <v>4</v>
      </c>
      <c r="BM8">
        <v>4</v>
      </c>
      <c r="BN8" s="107">
        <f>$H$29*H43</f>
        <v>4.2747668937085204E-2</v>
      </c>
      <c r="BP8">
        <f>BP6+1</f>
        <v>3</v>
      </c>
      <c r="BQ8">
        <v>1</v>
      </c>
      <c r="BR8" s="107">
        <f>$H$28*H40</f>
        <v>3.4515107985129613E-2</v>
      </c>
    </row>
    <row r="9" spans="1:70" x14ac:dyDescent="0.25">
      <c r="A9" s="5" t="s">
        <v>4</v>
      </c>
      <c r="B9" s="168">
        <v>5.75</v>
      </c>
      <c r="C9" s="169">
        <v>16.75</v>
      </c>
      <c r="E9" s="192" t="s">
        <v>18</v>
      </c>
      <c r="F9" s="167" t="s">
        <v>123</v>
      </c>
      <c r="G9" s="167"/>
      <c r="H9" s="10"/>
      <c r="I9" s="10"/>
      <c r="J9" s="166"/>
      <c r="K9" s="166">
        <v>14</v>
      </c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6.0934894856333693E-4</v>
      </c>
      <c r="BL9">
        <f>BH38+1</f>
        <v>5</v>
      </c>
      <c r="BM9">
        <v>5</v>
      </c>
      <c r="BN9" s="107">
        <f>$H$30*H44</f>
        <v>1.3663365674022846E-2</v>
      </c>
      <c r="BP9">
        <f>BL6+1</f>
        <v>3</v>
      </c>
      <c r="BQ9">
        <v>2</v>
      </c>
      <c r="BR9" s="107">
        <f>$H$28*H41</f>
        <v>6.1397074801210386E-2</v>
      </c>
    </row>
    <row r="10" spans="1:70" x14ac:dyDescent="0.25">
      <c r="A10" s="6" t="s">
        <v>5</v>
      </c>
      <c r="B10" s="168">
        <v>13.25</v>
      </c>
      <c r="C10" s="169">
        <v>11.5</v>
      </c>
      <c r="E10" s="192" t="s">
        <v>17</v>
      </c>
      <c r="F10" s="167"/>
      <c r="G10" s="167"/>
      <c r="H10" s="10"/>
      <c r="I10" s="10"/>
      <c r="J10" s="166" t="s">
        <v>154</v>
      </c>
      <c r="K10" s="166">
        <v>10</v>
      </c>
      <c r="L10" s="10"/>
      <c r="M10" s="10"/>
      <c r="O10" s="67">
        <f>COUNTIF(F11:F18,"RAP")*AI10*AG10</f>
        <v>0.76200000000000001</v>
      </c>
      <c r="P10" s="196" t="str">
        <f>R3</f>
        <v>0,72</v>
      </c>
      <c r="Q10" s="16">
        <f t="shared" si="1"/>
        <v>0.54864000000000002</v>
      </c>
      <c r="R10" s="157">
        <f>IF($M$2="SI",Q10*$B$22/0.5*$S$1,Q10*$B$22/0.5*$S$2)</f>
        <v>0.58223020408163273</v>
      </c>
      <c r="S10" s="176">
        <f t="shared" si="2"/>
        <v>0.41776979591836727</v>
      </c>
      <c r="T10" s="177">
        <f>R10*PRODUCT(S5:S9)*PRODUCT(S11:S19)</f>
        <v>0.19043384671285643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0.31498232854649788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06">
        <f t="shared" si="6"/>
        <v>0.127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1.827895288610893E-4</v>
      </c>
      <c r="BL10">
        <f>BH44+1</f>
        <v>6</v>
      </c>
      <c r="BM10">
        <v>6</v>
      </c>
      <c r="BN10" s="107">
        <f>$H$31*H45</f>
        <v>2.3296119119315378E-3</v>
      </c>
      <c r="BP10">
        <f>BP7+1</f>
        <v>4</v>
      </c>
      <c r="BQ10">
        <v>0</v>
      </c>
      <c r="BR10" s="107">
        <f>$H$29*H39</f>
        <v>7.7359046299526881E-3</v>
      </c>
    </row>
    <row r="11" spans="1:70" x14ac:dyDescent="0.25">
      <c r="A11" s="6" t="s">
        <v>6</v>
      </c>
      <c r="B11" s="168">
        <v>15.5</v>
      </c>
      <c r="C11" s="169">
        <v>7</v>
      </c>
      <c r="E11" s="192" t="s">
        <v>19</v>
      </c>
      <c r="F11" s="167" t="s">
        <v>123</v>
      </c>
      <c r="G11" s="167"/>
      <c r="H11" s="10"/>
      <c r="I11" s="10"/>
      <c r="J11" s="166" t="s">
        <v>21</v>
      </c>
      <c r="K11" s="166">
        <v>13</v>
      </c>
      <c r="L11" s="10"/>
      <c r="M11" s="10"/>
      <c r="O11" s="67">
        <f>COUNTIF(F11:F18,"RAP")*AI11*AG11</f>
        <v>0.76200000000000001</v>
      </c>
      <c r="P11" s="196" t="str">
        <f>R3</f>
        <v>0,72</v>
      </c>
      <c r="Q11" s="16">
        <f t="shared" si="1"/>
        <v>0.54864000000000002</v>
      </c>
      <c r="R11" s="157">
        <f t="shared" si="8"/>
        <v>0.58223020408163273</v>
      </c>
      <c r="S11" s="176">
        <f t="shared" si="2"/>
        <v>0.41776979591836727</v>
      </c>
      <c r="T11" s="177">
        <f>R11*PRODUCT(S5:S10)*PRODUCT(S12:S19)</f>
        <v>0.19043384671285646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4.9581769389410973E-2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06">
        <f t="shared" si="6"/>
        <v>0.127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4.1533576490391689E-5</v>
      </c>
      <c r="BL11">
        <f>BH50+1</f>
        <v>7</v>
      </c>
      <c r="BM11">
        <v>7</v>
      </c>
      <c r="BN11" s="107">
        <f>$H$32*H46</f>
        <v>2.1917049122034668E-4</v>
      </c>
      <c r="BP11">
        <f>BP8+1</f>
        <v>4</v>
      </c>
      <c r="BQ11">
        <v>1</v>
      </c>
      <c r="BR11" s="107">
        <f>$H$29*H40</f>
        <v>2.9860634404131718E-2</v>
      </c>
    </row>
    <row r="12" spans="1:70" x14ac:dyDescent="0.25">
      <c r="A12" s="6" t="s">
        <v>7</v>
      </c>
      <c r="B12" s="168">
        <v>7</v>
      </c>
      <c r="C12" s="169">
        <v>13.25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7.0903156118009261E-6</v>
      </c>
      <c r="BL12">
        <f>BH54+1</f>
        <v>8</v>
      </c>
      <c r="BM12">
        <v>8</v>
      </c>
      <c r="BN12" s="107">
        <f>$H$33*H47</f>
        <v>1.1471218571330445E-5</v>
      </c>
      <c r="BP12">
        <f>BP9+1</f>
        <v>4</v>
      </c>
      <c r="BQ12">
        <v>2</v>
      </c>
      <c r="BR12" s="107">
        <f>$H$29*H41</f>
        <v>5.3117481333448208E-2</v>
      </c>
    </row>
    <row r="13" spans="1:70" x14ac:dyDescent="0.25">
      <c r="A13" s="7" t="s">
        <v>8</v>
      </c>
      <c r="B13" s="168">
        <v>8.5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21</v>
      </c>
      <c r="K13" s="166">
        <v>13</v>
      </c>
      <c r="L13" s="10"/>
      <c r="M13" s="10"/>
      <c r="O13" s="67">
        <f>AI13*B22/0.5</f>
        <v>0.26212244897959186</v>
      </c>
      <c r="P13" s="196" t="str">
        <f>P2</f>
        <v>0,4</v>
      </c>
      <c r="Q13" s="16">
        <f t="shared" si="1"/>
        <v>0.10484897959183676</v>
      </c>
      <c r="R13" s="157">
        <f t="shared" si="8"/>
        <v>0.11126830487296963</v>
      </c>
      <c r="S13" s="176">
        <f t="shared" si="2"/>
        <v>0.88873169512703032</v>
      </c>
      <c r="T13" s="177">
        <f>R13*PRODUCT(S5:S12)*PRODUCT(S14:S19)</f>
        <v>1.7107527615270336E-2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2.3123079285017061E-3</v>
      </c>
      <c r="W13" s="186" t="s">
        <v>52</v>
      </c>
      <c r="X13" s="15" t="s">
        <v>53</v>
      </c>
      <c r="Y13" s="69">
        <f>AI13*C22/0.5</f>
        <v>0.23187755102040813</v>
      </c>
      <c r="Z13" s="197" t="str">
        <f>Z2</f>
        <v>0,4</v>
      </c>
      <c r="AA13" s="19">
        <f t="shared" si="3"/>
        <v>9.2751020408163257E-2</v>
      </c>
      <c r="AB13" s="157">
        <f t="shared" si="4"/>
        <v>8.7072386505622643E-2</v>
      </c>
      <c r="AC13" s="176">
        <f t="shared" si="5"/>
        <v>0.91292761349437734</v>
      </c>
      <c r="AD13" s="177">
        <f>AB13*PRODUCT(AC5:AC12)*PRODUCT(AC14:AC19)</f>
        <v>5.7515632237854018E-2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1.6538792154383822E-2</v>
      </c>
      <c r="AG13" s="13"/>
      <c r="AI13" s="206">
        <f>(AM13*$AI$2/2)+SUM($AN$5:$AN$19)</f>
        <v>0.247</v>
      </c>
      <c r="AK13" s="13"/>
      <c r="AM13" s="13">
        <v>0.22</v>
      </c>
      <c r="BH13">
        <v>0</v>
      </c>
      <c r="BI13">
        <v>10</v>
      </c>
      <c r="BJ13" s="107">
        <f t="shared" si="0"/>
        <v>8.8852887106893129E-7</v>
      </c>
      <c r="BL13">
        <f>BH57+1</f>
        <v>9</v>
      </c>
      <c r="BM13">
        <v>9</v>
      </c>
      <c r="BN13" s="107">
        <f>$H$34*H48</f>
        <v>3.2843418960210965E-7</v>
      </c>
      <c r="BP13">
        <f>BL7+1</f>
        <v>4</v>
      </c>
      <c r="BQ13">
        <v>3</v>
      </c>
      <c r="BR13" s="107">
        <f>$H$29*H42</f>
        <v>5.7699129926927703E-2</v>
      </c>
    </row>
    <row r="14" spans="1:70" x14ac:dyDescent="0.25">
      <c r="A14" s="7" t="s">
        <v>9</v>
      </c>
      <c r="B14" s="168">
        <v>7.25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>
        <v>13</v>
      </c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0.14269387755102039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8.5616326530612227E-2</v>
      </c>
      <c r="AB14" s="157">
        <f t="shared" si="4"/>
        <v>8.0374510620574741E-2</v>
      </c>
      <c r="AC14" s="176">
        <f t="shared" si="5"/>
        <v>0.91962548937942523</v>
      </c>
      <c r="AD14" s="177">
        <f>AB14*PRODUCT(AC5:AC13)*PRODUCT(AC15:AC19)</f>
        <v>5.270467445775006E-2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1.0549041694354812E-2</v>
      </c>
      <c r="AG14" s="13"/>
      <c r="AI14" s="206">
        <f>IF(COUNTIF(J6:J18,"CAB")+COUNTIF(F6:F18,"CAB")=0,0,(AM14*$AI$2/2)+SUM($AN$5:$AN$19))</f>
        <v>0.152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1.9619523699797276E-2</v>
      </c>
      <c r="BL14">
        <f>BP39+1</f>
        <v>10</v>
      </c>
      <c r="BM14">
        <v>10</v>
      </c>
      <c r="BN14" s="107">
        <f>$H$35*H49</f>
        <v>4.9001963679628645E-9</v>
      </c>
      <c r="BP14">
        <f>BP10+1</f>
        <v>5</v>
      </c>
      <c r="BQ14">
        <v>0</v>
      </c>
      <c r="BR14" s="107">
        <f>$H$30*H39</f>
        <v>4.6268820751407969E-3</v>
      </c>
    </row>
    <row r="15" spans="1:70" x14ac:dyDescent="0.25">
      <c r="A15" s="189" t="s">
        <v>71</v>
      </c>
      <c r="B15" s="170">
        <v>9</v>
      </c>
      <c r="C15" s="171">
        <v>11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>
        <v>14</v>
      </c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2.1311805805562519E-2</v>
      </c>
      <c r="BP15">
        <f>BP11+1</f>
        <v>5</v>
      </c>
      <c r="BQ15">
        <v>1</v>
      </c>
      <c r="BR15" s="107">
        <f>$H$30*H40</f>
        <v>1.7859790248946569E-2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12.545454545454545</v>
      </c>
      <c r="E16" s="192" t="s">
        <v>22</v>
      </c>
      <c r="F16" s="167" t="s">
        <v>123</v>
      </c>
      <c r="G16" s="167"/>
      <c r="H16" s="10"/>
      <c r="I16" s="10"/>
      <c r="J16" s="166" t="s">
        <v>154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1.5789319876771086E-2</v>
      </c>
      <c r="BP16">
        <f>BP12+1</f>
        <v>5</v>
      </c>
      <c r="BQ16">
        <v>2</v>
      </c>
      <c r="BR16" s="107">
        <f>$H$30*H41</f>
        <v>3.1769823183544141E-2</v>
      </c>
    </row>
    <row r="17" spans="1:70" x14ac:dyDescent="0.25">
      <c r="A17" s="188" t="s">
        <v>10</v>
      </c>
      <c r="B17" s="172" t="s">
        <v>222</v>
      </c>
      <c r="C17" s="173" t="s">
        <v>11</v>
      </c>
      <c r="E17" s="192" t="s">
        <v>22</v>
      </c>
      <c r="F17" s="167" t="s">
        <v>123</v>
      </c>
      <c r="G17" s="167"/>
      <c r="H17" s="10"/>
      <c r="I17" s="10"/>
      <c r="J17" s="166" t="s">
        <v>21</v>
      </c>
      <c r="K17" s="166">
        <v>10</v>
      </c>
      <c r="L17" s="10"/>
      <c r="M17" s="10"/>
      <c r="O17" s="67">
        <f>(AI17*2)*IF(COUNTBLANK(F14:F15)&lt;&gt;0, (2-COUNTBLANK(F14:F15))/2,1)*AG17</f>
        <v>0.187</v>
      </c>
      <c r="P17" s="196" t="str">
        <f>IF(COUNTIF(F14:F18,"CAB")&gt;0,0.95,P3)</f>
        <v>0,6</v>
      </c>
      <c r="Q17" s="16">
        <f t="shared" si="1"/>
        <v>0.11219999999999999</v>
      </c>
      <c r="R17" s="157">
        <f t="shared" si="8"/>
        <v>0.11906938775510205</v>
      </c>
      <c r="S17" s="176">
        <f t="shared" si="2"/>
        <v>0.88093061224489799</v>
      </c>
      <c r="T17" s="177">
        <f>R17*PRODUCT(S5:S16)*PRODUCT(S18:S19)</f>
        <v>1.8469063111001154E-2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0.187</v>
      </c>
      <c r="Z17" s="197">
        <f>IF(COUNTIF(J14:J18,"CAB")&gt;0,0.95,Z3)</f>
        <v>0.95</v>
      </c>
      <c r="AA17" s="19">
        <f t="shared" si="3"/>
        <v>0.17765</v>
      </c>
      <c r="AB17" s="157">
        <f t="shared" si="4"/>
        <v>0.16677346938775509</v>
      </c>
      <c r="AC17" s="176">
        <f t="shared" si="5"/>
        <v>0.83322653061224494</v>
      </c>
      <c r="AD17" s="177">
        <f>AB17*PRODUCT(AC5:AC16)*PRODUCT(AC18:AC19)</f>
        <v>0.1206995545696255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0.187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8.4378413160114685E-3</v>
      </c>
      <c r="BP17">
        <f>BP13+1</f>
        <v>5</v>
      </c>
      <c r="BQ17">
        <v>3</v>
      </c>
      <c r="BR17" s="107">
        <f>$H$30*H42</f>
        <v>3.4510129426421648E-2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123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3.3530023800546586E-3</v>
      </c>
      <c r="BP18">
        <f>BL8+1</f>
        <v>5</v>
      </c>
      <c r="BQ18">
        <v>4</v>
      </c>
      <c r="BR18" s="107">
        <f>$H$30*H43</f>
        <v>2.5567588099940447E-2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1.0058173182465036E-3</v>
      </c>
      <c r="BP19">
        <f>BP15+1</f>
        <v>6</v>
      </c>
      <c r="BQ19">
        <v>1</v>
      </c>
      <c r="BR19" s="107">
        <f>$H$31*H40</f>
        <v>7.6630160082906762E-3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0.13664270372690102</v>
      </c>
      <c r="T20" s="181">
        <f>SUM(T5:T19)</f>
        <v>0.41644428415198442</v>
      </c>
      <c r="U20" s="181">
        <f>SUM(U5:U19)</f>
        <v>0.36687640586441056</v>
      </c>
      <c r="V20" s="181">
        <f>1-S20-T20-U20</f>
        <v>8.0036606256704002E-2</v>
      </c>
      <c r="W20" s="21"/>
      <c r="X20" s="22"/>
      <c r="Y20" s="22"/>
      <c r="Z20" s="22"/>
      <c r="AA20" s="22"/>
      <c r="AB20" s="23"/>
      <c r="AC20" s="184">
        <f>PRODUCT(AC5:AC19)</f>
        <v>0.60303399257505941</v>
      </c>
      <c r="AD20" s="181">
        <f>SUM(AD5:AD19)</f>
        <v>0.32384277776443815</v>
      </c>
      <c r="AE20" s="181">
        <f>SUM(AE5:AE19)</f>
        <v>6.6250491973849163E-2</v>
      </c>
      <c r="AF20" s="181">
        <f>1-AC20-AD20-AE20</f>
        <v>6.8727376866532797E-3</v>
      </c>
      <c r="BH20">
        <v>1</v>
      </c>
      <c r="BI20">
        <v>8</v>
      </c>
      <c r="BJ20" s="107">
        <f t="shared" si="9"/>
        <v>2.2854257999920121E-4</v>
      </c>
      <c r="BP20">
        <f>BP16+1</f>
        <v>6</v>
      </c>
      <c r="BQ20">
        <v>2</v>
      </c>
      <c r="BR20" s="107">
        <f>$H$31*H41</f>
        <v>1.3631328265483E-2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3.9015157370434207E-5</v>
      </c>
      <c r="BP21">
        <f>BP17+1</f>
        <v>6</v>
      </c>
      <c r="BQ21">
        <v>3</v>
      </c>
      <c r="BR21" s="107">
        <f>$H$31*H42</f>
        <v>1.4807098546885257E-2</v>
      </c>
    </row>
    <row r="22" spans="1:70" x14ac:dyDescent="0.25">
      <c r="A22" s="26" t="s">
        <v>77</v>
      </c>
      <c r="B22" s="62">
        <f>(B6)/((B6)+(C6))</f>
        <v>0.53061224489795922</v>
      </c>
      <c r="C22" s="63">
        <f>1-B22</f>
        <v>0.46938775510204078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4.8892172973557497E-6</v>
      </c>
      <c r="BP22">
        <f>BP18+1</f>
        <v>6</v>
      </c>
      <c r="BQ22">
        <v>4</v>
      </c>
      <c r="BR22" s="107">
        <f>$H$31*H43</f>
        <v>1.0970164496460544E-2</v>
      </c>
    </row>
    <row r="23" spans="1:70" ht="15.75" thickBot="1" x14ac:dyDescent="0.3">
      <c r="A23" s="40" t="s">
        <v>67</v>
      </c>
      <c r="B23" s="56">
        <f>((B22^2.8)/((B22^2.8)+(C22^2.8)))*B21</f>
        <v>2.9249431599037723</v>
      </c>
      <c r="C23" s="57">
        <f>B21-B23</f>
        <v>2.0750568400962277</v>
      </c>
      <c r="D23" s="151">
        <f>SUM(D25:D30)</f>
        <v>1</v>
      </c>
      <c r="E23" s="151">
        <f>SUM(E25:E30)</f>
        <v>1</v>
      </c>
      <c r="H23" s="59">
        <f>SUM(H25:H35)</f>
        <v>0.99999293545373236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0.99514026577124959</v>
      </c>
      <c r="Y23" s="80">
        <f>SUM(Y25:Y35)</f>
        <v>1.5080752472700827E-4</v>
      </c>
      <c r="Z23" s="81"/>
      <c r="AA23" s="80">
        <f>SUM(AA25:AA35)</f>
        <v>2.1264992974914299E-3</v>
      </c>
      <c r="AB23" s="81"/>
      <c r="AC23" s="80">
        <f>SUM(AC25:AC35)</f>
        <v>1.3494422825578646E-2</v>
      </c>
      <c r="AD23" s="81"/>
      <c r="AE23" s="80">
        <f>SUM(AE25:AE35)</f>
        <v>5.0751252857651627E-2</v>
      </c>
      <c r="AF23" s="81"/>
      <c r="AG23" s="80">
        <f>SUM(AG25:AG35)</f>
        <v>0.12527830252577998</v>
      </c>
      <c r="AH23" s="81"/>
      <c r="AI23" s="80">
        <f>SUM(AI25:AI35)</f>
        <v>0.21210408044631052</v>
      </c>
      <c r="AJ23" s="81"/>
      <c r="AK23" s="80">
        <f>SUM(AK25:AK35)</f>
        <v>0.24947145276645508</v>
      </c>
      <c r="AL23" s="81"/>
      <c r="AM23" s="80">
        <f>SUM(AM25:AM35)</f>
        <v>0.2013340962928617</v>
      </c>
      <c r="AN23" s="81"/>
      <c r="AO23" s="80">
        <f>SUM(AO25:AO35)</f>
        <v>0.10676875637570958</v>
      </c>
      <c r="AP23" s="81"/>
      <c r="AQ23" s="80">
        <f>SUM(AQ25:AQ35)</f>
        <v>3.3660594858684029E-2</v>
      </c>
      <c r="AR23" s="81"/>
      <c r="AS23" s="80">
        <f>SUM(AS25:AS35)</f>
        <v>4.8597342287504119E-3</v>
      </c>
      <c r="BH23">
        <f t="shared" ref="BH23:BH30" si="10">BH15+1</f>
        <v>2</v>
      </c>
      <c r="BI23">
        <v>3</v>
      </c>
      <c r="BJ23" s="107">
        <f t="shared" ref="BJ23:BJ30" si="11">$H$27*H42</f>
        <v>4.9881357470321637E-2</v>
      </c>
      <c r="BP23">
        <f>BL9+1</f>
        <v>6</v>
      </c>
      <c r="BQ23">
        <v>5</v>
      </c>
      <c r="BR23" s="107">
        <f>$H$31*H44</f>
        <v>5.8624758985252982E-3</v>
      </c>
    </row>
    <row r="24" spans="1:70" ht="15.75" thickBot="1" x14ac:dyDescent="0.3">
      <c r="A24" s="26" t="s">
        <v>76</v>
      </c>
      <c r="B24" s="64">
        <f>B23/B21</f>
        <v>0.58498863198075446</v>
      </c>
      <c r="C24" s="65">
        <f>C23/B21</f>
        <v>0.41501136801924554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3.6955700336801421E-2</v>
      </c>
      <c r="BP24">
        <f>BH49+1</f>
        <v>7</v>
      </c>
      <c r="BQ24">
        <v>0</v>
      </c>
      <c r="BR24" s="107">
        <f t="shared" ref="BR24:BR30" si="12">$H$32*H39</f>
        <v>6.226228640724157E-4</v>
      </c>
    </row>
    <row r="25" spans="1:70" x14ac:dyDescent="0.25">
      <c r="A25" s="26" t="s">
        <v>69</v>
      </c>
      <c r="B25" s="117">
        <f>1/(1+EXP(-3.1416*4*((B11/(B11+C8))-(3.1416/6))))</f>
        <v>0.41415070776819607</v>
      </c>
      <c r="C25" s="118">
        <f>1/(1+EXP(-3.1416*4*((C11/(C11+B8))-(3.1416/6))))</f>
        <v>0.25313395312399234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1.5206799062970931E-2</v>
      </c>
      <c r="I25" s="97">
        <v>0</v>
      </c>
      <c r="J25" s="98">
        <f t="shared" ref="J25:J35" si="13">Y25+AA25+AC25+AE25+AG25+AI25+AK25+AM25+AO25+AQ25+AS25</f>
        <v>0.11128877465249649</v>
      </c>
      <c r="K25" s="97">
        <v>0</v>
      </c>
      <c r="L25" s="98">
        <f>S20</f>
        <v>0.13664270372690102</v>
      </c>
      <c r="M25" s="84">
        <v>0</v>
      </c>
      <c r="N25" s="71">
        <f>(1-$B$24)^$B$21</f>
        <v>1.2311188061451681E-2</v>
      </c>
      <c r="O25" s="70">
        <v>0</v>
      </c>
      <c r="P25" s="71">
        <f>N25</f>
        <v>1.2311188061451681E-2</v>
      </c>
      <c r="Q25" s="12">
        <v>0</v>
      </c>
      <c r="R25" s="73">
        <f>P25*N25</f>
        <v>1.5156535148443042E-4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1.5080752472700827E-4</v>
      </c>
      <c r="W25" s="136">
        <f>B31</f>
        <v>0.33675006482933201</v>
      </c>
      <c r="X25" s="12">
        <v>0</v>
      </c>
      <c r="Y25" s="79">
        <f>V25</f>
        <v>1.5080752472700827E-4</v>
      </c>
      <c r="Z25" s="12">
        <v>0</v>
      </c>
      <c r="AA25" s="78">
        <f>((1-W25)^Z26)*V26</f>
        <v>1.4104005212016619E-3</v>
      </c>
      <c r="AB25" s="12">
        <v>0</v>
      </c>
      <c r="AC25" s="79">
        <f>(((1-$W$25)^AB27))*V27</f>
        <v>5.9362030311170882E-3</v>
      </c>
      <c r="AD25" s="12">
        <v>0</v>
      </c>
      <c r="AE25" s="79">
        <f>(((1-$W$25)^AB28))*V28</f>
        <v>1.4807386636742706E-2</v>
      </c>
      <c r="AF25" s="12">
        <v>0</v>
      </c>
      <c r="AG25" s="79">
        <f>(((1-$W$25)^AB29))*V29</f>
        <v>2.4242908651368338E-2</v>
      </c>
      <c r="AH25" s="12">
        <v>0</v>
      </c>
      <c r="AI25" s="79">
        <f>(((1-$W$25)^AB30))*V30</f>
        <v>2.7222944925859721E-2</v>
      </c>
      <c r="AJ25" s="12">
        <v>0</v>
      </c>
      <c r="AK25" s="79">
        <f>(((1-$W$25)^AB31))*V31</f>
        <v>2.123655923403861E-2</v>
      </c>
      <c r="AL25" s="12">
        <v>0</v>
      </c>
      <c r="AM25" s="79">
        <f>(((1-$W$25)^AB32))*V32</f>
        <v>1.1367313644005056E-2</v>
      </c>
      <c r="AN25" s="12">
        <v>0</v>
      </c>
      <c r="AO25" s="79">
        <f>(((1-$W$25)^AB33))*V33</f>
        <v>3.9981760545119878E-3</v>
      </c>
      <c r="AP25" s="12">
        <v>0</v>
      </c>
      <c r="AQ25" s="79">
        <f>(((1-$W$25)^AB34))*V34</f>
        <v>8.3602012584723794E-4</v>
      </c>
      <c r="AR25" s="12">
        <v>0</v>
      </c>
      <c r="AS25" s="79">
        <f>(((1-$W$25)^AB35))*V35</f>
        <v>8.0054303077072529E-5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1.9749193606670441E-2</v>
      </c>
      <c r="BP25">
        <f>BP19+1</f>
        <v>7</v>
      </c>
      <c r="BQ25">
        <v>1</v>
      </c>
      <c r="BR25" s="107">
        <f t="shared" si="12"/>
        <v>2.4033276785411341E-3</v>
      </c>
    </row>
    <row r="26" spans="1:70" x14ac:dyDescent="0.25">
      <c r="A26" s="40" t="s">
        <v>24</v>
      </c>
      <c r="B26" s="119">
        <f>1/(1+EXP(-3.1416*4*((B10/(B10+C9))-(3.1416/6))))</f>
        <v>0.26316029475130442</v>
      </c>
      <c r="C26" s="120">
        <f>1/(1+EXP(-3.1416*4*((C10/(C10+B9))-(3.1416/6))))</f>
        <v>0.85788493795897802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8.3676903966717273E-2</v>
      </c>
      <c r="I26" s="93">
        <v>1</v>
      </c>
      <c r="J26" s="86">
        <f t="shared" si="13"/>
        <v>0.27320397543522401</v>
      </c>
      <c r="K26" s="93">
        <v>1</v>
      </c>
      <c r="L26" s="86">
        <f>T20</f>
        <v>0.41644428415198442</v>
      </c>
      <c r="M26" s="85">
        <v>1</v>
      </c>
      <c r="N26" s="71">
        <f>(($B$24)^M26)*((1-($B$24))^($B$21-M26))*HLOOKUP($B$21,$AV$24:$BF$34,M26+1)</f>
        <v>8.6767563699513384E-2</v>
      </c>
      <c r="O26" s="72">
        <v>1</v>
      </c>
      <c r="P26" s="71">
        <f t="shared" ref="P26:P30" si="14">N26</f>
        <v>8.6767563699513384E-2</v>
      </c>
      <c r="Q26" s="28">
        <v>1</v>
      </c>
      <c r="R26" s="37">
        <f>N26*P25+P26*N25</f>
        <v>2.1364235886773947E-3</v>
      </c>
      <c r="S26" s="72">
        <v>1</v>
      </c>
      <c r="T26" s="135">
        <f t="shared" ref="T26:T35" si="15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2.1264992974914299E-3</v>
      </c>
      <c r="W26" s="137"/>
      <c r="X26" s="28">
        <v>1</v>
      </c>
      <c r="Y26" s="73"/>
      <c r="Z26" s="28">
        <v>1</v>
      </c>
      <c r="AA26" s="79">
        <f>(1-((1-W25)^Z26))*V26</f>
        <v>7.1609877628976801E-4</v>
      </c>
      <c r="AB26" s="28">
        <v>1</v>
      </c>
      <c r="AC26" s="79">
        <f>((($W$25)^M26)*((1-($W$25))^($U$27-M26))*HLOOKUP($U$27,$AV$24:$BF$34,M26+1))*V27</f>
        <v>6.0279440662270641E-3</v>
      </c>
      <c r="AD26" s="28">
        <v>1</v>
      </c>
      <c r="AE26" s="79">
        <f>((($W$25)^M26)*((1-($W$25))^($U$28-M26))*HLOOKUP($U$28,$AV$24:$BF$34,M26+1))*V28</f>
        <v>2.2554341035523763E-2</v>
      </c>
      <c r="AF26" s="28">
        <v>1</v>
      </c>
      <c r="AG26" s="79">
        <f>((($W$25)^M26)*((1-($W$25))^($U$29-M26))*HLOOKUP($U$29,$AV$24:$BF$34,M26+1))*V29</f>
        <v>4.9235141246710537E-2</v>
      </c>
      <c r="AH26" s="28">
        <v>1</v>
      </c>
      <c r="AI26" s="79">
        <f>((($W$25)^M26)*((1-($W$25))^($U$30-M26))*HLOOKUP($U$30,$AV$24:$BF$34,M26+1))*V30</f>
        <v>6.9109154652760366E-2</v>
      </c>
      <c r="AJ26" s="28">
        <v>1</v>
      </c>
      <c r="AK26" s="79">
        <f>((($W$25)^M26)*((1-($W$25))^($U$31-M26))*HLOOKUP($U$31,$AV$24:$BF$34,M26+1))*V31</f>
        <v>6.4694278759100762E-2</v>
      </c>
      <c r="AL26" s="28">
        <v>1</v>
      </c>
      <c r="AM26" s="79">
        <f>((($W$25)^Q26)*((1-($W$25))^($U$32-Q26))*HLOOKUP($U$32,$AV$24:$BF$34,Q26+1))*V32</f>
        <v>4.0400464176424393E-2</v>
      </c>
      <c r="AN26" s="28">
        <v>1</v>
      </c>
      <c r="AO26" s="79">
        <f>((($W$25)^Q26)*((1-($W$25))^($U$33-Q26))*HLOOKUP($U$33,$AV$24:$BF$34,Q26+1))*V33</f>
        <v>1.6239863425959226E-2</v>
      </c>
      <c r="AP26" s="28">
        <v>1</v>
      </c>
      <c r="AQ26" s="79">
        <f>((($W$25)^Q26)*((1-($W$25))^($U$34-Q26))*HLOOKUP($U$34,$AV$24:$BF$34,Q26+1))*V34</f>
        <v>3.8202317856950289E-3</v>
      </c>
      <c r="AR26" s="28">
        <v>1</v>
      </c>
      <c r="AS26" s="79">
        <f>((($W$25)^Q26)*((1-($W$25))^($U$35-Q26))*HLOOKUP($U$35,$AV$24:$BF$34,Q26+1))*V35</f>
        <v>4.0645751053310309E-4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7.8478713556357459E-3</v>
      </c>
      <c r="BP26">
        <f>BP20+1</f>
        <v>7</v>
      </c>
      <c r="BQ26">
        <v>2</v>
      </c>
      <c r="BR26" s="107">
        <f t="shared" si="12"/>
        <v>4.2751507344199087E-3</v>
      </c>
    </row>
    <row r="27" spans="1:70" x14ac:dyDescent="0.25">
      <c r="A27" s="26" t="s">
        <v>25</v>
      </c>
      <c r="B27" s="119">
        <f>1/(1+EXP(-3.1416*4*((B12/(B12+C7))-(3.1416/6))))</f>
        <v>7.3412897429614599E-2</v>
      </c>
      <c r="C27" s="120">
        <f>1/(1+EXP(-3.1416*4*((C12/(C12+B7))-(3.1416/6))))</f>
        <v>0.72881782180711829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0.19585001838202654</v>
      </c>
      <c r="I27" s="93">
        <v>2</v>
      </c>
      <c r="J27" s="86">
        <f t="shared" si="13"/>
        <v>0.30185701557327899</v>
      </c>
      <c r="K27" s="93">
        <v>2</v>
      </c>
      <c r="L27" s="86">
        <f>U20</f>
        <v>0.36687640586441056</v>
      </c>
      <c r="M27" s="85">
        <v>2</v>
      </c>
      <c r="N27" s="71">
        <f>(($B$24)^M27)*((1-($B$24))^($B$21-M27))*HLOOKUP($B$21,$AV$24:$BF$34,M27+1)</f>
        <v>0.24461035190981792</v>
      </c>
      <c r="O27" s="72">
        <v>2</v>
      </c>
      <c r="P27" s="71">
        <f t="shared" si="14"/>
        <v>0.24461035190981792</v>
      </c>
      <c r="Q27" s="28">
        <v>2</v>
      </c>
      <c r="R27" s="37">
        <f>P25*N27+P26*N26+P27*N25</f>
        <v>1.3551498198628402E-2</v>
      </c>
      <c r="S27" s="72">
        <v>2</v>
      </c>
      <c r="T27" s="135">
        <f t="shared" si="15"/>
        <v>0</v>
      </c>
      <c r="U27" s="93">
        <v>2</v>
      </c>
      <c r="V27" s="86">
        <f>R27*T25+T26*R26+R25*T27</f>
        <v>1.3494422825578648E-2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1.5302757282344951E-3</v>
      </c>
      <c r="AD27" s="28">
        <v>2</v>
      </c>
      <c r="AE27" s="79">
        <f>((($W$25)^M27)*((1-($W$25))^($U$28-M27))*HLOOKUP($U$28,$AV$24:$BF$34,M27+1))*V28</f>
        <v>1.1451453521727212E-2</v>
      </c>
      <c r="AF27" s="28">
        <v>2</v>
      </c>
      <c r="AG27" s="79">
        <f>((($W$25)^M27)*((1-($W$25))^($U$29-M27))*HLOOKUP($U$29,$AV$24:$BF$34,M27+1))*V29</f>
        <v>3.749703421179694E-2</v>
      </c>
      <c r="AH27" s="28">
        <v>2</v>
      </c>
      <c r="AI27" s="79">
        <f>((($W$25)^M27)*((1-($W$25))^($U$30-M27))*HLOOKUP($U$30,$AV$24:$BF$34,M27+1))*V30</f>
        <v>7.0177201912967793E-2</v>
      </c>
      <c r="AJ27" s="28">
        <v>2</v>
      </c>
      <c r="AK27" s="79">
        <f>((($W$25)^M27)*((1-($W$25))^($U$31-M27))*HLOOKUP($U$31,$AV$24:$BF$34,M27+1))*V31</f>
        <v>8.2117620413366954E-2</v>
      </c>
      <c r="AL27" s="28">
        <v>2</v>
      </c>
      <c r="AM27" s="79">
        <f>((($W$25)^Q27)*((1-($W$25))^($U$32-Q27))*HLOOKUP($U$32,$AV$24:$BF$34,Q27+1))*V32</f>
        <v>6.1537249575660535E-2</v>
      </c>
      <c r="AN27" s="28">
        <v>2</v>
      </c>
      <c r="AO27" s="79">
        <f>((($W$25)^Q27)*((1-($W$25))^($U$33-Q27))*HLOOKUP($U$33,$AV$24:$BF$34,Q27+1))*V33</f>
        <v>2.8858974121669739E-2</v>
      </c>
      <c r="AP27" s="28">
        <v>2</v>
      </c>
      <c r="AQ27" s="79">
        <f>((($W$25)^Q27)*((1-($W$25))^($U$34-Q27))*HLOOKUP($U$34,$AV$24:$BF$34,Q27+1))*V34</f>
        <v>7.7585430968181981E-3</v>
      </c>
      <c r="AR27" s="28">
        <v>2</v>
      </c>
      <c r="AS27" s="79">
        <f>((($W$25)^Q27)*((1-($W$25))^($U$35-Q27))*HLOOKUP($U$35,$AV$24:$BF$34,Q27+1))*V35</f>
        <v>9.2866299103710873E-4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2.3541662146808326E-3</v>
      </c>
      <c r="BP27">
        <f>BP21+1</f>
        <v>7</v>
      </c>
      <c r="BQ27">
        <v>3</v>
      </c>
      <c r="BR27" s="107">
        <f t="shared" si="12"/>
        <v>4.6439038804192024E-3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0.26185738301237782</v>
      </c>
      <c r="I28" s="93">
        <v>3</v>
      </c>
      <c r="J28" s="86">
        <f t="shared" si="13"/>
        <v>0.19767967916163892</v>
      </c>
      <c r="K28" s="93">
        <v>3</v>
      </c>
      <c r="L28" s="86">
        <f>V20</f>
        <v>8.0036606256704002E-2</v>
      </c>
      <c r="M28" s="85">
        <v>3</v>
      </c>
      <c r="N28" s="71">
        <f>(($B$24)^M28)*((1-($B$24))^($B$21-M28))*HLOOKUP($B$21,$AV$24:$BF$34,M28+1)</f>
        <v>0.34479603731100572</v>
      </c>
      <c r="O28" s="72">
        <v>3</v>
      </c>
      <c r="P28" s="71">
        <f t="shared" si="14"/>
        <v>0.34479603731100572</v>
      </c>
      <c r="Q28" s="28">
        <v>3</v>
      </c>
      <c r="R28" s="37">
        <f>P25*N28+P26*N27+P27*N26+P28*N25</f>
        <v>5.0938186298149231E-2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5.0751252857651627E-2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1.9380716636579445E-3</v>
      </c>
      <c r="AF28" s="28">
        <v>3</v>
      </c>
      <c r="AG28" s="79">
        <f>((($W$25)^M28)*((1-($W$25))^($U$29-M28))*HLOOKUP($U$29,$AV$24:$BF$34,M28+1))*V29</f>
        <v>1.2692177344860781E-2</v>
      </c>
      <c r="AH28" s="28">
        <v>3</v>
      </c>
      <c r="AI28" s="79">
        <f>((($W$25)^M28)*((1-($W$25))^($U$30-M28))*HLOOKUP($U$30,$AV$24:$BF$34,M28+1))*V30</f>
        <v>3.5630877653462539E-2</v>
      </c>
      <c r="AJ28" s="28">
        <v>3</v>
      </c>
      <c r="AK28" s="79">
        <f>((($W$25)^M28)*((1-($W$25))^($U$31-M28))*HLOOKUP($U$31,$AV$24:$BF$34,M28+1))*V31</f>
        <v>5.5591137983734752E-2</v>
      </c>
      <c r="AL28" s="28">
        <v>3</v>
      </c>
      <c r="AM28" s="79">
        <f>((($W$25)^Q28)*((1-($W$25))^($U$32-Q28))*HLOOKUP($U$32,$AV$24:$BF$34,Q28+1))*V32</f>
        <v>5.2073564039600687E-2</v>
      </c>
      <c r="AN28" s="28">
        <v>3</v>
      </c>
      <c r="AO28" s="79">
        <f>((($W$25)^Q28)*((1-($W$25))^($U$33-Q28))*HLOOKUP($U$33,$AV$24:$BF$34,Q28+1))*V33</f>
        <v>2.9304975066087532E-2</v>
      </c>
      <c r="AP28" s="28">
        <v>3</v>
      </c>
      <c r="AQ28" s="79">
        <f>((($W$25)^Q28)*((1-($W$25))^($U$34-Q28))*HLOOKUP($U$34,$AV$24:$BF$34,Q28+1))*V34</f>
        <v>9.1915220623111291E-3</v>
      </c>
      <c r="AR28" s="28">
        <v>3</v>
      </c>
      <c r="AS28" s="79">
        <f>((($W$25)^Q28)*((1-($W$25))^($U$35-Q28))*HLOOKUP($U$35,$AV$24:$BF$34,Q28+1))*V35</f>
        <v>1.2573533479235659E-3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5.3491544705959449E-4</v>
      </c>
      <c r="BP28">
        <f>BP22+1</f>
        <v>7</v>
      </c>
      <c r="BQ28">
        <v>4</v>
      </c>
      <c r="BR28" s="107">
        <f t="shared" si="12"/>
        <v>3.4405382872707683E-3</v>
      </c>
    </row>
    <row r="29" spans="1:70" x14ac:dyDescent="0.25">
      <c r="A29" s="26" t="s">
        <v>27</v>
      </c>
      <c r="B29" s="123">
        <f>1/(1+EXP(-3.1416*4*((B14/(B14+C13))-(3.1416/6))))</f>
        <v>0.12273465459919035</v>
      </c>
      <c r="C29" s="118">
        <f>1/(1+EXP(-3.1416*4*((C14/(C14+B13))-(3.1416/6))))</f>
        <v>0.60774254752805823</v>
      </c>
      <c r="D29" s="153">
        <v>0.04</v>
      </c>
      <c r="E29" s="153">
        <v>0.04</v>
      </c>
      <c r="G29" s="87">
        <v>4</v>
      </c>
      <c r="H29" s="128">
        <f>J29*L25+J28*L26+J27*L27+J26*L28</f>
        <v>0.2265450707418942</v>
      </c>
      <c r="I29" s="93">
        <v>4</v>
      </c>
      <c r="J29" s="86">
        <f t="shared" si="13"/>
        <v>8.4980478116726585E-2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0.24300751463945056</v>
      </c>
      <c r="O29" s="72">
        <v>4</v>
      </c>
      <c r="P29" s="71">
        <f t="shared" si="14"/>
        <v>0.24300751463945056</v>
      </c>
      <c r="Q29" s="28">
        <v>4</v>
      </c>
      <c r="R29" s="37">
        <f>P25*N29+P26*N28+P27*N27+P28*N26+P29*N25</f>
        <v>0.12565187094903441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0.12527830252577998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1.6110410710433894E-3</v>
      </c>
      <c r="AH29" s="28">
        <v>4</v>
      </c>
      <c r="AI29" s="79">
        <f>((($W$25)^M29)*((1-($W$25))^($U$30-M29))*HLOOKUP($U$30,$AV$24:$BF$34,M29+1))*V30</f>
        <v>9.0453837410794415E-3</v>
      </c>
      <c r="AJ29" s="28">
        <v>4</v>
      </c>
      <c r="AK29" s="79">
        <f>((($W$25)^M29)*((1-($W$25))^($U$31-M29))*HLOOKUP($U$31,$AV$24:$BF$34,M29+1))*V31</f>
        <v>2.1168851658246179E-2</v>
      </c>
      <c r="AL29" s="28">
        <v>4</v>
      </c>
      <c r="AM29" s="79">
        <f>((($W$25)^Q29)*((1-($W$25))^($U$32-Q29))*HLOOKUP($U$32,$AV$24:$BF$34,Q29+1))*V32</f>
        <v>2.6439167403337294E-2</v>
      </c>
      <c r="AN29" s="28">
        <v>4</v>
      </c>
      <c r="AO29" s="79">
        <f>((($W$25)^Q29)*((1-($W$25))^($U$33-Q29))*HLOOKUP($U$33,$AV$24:$BF$34,Q29+1))*V33</f>
        <v>1.8598667956875817E-2</v>
      </c>
      <c r="AP29" s="28">
        <v>4</v>
      </c>
      <c r="AQ29" s="79">
        <f>((($W$25)^Q29)*((1-($W$25))^($U$34-Q29))*HLOOKUP($U$34,$AV$24:$BF$34,Q29+1))*V34</f>
        <v>7.0001793130225563E-3</v>
      </c>
      <c r="AR29" s="28">
        <v>4</v>
      </c>
      <c r="AS29" s="79">
        <f>((($W$25)^Q29)*((1-($W$25))^($U$35-Q29))*HLOOKUP($U$35,$AV$24:$BF$34,Q29+1))*V35</f>
        <v>1.1171869731219036E-3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9.1316945608031525E-5</v>
      </c>
      <c r="BP29">
        <f>BP23+1</f>
        <v>7</v>
      </c>
      <c r="BQ29">
        <v>5</v>
      </c>
      <c r="BR29" s="107">
        <f t="shared" si="12"/>
        <v>1.8386299306255747E-3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0.13549770546144707</v>
      </c>
      <c r="I30" s="93">
        <v>5</v>
      </c>
      <c r="J30" s="86">
        <f t="shared" si="13"/>
        <v>2.5061343835551718E-2</v>
      </c>
      <c r="K30" s="93">
        <v>5</v>
      </c>
      <c r="L30" s="86"/>
      <c r="M30" s="85">
        <v>5</v>
      </c>
      <c r="N30" s="71">
        <f>(($B$24)^M30)*((1-($B$24))^($B$21-M30))*HLOOKUP($B$21,$AV$24:$BF$34,M30+1)</f>
        <v>6.8507344378760743E-2</v>
      </c>
      <c r="O30" s="72">
        <v>5</v>
      </c>
      <c r="P30" s="71">
        <f t="shared" si="14"/>
        <v>6.8507344378760743E-2</v>
      </c>
      <c r="Q30" s="28">
        <v>5</v>
      </c>
      <c r="R30" s="37">
        <f>P25*N30+P26*N29+P27*N28+P28*N27+P29*N26+P30*N25</f>
        <v>0.21253851365986468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0.21210408044631052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9.1851756018065174E-4</v>
      </c>
      <c r="AJ30" s="28">
        <v>5</v>
      </c>
      <c r="AK30" s="79">
        <f>((($W$25)^M30)*((1-($W$25))^($U$31-M30))*HLOOKUP($U$31,$AV$24:$BF$34,M30+1))*V31</f>
        <v>4.2992011248022639E-3</v>
      </c>
      <c r="AL30" s="28">
        <v>5</v>
      </c>
      <c r="AM30" s="79">
        <f>((($W$25)^Q30)*((1-($W$25))^($U$32-Q30))*HLOOKUP($U$32,$AV$24:$BF$34,Q30+1))*V32</f>
        <v>8.054331435237639E-3</v>
      </c>
      <c r="AN30" s="28">
        <v>5</v>
      </c>
      <c r="AO30" s="79">
        <f>((($W$25)^Q30)*((1-($W$25))^($U$33-Q30))*HLOOKUP($U$33,$AV$24:$BF$34,Q30+1))*V33</f>
        <v>7.5544404099857458E-3</v>
      </c>
      <c r="AP30" s="28">
        <v>5</v>
      </c>
      <c r="AQ30" s="79">
        <f>((($W$25)^Q30)*((1-($W$25))^($U$34-Q30))*HLOOKUP($U$34,$AV$24:$BF$34,Q30+1))*V34</f>
        <v>3.5541817834791188E-3</v>
      </c>
      <c r="AR30" s="28">
        <v>5</v>
      </c>
      <c r="AS30" s="79">
        <f>((($W$25)^Q30)*((1-($W$25))^($U$35-Q30))*HLOOKUP($U$35,$AV$24:$BF$34,Q30+1))*V35</f>
        <v>6.8067152186630005E-4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1.1443459929417502E-5</v>
      </c>
      <c r="BP30">
        <f>BL10+1</f>
        <v>7</v>
      </c>
      <c r="BQ30">
        <v>6</v>
      </c>
      <c r="BR30" s="107">
        <f t="shared" si="12"/>
        <v>7.306288779961816E-4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0.33675006482933201</v>
      </c>
      <c r="C31" s="61">
        <f>(C25*E25)+(C26*E26)+(C27*E27)+(C28*E28)+(C29*E29)+(C30*E30)/(C25+C26+C27+C28+C29+C30)</f>
        <v>0.59976342109072822</v>
      </c>
      <c r="G31" s="87">
        <v>6</v>
      </c>
      <c r="H31" s="128">
        <f>J31*L25+J30*L26+J29*L27+J28*L28</f>
        <v>5.8137361725116993E-2</v>
      </c>
      <c r="I31" s="93">
        <v>6</v>
      </c>
      <c r="J31" s="86">
        <f t="shared" si="13"/>
        <v>5.1357685875491263E-3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0.24965704542528216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0.24947145276645508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3.6380359316556435E-4</v>
      </c>
      <c r="AL31" s="28">
        <v>6</v>
      </c>
      <c r="AM31" s="79">
        <f>((($W$25)^Q31)*((1-($W$25))^($U$32-Q31))*HLOOKUP($U$32,$AV$24:$BF$34,Q31+1))*V32</f>
        <v>1.3631345134245518E-3</v>
      </c>
      <c r="AN31" s="28">
        <v>6</v>
      </c>
      <c r="AO31" s="79">
        <f>((($W$25)^Q31)*((1-($W$25))^($U$33-Q31))*HLOOKUP($U$33,$AV$24:$BF$34,Q31+1))*V33</f>
        <v>1.917797622669509E-3</v>
      </c>
      <c r="AP31" s="28">
        <v>6</v>
      </c>
      <c r="AQ31" s="79">
        <f>((($W$25)^Q31)*((1-($W$25))^($U$34-Q31))*HLOOKUP($U$34,$AV$24:$BF$34,Q31+1))*V34</f>
        <v>1.2030366256966106E-3</v>
      </c>
      <c r="AR31" s="28">
        <v>6</v>
      </c>
      <c r="AS31" s="79">
        <f>((($W$25)^Q31)*((1-($W$25))^($U$35-Q31))*HLOOKUP($U$35,$AV$24:$BF$34,Q31+1))*V35</f>
        <v>2.8799623259288945E-4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4.9410886235957359E-2</v>
      </c>
      <c r="BP31">
        <f t="shared" ref="BP31:BP37" si="19">BP24+1</f>
        <v>8</v>
      </c>
      <c r="BQ31">
        <v>0</v>
      </c>
      <c r="BR31" s="107">
        <f t="shared" ref="BR31:BR38" si="20">$H$33*H39</f>
        <v>1.434182840448184E-4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1.8233438432095673E-2</v>
      </c>
      <c r="I32" s="93">
        <v>7</v>
      </c>
      <c r="J32" s="86">
        <f t="shared" si="13"/>
        <v>7.2241061788784965E-4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0.20109126740274902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0.2013340962928617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9.8871505171554188E-5</v>
      </c>
      <c r="AN32" s="28">
        <v>7</v>
      </c>
      <c r="AO32" s="79">
        <f>((($W$25)^Q32)*((1-($W$25))^($U$33-Q32))*HLOOKUP($U$33,$AV$24:$BF$34,Q32+1))*V33</f>
        <v>2.7820517447159154E-4</v>
      </c>
      <c r="AP32" s="28">
        <v>7</v>
      </c>
      <c r="AQ32" s="79">
        <f>((($W$25)^Q32)*((1-($W$25))^($U$34-Q32))*HLOOKUP($U$34,$AV$24:$BF$34,Q32+1))*V34</f>
        <v>2.6177763262770276E-4</v>
      </c>
      <c r="AR32" s="28">
        <v>7</v>
      </c>
      <c r="AS32" s="79">
        <f>((($W$25)^Q32)*((1-($W$25))^($U$35-Q32))*HLOOKUP($U$35,$AV$24:$BF$34,Q32+1))*V35</f>
        <v>8.3556305617001118E-5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2.6405267649043523E-2</v>
      </c>
      <c r="BP32">
        <f t="shared" si="19"/>
        <v>8</v>
      </c>
      <c r="BQ32">
        <v>1</v>
      </c>
      <c r="BR32" s="107">
        <f t="shared" si="20"/>
        <v>5.5359536493619253E-4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4.1999878306169308E-3</v>
      </c>
      <c r="I33" s="93">
        <v>8</v>
      </c>
      <c r="J33" s="86">
        <f t="shared" si="13"/>
        <v>6.6793382717168635E-5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0.10629477390823699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0.10676875637570957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1.7656543478413005E-5</v>
      </c>
      <c r="AP33" s="28">
        <v>8</v>
      </c>
      <c r="AQ33" s="79">
        <f>((($W$25)^Q33)*((1-($W$25))^($U$34-Q33))*HLOOKUP($U$34,$AV$24:$BF$34,Q33+1))*V34</f>
        <v>3.3227909300723936E-5</v>
      </c>
      <c r="AR33" s="28">
        <v>8</v>
      </c>
      <c r="AS33" s="79">
        <f>((($W$25)^Q33)*((1-($W$25))^($U$35-Q33))*HLOOKUP($U$35,$AV$24:$BF$34,Q33+1))*V35</f>
        <v>1.5908929938031701E-5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1.0492840758360485E-2</v>
      </c>
      <c r="BP33">
        <f t="shared" si="19"/>
        <v>8</v>
      </c>
      <c r="BQ33">
        <v>2</v>
      </c>
      <c r="BR33" s="107">
        <f t="shared" si="20"/>
        <v>9.8476110940271585E-4</v>
      </c>
    </row>
    <row r="34" spans="1:70" x14ac:dyDescent="0.25">
      <c r="A34" s="40" t="s">
        <v>86</v>
      </c>
      <c r="B34" s="56">
        <f>B23*2</f>
        <v>5.8498863198075446</v>
      </c>
      <c r="C34" s="57">
        <f>C23*2</f>
        <v>4.1501136801924554</v>
      </c>
      <c r="G34" s="87">
        <v>9</v>
      </c>
      <c r="H34" s="128">
        <f>J34*L25+J33*L26+J32*L27+J31*L28</f>
        <v>7.044020323124095E-4</v>
      </c>
      <c r="I34" s="93">
        <v>9</v>
      </c>
      <c r="J34" s="86">
        <f t="shared" si="13"/>
        <v>3.6695010475652084E-6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3.3295598984063167E-2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3.3660594858684036E-2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1.8745238857275424E-6</v>
      </c>
      <c r="AR34" s="28">
        <v>9</v>
      </c>
      <c r="AS34" s="79">
        <f>((($W$25)^Q34)*((1-($W$25))^($U$35-Q34))*HLOOKUP($U$35,$AV$24:$BF$34,Q34+1))*V35</f>
        <v>1.7949771618376661E-6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3.1475912499023362E-3</v>
      </c>
      <c r="BP34">
        <f t="shared" si="19"/>
        <v>8</v>
      </c>
      <c r="BQ34">
        <v>3</v>
      </c>
      <c r="BR34" s="107">
        <f t="shared" si="20"/>
        <v>1.0697016833633858E-3</v>
      </c>
    </row>
    <row r="35" spans="1:70" ht="15.75" thickBot="1" x14ac:dyDescent="0.3">
      <c r="G35" s="88">
        <v>10</v>
      </c>
      <c r="H35" s="129">
        <f>J35*L25+J34*L26+J33*L27+J32*L28</f>
        <v>8.386480615656927E-5</v>
      </c>
      <c r="I35" s="94">
        <v>10</v>
      </c>
      <c r="J35" s="89">
        <f t="shared" si="13"/>
        <v>9.1135881598007942E-8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4.6932562338301209E-3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4.8597342287504119E-3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9.1135881598007942E-8</v>
      </c>
      <c r="BH35">
        <f t="shared" si="17"/>
        <v>3</v>
      </c>
      <c r="BI35">
        <v>8</v>
      </c>
      <c r="BJ35" s="107">
        <f t="shared" si="18"/>
        <v>7.151980901359779E-4</v>
      </c>
      <c r="BP35">
        <f t="shared" si="19"/>
        <v>8</v>
      </c>
      <c r="BQ35">
        <v>4</v>
      </c>
      <c r="BR35" s="107">
        <f t="shared" si="20"/>
        <v>7.9251200979583969E-4</v>
      </c>
    </row>
    <row r="36" spans="1:70" x14ac:dyDescent="0.25">
      <c r="A36" s="1"/>
      <c r="B36" s="108">
        <f>SUM(B37:B39)</f>
        <v>0.99990366229215777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7"/>
        <v>3</v>
      </c>
      <c r="BI36">
        <v>9</v>
      </c>
      <c r="BJ36" s="107">
        <f t="shared" si="18"/>
        <v>1.2209351114259189E-4</v>
      </c>
      <c r="BP36">
        <f t="shared" si="19"/>
        <v>8</v>
      </c>
      <c r="BQ36">
        <v>5</v>
      </c>
      <c r="BR36" s="107">
        <f t="shared" si="20"/>
        <v>4.2351986227909212E-4</v>
      </c>
    </row>
    <row r="37" spans="1:70" ht="15.75" thickBot="1" x14ac:dyDescent="0.3">
      <c r="A37" s="109" t="s">
        <v>104</v>
      </c>
      <c r="B37" s="107">
        <f>SUM(BN4:BN14)</f>
        <v>0.1831336108477695</v>
      </c>
      <c r="G37" s="13"/>
      <c r="H37" s="59">
        <f>SUM(H39:H49)</f>
        <v>0.99999458625211723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0.99981552891763803</v>
      </c>
      <c r="W37" s="13"/>
      <c r="X37" s="13"/>
      <c r="Y37" s="80">
        <f>SUM(Y39:Y49)</f>
        <v>4.6232087978831772E-3</v>
      </c>
      <c r="Z37" s="81"/>
      <c r="AA37" s="80">
        <f>SUM(AA39:AA49)</f>
        <v>3.2868354622319615E-2</v>
      </c>
      <c r="AB37" s="81"/>
      <c r="AC37" s="80">
        <f>SUM(AC39:AC49)</f>
        <v>0.10520311348581923</v>
      </c>
      <c r="AD37" s="81"/>
      <c r="AE37" s="80">
        <f>SUM(AE39:AE49)</f>
        <v>0.19967095762416331</v>
      </c>
      <c r="AF37" s="81"/>
      <c r="AG37" s="80">
        <f>SUM(AG39:AG49)</f>
        <v>0.24892509995478806</v>
      </c>
      <c r="AH37" s="81"/>
      <c r="AI37" s="80">
        <f>SUM(AI39:AI49)</f>
        <v>0.21308887024481113</v>
      </c>
      <c r="AJ37" s="81"/>
      <c r="AK37" s="80">
        <f>SUM(AK39:AK49)</f>
        <v>0.12695143349185112</v>
      </c>
      <c r="AL37" s="81"/>
      <c r="AM37" s="80">
        <f>SUM(AM39:AM49)</f>
        <v>5.2059796797133379E-2</v>
      </c>
      <c r="AN37" s="81"/>
      <c r="AO37" s="80">
        <f>SUM(AO39:AO49)</f>
        <v>1.4115094900607757E-2</v>
      </c>
      <c r="AP37" s="81"/>
      <c r="AQ37" s="80">
        <f>SUM(AQ39:AQ49)</f>
        <v>2.3095989982612605E-3</v>
      </c>
      <c r="AR37" s="81"/>
      <c r="AS37" s="80">
        <f>SUM(AS39:AS49)</f>
        <v>1.8447108236196999E-4</v>
      </c>
      <c r="BH37">
        <f t="shared" si="17"/>
        <v>3</v>
      </c>
      <c r="BI37">
        <v>10</v>
      </c>
      <c r="BJ37" s="107">
        <f t="shared" si="18"/>
        <v>1.5300251153814931E-5</v>
      </c>
      <c r="BP37">
        <f t="shared" si="19"/>
        <v>8</v>
      </c>
      <c r="BQ37">
        <v>6</v>
      </c>
      <c r="BR37" s="107">
        <f t="shared" si="20"/>
        <v>1.6829696755822317E-4</v>
      </c>
    </row>
    <row r="38" spans="1:70" ht="15.75" thickBot="1" x14ac:dyDescent="0.3">
      <c r="A38" s="110" t="s">
        <v>105</v>
      </c>
      <c r="B38" s="107">
        <f>SUM(BJ4:BJ59)</f>
        <v>0.33802972733258552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2.2844432181728675E-2</v>
      </c>
      <c r="BP38">
        <f>BL11+1</f>
        <v>8</v>
      </c>
      <c r="BQ38">
        <v>7</v>
      </c>
      <c r="BR38" s="107">
        <f t="shared" si="20"/>
        <v>5.0484904390575287E-5</v>
      </c>
    </row>
    <row r="39" spans="1:70" x14ac:dyDescent="0.25">
      <c r="A39" s="111" t="s">
        <v>0</v>
      </c>
      <c r="B39" s="107">
        <f>SUM(BR4:BR47)</f>
        <v>0.47874032411180284</v>
      </c>
      <c r="G39" s="130">
        <v>0</v>
      </c>
      <c r="H39" s="131">
        <f>L39*J39</f>
        <v>3.4147309427739907E-2</v>
      </c>
      <c r="I39" s="97">
        <v>0</v>
      </c>
      <c r="J39" s="98">
        <f t="shared" ref="J39:J49" si="35">Y39+AA39+AC39+AE39+AG39+AI39+AK39+AM39+AO39+AQ39+AS39</f>
        <v>5.66258450571335E-2</v>
      </c>
      <c r="K39" s="102">
        <v>0</v>
      </c>
      <c r="L39" s="98">
        <f>AC20</f>
        <v>0.60303399257505941</v>
      </c>
      <c r="M39" s="84">
        <v>0</v>
      </c>
      <c r="N39" s="71">
        <f>(1-$C$24)^$B$21</f>
        <v>6.8507344378760743E-2</v>
      </c>
      <c r="O39" s="70">
        <v>0</v>
      </c>
      <c r="P39" s="71">
        <f>N39</f>
        <v>6.8507344378760743E-2</v>
      </c>
      <c r="Q39" s="12">
        <v>0</v>
      </c>
      <c r="R39" s="73">
        <f>P39*N39</f>
        <v>4.6932562338301209E-3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4.6232087978831772E-3</v>
      </c>
      <c r="W39" s="136">
        <f>C31</f>
        <v>0.59976342109072822</v>
      </c>
      <c r="X39" s="12">
        <v>0</v>
      </c>
      <c r="Y39" s="79">
        <f>V39</f>
        <v>4.6232087978831772E-3</v>
      </c>
      <c r="Z39" s="12">
        <v>0</v>
      </c>
      <c r="AA39" s="78">
        <f>((1-W39)^Z40)*V40</f>
        <v>1.3155117808413953E-2</v>
      </c>
      <c r="AB39" s="12">
        <v>0</v>
      </c>
      <c r="AC39" s="79">
        <f>(((1-$W$39)^AB41))*V41</f>
        <v>1.6852415116177563E-2</v>
      </c>
      <c r="AD39" s="12">
        <v>0</v>
      </c>
      <c r="AE39" s="79">
        <f>(((1-$W$39)^AB42))*V42</f>
        <v>1.2801628911126609E-2</v>
      </c>
      <c r="AF39" s="12">
        <v>0</v>
      </c>
      <c r="AG39" s="79">
        <f>(((1-$W$39)^AB43))*V43</f>
        <v>6.387571888792353E-3</v>
      </c>
      <c r="AH39" s="12">
        <v>0</v>
      </c>
      <c r="AI39" s="79">
        <f>(((1-$W$39)^AB44))*V44</f>
        <v>2.1884904473393209E-3</v>
      </c>
      <c r="AJ39" s="12">
        <v>0</v>
      </c>
      <c r="AK39" s="79">
        <f>(((1-$W$39)^AB45))*V45</f>
        <v>5.2184109312149109E-4</v>
      </c>
      <c r="AL39" s="12">
        <v>0</v>
      </c>
      <c r="AM39" s="79">
        <f>(((1-$W$39)^AB46))*V46</f>
        <v>8.5648529784824833E-5</v>
      </c>
      <c r="AN39" s="12">
        <v>0</v>
      </c>
      <c r="AO39" s="79">
        <f>(((1-$W$39)^AB47))*V47</f>
        <v>9.2943286220707255E-6</v>
      </c>
      <c r="AP39" s="12">
        <v>0</v>
      </c>
      <c r="AQ39" s="79">
        <f>(((1-$W$39)^AB48))*V48</f>
        <v>6.0867796738823406E-7</v>
      </c>
      <c r="AR39" s="12">
        <v>0</v>
      </c>
      <c r="AS39" s="79">
        <f>(((1-$W$39)^AB49))*V49</f>
        <v>1.9457904735615825E-8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9.0778473554585359E-3</v>
      </c>
      <c r="BP39">
        <f t="shared" ref="BP39:BP46" si="36">BP31+1</f>
        <v>9</v>
      </c>
      <c r="BQ39">
        <v>0</v>
      </c>
      <c r="BR39" s="107">
        <f t="shared" ref="BR39:BR47" si="37">$H$34*H39</f>
        <v>2.4053434158900693E-5</v>
      </c>
    </row>
    <row r="40" spans="1:70" x14ac:dyDescent="0.25">
      <c r="G40" s="91">
        <v>1</v>
      </c>
      <c r="H40" s="132">
        <f>L39*J40+L40*J39</f>
        <v>0.13180880213523752</v>
      </c>
      <c r="I40" s="93">
        <v>1</v>
      </c>
      <c r="J40" s="86">
        <f t="shared" si="35"/>
        <v>0.18816672455583514</v>
      </c>
      <c r="K40" s="95">
        <v>1</v>
      </c>
      <c r="L40" s="86">
        <f>AD20</f>
        <v>0.32384277776443815</v>
      </c>
      <c r="M40" s="85">
        <v>1</v>
      </c>
      <c r="N40" s="71">
        <f>(($C$24)^M26)*((1-($C$24))^($B$21-M26))*HLOOKUP($B$21,$AV$24:$BF$34,M26+1)</f>
        <v>0.24300751463945056</v>
      </c>
      <c r="O40" s="72">
        <v>1</v>
      </c>
      <c r="P40" s="71">
        <f t="shared" ref="P40:P44" si="38">N40</f>
        <v>0.24300751463945056</v>
      </c>
      <c r="Q40" s="28">
        <v>1</v>
      </c>
      <c r="R40" s="37">
        <f>P40*N39+P39*N40</f>
        <v>3.3295598984063167E-2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3.2868354622319615E-2</v>
      </c>
      <c r="W40" s="137"/>
      <c r="X40" s="28">
        <v>1</v>
      </c>
      <c r="Y40" s="73"/>
      <c r="Z40" s="28">
        <v>1</v>
      </c>
      <c r="AA40" s="79">
        <f>(1-((1-W39)^Z40))*V40</f>
        <v>1.9713236813905664E-2</v>
      </c>
      <c r="AB40" s="28">
        <v>1</v>
      </c>
      <c r="AC40" s="79">
        <f>((($W$39)^M40)*((1-($W$39))^($U$27-M40))*HLOOKUP($U$27,$AV$24:$BF$34,M40+1))*V41</f>
        <v>5.05074382319812E-2</v>
      </c>
      <c r="AD40" s="28">
        <v>1</v>
      </c>
      <c r="AE40" s="79">
        <f>((($W$39)^M40)*((1-($W$39))^($U$28-M40))*HLOOKUP($U$28,$AV$24:$BF$34,M40+1))*V42</f>
        <v>5.7550577502400814E-2</v>
      </c>
      <c r="AF40" s="28">
        <v>1</v>
      </c>
      <c r="AG40" s="79">
        <f>((($W$39)^M40)*((1-($W$39))^($U$29-M40))*HLOOKUP($U$29,$AV$24:$BF$34,M40+1))*V43</f>
        <v>3.8287674544145153E-2</v>
      </c>
      <c r="AH40" s="28">
        <v>1</v>
      </c>
      <c r="AI40" s="79">
        <f>((($W$39)^M40)*((1-($W$39))^($U$30-M40))*HLOOKUP($U$30,$AV$24:$BF$34,M40+1))*V44</f>
        <v>1.6397508209989878E-2</v>
      </c>
      <c r="AJ40" s="28">
        <v>1</v>
      </c>
      <c r="AK40" s="79">
        <f>((($W$39)^M40)*((1-($W$39))^($U$31-M40))*HLOOKUP($U$31,$AV$24:$BF$34,M40+1))*V45</f>
        <v>4.6919429522790232E-3</v>
      </c>
      <c r="AL40" s="28">
        <v>1</v>
      </c>
      <c r="AM40" s="79">
        <f>((($W$39)^Q40)*((1-($W$39))^($U$32-Q40))*HLOOKUP($U$32,$AV$24:$BF$34,Q40+1))*V46</f>
        <v>8.9842359642864126E-4</v>
      </c>
      <c r="AN40" s="28">
        <v>1</v>
      </c>
      <c r="AO40" s="79">
        <f>((($W$39)^Q40)*((1-($W$39))^($U$33-Q40))*HLOOKUP($U$33,$AV$24:$BF$34,Q40+1))*V47</f>
        <v>1.114220663449805E-4</v>
      </c>
      <c r="AP40" s="28">
        <v>1</v>
      </c>
      <c r="AQ40" s="79">
        <f>((($W$39)^Q40)*((1-($W$39))^($U$34-Q40))*HLOOKUP($U$34,$AV$24:$BF$34,Q40+1))*V48</f>
        <v>8.209057326853314E-6</v>
      </c>
      <c r="AR40" s="28">
        <v>1</v>
      </c>
      <c r="AS40" s="79">
        <f>((($W$39)^Q40)*((1-($W$39))^($U$35-Q40))*HLOOKUP($U$35,$AV$24:$BF$34,Q40+1))*V49</f>
        <v>2.9158103298039358E-7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2.7231284227032301E-3</v>
      </c>
      <c r="BP40">
        <f t="shared" si="36"/>
        <v>9</v>
      </c>
      <c r="BQ40">
        <v>1</v>
      </c>
      <c r="BR40" s="107">
        <f t="shared" si="37"/>
        <v>9.2846388100725573E-5</v>
      </c>
    </row>
    <row r="41" spans="1:70" x14ac:dyDescent="0.25">
      <c r="G41" s="91">
        <v>2</v>
      </c>
      <c r="H41" s="132">
        <f>L39*J41+J40*L40+J39*L41</f>
        <v>0.23446761017354317</v>
      </c>
      <c r="I41" s="93">
        <v>2</v>
      </c>
      <c r="J41" s="86">
        <f t="shared" si="35"/>
        <v>0.28154247920931774</v>
      </c>
      <c r="K41" s="95">
        <v>2</v>
      </c>
      <c r="L41" s="86">
        <f>AE20</f>
        <v>6.6250491973849163E-2</v>
      </c>
      <c r="M41" s="85">
        <v>2</v>
      </c>
      <c r="N41" s="71">
        <f>(($C$24)^M27)*((1-($C$24))^($B$21-M27))*HLOOKUP($B$21,$AV$24:$BF$34,M27+1)</f>
        <v>0.34479603731100572</v>
      </c>
      <c r="O41" s="72">
        <v>2</v>
      </c>
      <c r="P41" s="71">
        <f t="shared" si="38"/>
        <v>0.34479603731100572</v>
      </c>
      <c r="Q41" s="28">
        <v>2</v>
      </c>
      <c r="R41" s="37">
        <f>P41*N39+P40*N40+P39*N41</f>
        <v>0.10629477390823699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0.10520311348581923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3.784326013766047E-2</v>
      </c>
      <c r="AD41" s="28">
        <v>2</v>
      </c>
      <c r="AE41" s="79">
        <f>((($W$39)^M41)*((1-($W$39))^($U$28-M41))*HLOOKUP($U$28,$AV$24:$BF$34,M41+1))*V42</f>
        <v>8.6240821222918471E-2</v>
      </c>
      <c r="AF41" s="28">
        <v>2</v>
      </c>
      <c r="AG41" s="79">
        <f>((($W$39)^M41)*((1-($W$39))^($U$29-M41))*HLOOKUP($U$29,$AV$24:$BF$34,M41+1))*V43</f>
        <v>8.6062398642268043E-2</v>
      </c>
      <c r="AH41" s="28">
        <v>2</v>
      </c>
      <c r="AI41" s="79">
        <f>((($W$39)^M41)*((1-($W$39))^($U$30-M41))*HLOOKUP($U$30,$AV$24:$BF$34,M41+1))*V44</f>
        <v>4.9144061985479895E-2</v>
      </c>
      <c r="AJ41" s="28">
        <v>2</v>
      </c>
      <c r="AK41" s="79">
        <f>((($W$39)^M41)*((1-($W$39))^($U$31-M41))*HLOOKUP($U$31,$AV$24:$BF$34,M41+1))*V45</f>
        <v>1.7577452342626247E-2</v>
      </c>
      <c r="AL41" s="28">
        <v>2</v>
      </c>
      <c r="AM41" s="79">
        <f>((($W$39)^Q41)*((1-($W$39))^($U$32-Q41))*HLOOKUP($U$32,$AV$24:$BF$34,Q41+1))*V46</f>
        <v>4.0389232632194712E-3</v>
      </c>
      <c r="AN41" s="28">
        <v>2</v>
      </c>
      <c r="AO41" s="79">
        <f>((($W$39)^Q41)*((1-($W$39))^($U$33-Q41))*HLOOKUP($U$33,$AV$24:$BF$34,Q41+1))*V47</f>
        <v>5.8438956172779789E-4</v>
      </c>
      <c r="AP41" s="28">
        <v>2</v>
      </c>
      <c r="AQ41" s="79">
        <f>((($W$39)^Q41)*((1-($W$39))^($U$34-Q41))*HLOOKUP($U$34,$AV$24:$BF$34,Q41+1))*V48</f>
        <v>4.9205820414525792E-5</v>
      </c>
      <c r="AR41" s="28">
        <v>2</v>
      </c>
      <c r="AS41" s="79">
        <f>((($W$39)^Q41)*((1-($W$39))^($U$35-Q41))*HLOOKUP($U$35,$AV$24:$BF$34,Q41+1))*V49</f>
        <v>1.9662330028387905E-6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6.1875132203801167E-4</v>
      </c>
      <c r="BP41">
        <f t="shared" si="36"/>
        <v>9</v>
      </c>
      <c r="BQ41">
        <v>2</v>
      </c>
      <c r="BR41" s="107">
        <f t="shared" si="37"/>
        <v>1.6515946111767758E-4</v>
      </c>
    </row>
    <row r="42" spans="1:70" ht="15" customHeight="1" x14ac:dyDescent="0.25">
      <c r="G42" s="91">
        <v>3</v>
      </c>
      <c r="H42" s="132">
        <f>J42*L39+J41*L40+L42*J39+L41*J40</f>
        <v>0.25469161495314585</v>
      </c>
      <c r="I42" s="93">
        <v>3</v>
      </c>
      <c r="J42" s="86">
        <f t="shared" si="35"/>
        <v>0.24983799525076777</v>
      </c>
      <c r="K42" s="95">
        <v>3</v>
      </c>
      <c r="L42" s="86">
        <f>AF20</f>
        <v>6.8727376866532797E-3</v>
      </c>
      <c r="M42" s="85">
        <v>3</v>
      </c>
      <c r="N42" s="71">
        <f>(($C$24)^M28)*((1-($C$24))^($B$21-M28))*HLOOKUP($B$21,$AV$24:$BF$34,M28+1)</f>
        <v>0.24461035190981792</v>
      </c>
      <c r="O42" s="72">
        <v>3</v>
      </c>
      <c r="P42" s="71">
        <f t="shared" si="38"/>
        <v>0.24461035190981792</v>
      </c>
      <c r="Q42" s="28">
        <v>3</v>
      </c>
      <c r="R42" s="37">
        <f>P42*N39+P41*N40+P40*N41+P39*N42</f>
        <v>0.20109126740274902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0.19967095762416331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4.307792998771743E-2</v>
      </c>
      <c r="AF42" s="28">
        <v>3</v>
      </c>
      <c r="AG42" s="79">
        <f>((($W$39)^M42)*((1-($W$39))^($U$29-M42))*HLOOKUP($U$29,$AV$24:$BF$34,M42+1))*V43</f>
        <v>8.5977613170070633E-2</v>
      </c>
      <c r="AH42" s="28">
        <v>3</v>
      </c>
      <c r="AI42" s="79">
        <f>((($W$39)^M42)*((1-($W$39))^($U$30-M42))*HLOOKUP($U$30,$AV$24:$BF$34,M42+1))*V44</f>
        <v>7.3643470626875818E-2</v>
      </c>
      <c r="AJ42" s="28">
        <v>3</v>
      </c>
      <c r="AK42" s="79">
        <f>((($W$39)^M42)*((1-($W$39))^($U$31-M42))*HLOOKUP($U$31,$AV$24:$BF$34,M42+1))*V45</f>
        <v>3.512027138150061E-2</v>
      </c>
      <c r="AL42" s="28">
        <v>3</v>
      </c>
      <c r="AM42" s="79">
        <f>((($W$39)^Q42)*((1-($W$39))^($U$32-Q42))*HLOOKUP($U$32,$AV$24:$BF$34,Q42+1))*V46</f>
        <v>1.0087360665838268E-2</v>
      </c>
      <c r="AN42" s="28">
        <v>3</v>
      </c>
      <c r="AO42" s="79">
        <f>((($W$39)^Q42)*((1-($W$39))^($U$33-Q42))*HLOOKUP($U$33,$AV$24:$BF$34,Q42+1))*V47</f>
        <v>1.7514415286416286E-3</v>
      </c>
      <c r="AP42" s="28">
        <v>3</v>
      </c>
      <c r="AQ42" s="79">
        <f>((($W$39)^Q42)*((1-($W$39))^($U$34-Q42))*HLOOKUP($U$34,$AV$24:$BF$34,Q42+1))*V48</f>
        <v>1.7205070635033373E-4</v>
      </c>
      <c r="AR42" s="28">
        <v>3</v>
      </c>
      <c r="AS42" s="79">
        <f>((($W$39)^Q42)*((1-($W$39))^($U$35-Q42))*HLOOKUP($U$35,$AV$24:$BF$34,Q42+1))*V49</f>
        <v>7.857183773043154E-6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1.056288075620815E-4</v>
      </c>
      <c r="BP42">
        <f t="shared" si="36"/>
        <v>9</v>
      </c>
      <c r="BQ42">
        <v>3</v>
      </c>
      <c r="BR42" s="107">
        <f t="shared" si="37"/>
        <v>1.794052911859256E-4</v>
      </c>
    </row>
    <row r="43" spans="1:70" ht="15" customHeight="1" x14ac:dyDescent="0.25">
      <c r="G43" s="91">
        <v>4</v>
      </c>
      <c r="H43" s="132">
        <f>J43*L39+J42*L40+J41*L41+J40*L42</f>
        <v>0.18869388240094701</v>
      </c>
      <c r="I43" s="93">
        <v>4</v>
      </c>
      <c r="J43" s="86">
        <f t="shared" si="35"/>
        <v>0.14566360240218618</v>
      </c>
      <c r="K43" s="95">
        <v>4</v>
      </c>
      <c r="L43" s="86"/>
      <c r="M43" s="85">
        <v>4</v>
      </c>
      <c r="N43" s="71">
        <f>(($C$24)^M29)*((1-($C$24))^($B$21-M29))*HLOOKUP($B$21,$AV$24:$BF$34,M29+1)</f>
        <v>8.6767563699513384E-2</v>
      </c>
      <c r="O43" s="72">
        <v>4</v>
      </c>
      <c r="P43" s="71">
        <f t="shared" si="38"/>
        <v>8.6767563699513384E-2</v>
      </c>
      <c r="Q43" s="28">
        <v>4</v>
      </c>
      <c r="R43" s="37">
        <f>P43*N39+P42*N40+P41*N41+P40*N42+P39*N43</f>
        <v>0.24965704542528216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0.24892509995478804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3.2209841709511869E-2</v>
      </c>
      <c r="AH43" s="28">
        <v>4</v>
      </c>
      <c r="AI43" s="79">
        <f>((($W$39)^M43)*((1-($W$39))^($U$30-M43))*HLOOKUP($U$30,$AV$24:$BF$34,M43+1))*V44</f>
        <v>5.5178189865277193E-2</v>
      </c>
      <c r="AJ43" s="28">
        <v>4</v>
      </c>
      <c r="AK43" s="79">
        <f>((($W$39)^M43)*((1-($W$39))^($U$31-M43))*HLOOKUP($U$31,$AV$24:$BF$34,M43+1))*V45</f>
        <v>3.9471381221839463E-2</v>
      </c>
      <c r="AL43" s="28">
        <v>4</v>
      </c>
      <c r="AM43" s="79">
        <f>((($W$39)^Q43)*((1-($W$39))^($U$32-Q43))*HLOOKUP($U$32,$AV$24:$BF$34,Q43+1))*V46</f>
        <v>1.5116134460290462E-2</v>
      </c>
      <c r="AN43" s="28">
        <v>4</v>
      </c>
      <c r="AO43" s="79">
        <f>((($W$39)^Q43)*((1-($W$39))^($U$33-Q43))*HLOOKUP($U$33,$AV$24:$BF$34,Q43+1))*V47</f>
        <v>3.2807176380566429E-3</v>
      </c>
      <c r="AP43" s="28">
        <v>4</v>
      </c>
      <c r="AQ43" s="79">
        <f>((($W$39)^Q43)*((1-($W$39))^($U$34-Q43))*HLOOKUP($U$34,$AV$24:$BF$34,Q43+1))*V48</f>
        <v>3.8673271889453221E-4</v>
      </c>
      <c r="AR43" s="28">
        <v>4</v>
      </c>
      <c r="AS43" s="79">
        <f>((($W$39)^Q43)*((1-($W$39))^($U$35-Q43))*HLOOKUP($U$35,$AV$24:$BF$34,Q43+1))*V49</f>
        <v>2.0604788316018814E-5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1.323696296104016E-5</v>
      </c>
      <c r="BP43">
        <f t="shared" si="36"/>
        <v>9</v>
      </c>
      <c r="BQ43">
        <v>4</v>
      </c>
      <c r="BR43" s="107">
        <f t="shared" si="37"/>
        <v>1.3291635424814586E-4</v>
      </c>
    </row>
    <row r="44" spans="1:70" ht="15" customHeight="1" thickBot="1" x14ac:dyDescent="0.3">
      <c r="G44" s="91">
        <v>5</v>
      </c>
      <c r="H44" s="132">
        <f>J44*L39+J43*L40+J42*L41+J41*L42</f>
        <v>0.100838354623728</v>
      </c>
      <c r="I44" s="93">
        <v>5</v>
      </c>
      <c r="J44" s="86">
        <f t="shared" si="35"/>
        <v>5.833732713147402E-2</v>
      </c>
      <c r="K44" s="95">
        <v>5</v>
      </c>
      <c r="L44" s="86"/>
      <c r="M44" s="85">
        <v>5</v>
      </c>
      <c r="N44" s="71">
        <f>(($C$24)^M30)*((1-($C$24))^($B$21-M30))*HLOOKUP($B$21,$AV$24:$BF$34,M30+1)</f>
        <v>1.2311188061451681E-2</v>
      </c>
      <c r="O44" s="72">
        <v>5</v>
      </c>
      <c r="P44" s="71">
        <f t="shared" si="38"/>
        <v>1.2311188061451681E-2</v>
      </c>
      <c r="Q44" s="28">
        <v>5</v>
      </c>
      <c r="R44" s="37">
        <f>P44*N39+P43*N40+P42*N41+P41*N42+P40*N43+P39*N44</f>
        <v>0.21253851365986468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0.21308887024481113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1.653714910984902E-2</v>
      </c>
      <c r="AJ44" s="28">
        <v>5</v>
      </c>
      <c r="AK44" s="79">
        <f>((($W$39)^M44)*((1-($W$39))^($U$31-M44))*HLOOKUP($U$31,$AV$24:$BF$34,M44+1))*V45</f>
        <v>2.3659497291628834E-2</v>
      </c>
      <c r="AL44" s="28">
        <v>5</v>
      </c>
      <c r="AM44" s="79">
        <f>((($W$39)^Q44)*((1-($W$39))^($U$32-Q44))*HLOOKUP($U$32,$AV$24:$BF$34,Q44+1))*V46</f>
        <v>1.3591118346471405E-2</v>
      </c>
      <c r="AN44" s="28">
        <v>5</v>
      </c>
      <c r="AO44" s="79">
        <f>((($W$39)^Q44)*((1-($W$39))^($U$33-Q44))*HLOOKUP($U$33,$AV$24:$BF$34,Q44+1))*V47</f>
        <v>3.9329827165639182E-3</v>
      </c>
      <c r="AP44" s="28">
        <v>5</v>
      </c>
      <c r="AQ44" s="79">
        <f>((($W$39)^Q44)*((1-($W$39))^($U$34-Q44))*HLOOKUP($U$34,$AV$24:$BF$34,Q44+1))*V48</f>
        <v>5.7952758631909813E-4</v>
      </c>
      <c r="AR44" s="28">
        <v>5</v>
      </c>
      <c r="AS44" s="79">
        <f>((($W$39)^Q44)*((1-($W$39))^($U$35-Q44))*HLOOKUP($U$35,$AV$24:$BF$34,Q44+1))*V49</f>
        <v>3.7052080641735955E-5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5.4295045271379296E-3</v>
      </c>
      <c r="BP44">
        <f t="shared" si="36"/>
        <v>9</v>
      </c>
      <c r="BQ44">
        <v>5</v>
      </c>
      <c r="BR44" s="107">
        <f t="shared" si="37"/>
        <v>7.1030741931993465E-5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4.0070822665574782E-2</v>
      </c>
      <c r="I45" s="93">
        <v>6</v>
      </c>
      <c r="J45" s="86">
        <f t="shared" si="35"/>
        <v>1.6269968846571205E-2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0.12565187094903441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0.12695143349185112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5.9090472088554535E-3</v>
      </c>
      <c r="AL45" s="28">
        <v>6</v>
      </c>
      <c r="AM45" s="79">
        <f>((($W$39)^Q45)*((1-($W$39))^($U$32-Q45))*HLOOKUP($U$32,$AV$24:$BF$34,Q45+1))*V46</f>
        <v>6.7888644412454494E-3</v>
      </c>
      <c r="AN45" s="28">
        <v>6</v>
      </c>
      <c r="AO45" s="79">
        <f>((($W$39)^Q45)*((1-($W$39))^($U$33-Q45))*HLOOKUP($U$33,$AV$24:$BF$34,Q45+1))*V47</f>
        <v>2.946831066272684E-3</v>
      </c>
      <c r="AP45" s="28">
        <v>6</v>
      </c>
      <c r="AQ45" s="79">
        <f>((($W$39)^Q45)*((1-($W$39))^($U$34-Q45))*HLOOKUP($U$34,$AV$24:$BF$34,Q45+1))*V48</f>
        <v>5.7895665730906985E-4</v>
      </c>
      <c r="AR45" s="28">
        <v>6</v>
      </c>
      <c r="AS45" s="79">
        <f>((($W$39)^Q45)*((1-($W$39))^($U$35-Q45))*HLOOKUP($U$35,$AV$24:$BF$34,Q45+1))*V49</f>
        <v>4.6269472888547575E-5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1.6287163156752959E-3</v>
      </c>
      <c r="BP45">
        <f t="shared" si="36"/>
        <v>9</v>
      </c>
      <c r="BQ45">
        <v>6</v>
      </c>
      <c r="BR45" s="107">
        <f t="shared" si="37"/>
        <v>2.8225968922061038E-5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1.2020250159429539E-2</v>
      </c>
      <c r="I46" s="93">
        <v>7</v>
      </c>
      <c r="J46" s="86">
        <f t="shared" si="35"/>
        <v>3.126447139839571E-3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5.0938186298149231E-2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5.2059796797133379E-2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1.4533234938548566E-3</v>
      </c>
      <c r="AN46" s="28">
        <v>7</v>
      </c>
      <c r="AO46" s="79">
        <f>((($W$39)^Q46)*((1-($W$39))^($U$33-Q46))*HLOOKUP($U$33,$AV$24:$BF$34,Q46+1))*V47</f>
        <v>1.2616834105615956E-3</v>
      </c>
      <c r="AP46" s="28">
        <v>7</v>
      </c>
      <c r="AQ46" s="79">
        <f>((($W$39)^Q46)*((1-($W$39))^($U$34-Q46))*HLOOKUP($U$34,$AV$24:$BF$34,Q46+1))*V48</f>
        <v>3.7181975834382048E-4</v>
      </c>
      <c r="AR46" s="28">
        <v>7</v>
      </c>
      <c r="AS46" s="79">
        <f>((($W$39)^Q46)*((1-($W$39))^($U$35-Q46))*HLOOKUP($U$35,$AV$24:$BF$34,Q46+1))*V49</f>
        <v>3.9620477079297939E-5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3.7007816640118735E-4</v>
      </c>
      <c r="BP46">
        <f t="shared" si="36"/>
        <v>9</v>
      </c>
      <c r="BQ46">
        <v>7</v>
      </c>
      <c r="BR46" s="107">
        <f t="shared" si="37"/>
        <v>8.4670886412057312E-6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2.7312504307055226E-3</v>
      </c>
      <c r="I47" s="93">
        <v>8</v>
      </c>
      <c r="J47" s="86">
        <f t="shared" si="35"/>
        <v>3.9789219208349012E-4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1.3551498198628402E-2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1.4115094900607757E-2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2.3633258381643846E-4</v>
      </c>
      <c r="AP47" s="28">
        <v>8</v>
      </c>
      <c r="AQ47" s="79">
        <f>((($W$39)^Q47)*((1-($W$39))^($U$34-Q47))*HLOOKUP($U$34,$AV$24:$BF$34,Q47+1))*V48</f>
        <v>1.3929504575840482E-4</v>
      </c>
      <c r="AR47" s="28">
        <v>8</v>
      </c>
      <c r="AS47" s="79">
        <f>((($W$39)^Q47)*((1-($W$39))^($U$35-Q47))*HLOOKUP($U$35,$AV$24:$BF$34,Q47+1))*V49</f>
        <v>2.2264562508646835E-5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6.3177102059294726E-5</v>
      </c>
      <c r="BP47">
        <f>BL12+1</f>
        <v>9</v>
      </c>
      <c r="BQ47">
        <v>8</v>
      </c>
      <c r="BR47" s="107">
        <f t="shared" si="37"/>
        <v>1.9238983541431139E-6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4.6625957129045549E-4</v>
      </c>
      <c r="I48" s="93">
        <v>9</v>
      </c>
      <c r="J48" s="86">
        <f t="shared" si="35"/>
        <v>3.0607179007325063E-5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2.1364235886773947E-3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2.3095989982612605E-3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2.3192969577233944E-5</v>
      </c>
      <c r="AR48" s="28">
        <v>9</v>
      </c>
      <c r="AS48" s="79">
        <f>((($W$39)^Q48)*((1-($W$39))^($U$35-Q48))*HLOOKUP($U$35,$AV$24:$BF$34,Q48+1))*V49</f>
        <v>7.4142094300911202E-6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7.9170917408419407E-6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5.842971077539448E-5</v>
      </c>
      <c r="I49" s="94">
        <v>10</v>
      </c>
      <c r="J49" s="89">
        <f t="shared" si="35"/>
        <v>1.1110357840337757E-6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1.5156535148443042E-4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1.8447108236196996E-4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1.1110357840337757E-6</v>
      </c>
      <c r="BH49">
        <f>BP14+1</f>
        <v>6</v>
      </c>
      <c r="BI49">
        <v>0</v>
      </c>
      <c r="BJ49" s="107">
        <f>$H$31*H39</f>
        <v>1.9852344801400126E-3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6.988256315451503E-4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1.5878769425180854E-4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2.7107101353911185E-5</v>
      </c>
    </row>
    <row r="53" spans="1:62" x14ac:dyDescent="0.25">
      <c r="BH53">
        <f>BH48+1</f>
        <v>6</v>
      </c>
      <c r="BI53">
        <v>10</v>
      </c>
      <c r="BJ53" s="107">
        <f>$H$31*H49</f>
        <v>3.3969492308430749E-6</v>
      </c>
    </row>
    <row r="54" spans="1:62" x14ac:dyDescent="0.25">
      <c r="BH54">
        <f>BH51+1</f>
        <v>7</v>
      </c>
      <c r="BI54">
        <v>8</v>
      </c>
      <c r="BJ54" s="107">
        <f>$H$32*H47</f>
        <v>4.9800086570903933E-5</v>
      </c>
    </row>
    <row r="55" spans="1:62" x14ac:dyDescent="0.25">
      <c r="BH55">
        <f>BH52+1</f>
        <v>7</v>
      </c>
      <c r="BI55">
        <v>9</v>
      </c>
      <c r="BJ55" s="107">
        <f>$H$32*H48</f>
        <v>8.501515186499844E-6</v>
      </c>
    </row>
    <row r="56" spans="1:62" x14ac:dyDescent="0.25">
      <c r="BH56">
        <f>BH53+1</f>
        <v>7</v>
      </c>
      <c r="BI56">
        <v>10</v>
      </c>
      <c r="BJ56" s="107">
        <f>$H$32*H49</f>
        <v>1.0653745340283124E-6</v>
      </c>
    </row>
    <row r="57" spans="1:62" x14ac:dyDescent="0.25">
      <c r="BH57">
        <f>BH55+1</f>
        <v>8</v>
      </c>
      <c r="BI57">
        <v>9</v>
      </c>
      <c r="BJ57" s="107">
        <f>$H$33*H48</f>
        <v>1.9582845253285802E-6</v>
      </c>
    </row>
    <row r="58" spans="1:62" x14ac:dyDescent="0.25">
      <c r="BH58">
        <f>BH56+1</f>
        <v>8</v>
      </c>
      <c r="BI58">
        <v>10</v>
      </c>
      <c r="BJ58" s="107">
        <f>$H$33*H49</f>
        <v>2.4540407420312376E-7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4.1158007017614165E-8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J15" sqref="J1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0" t="s">
        <v>244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1"/>
      <c r="Q1" s="211"/>
      <c r="R1" s="152">
        <v>0</v>
      </c>
      <c r="S1" s="153">
        <f>1+R1</f>
        <v>1</v>
      </c>
      <c r="AI1" s="160" t="s">
        <v>152</v>
      </c>
    </row>
    <row r="2" spans="1:70" x14ac:dyDescent="0.25">
      <c r="A2" s="210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2" t="s">
        <v>116</v>
      </c>
      <c r="C3" s="212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10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1.5645392723797676E-2</v>
      </c>
      <c r="BL4">
        <v>0</v>
      </c>
      <c r="BM4">
        <v>0</v>
      </c>
      <c r="BN4" s="107">
        <f>H25*H39</f>
        <v>4.1498246454244013E-3</v>
      </c>
      <c r="BP4">
        <v>1</v>
      </c>
      <c r="BQ4">
        <v>0</v>
      </c>
      <c r="BR4" s="107">
        <f>$H$26*H39</f>
        <v>9.7410670469458976E-3</v>
      </c>
    </row>
    <row r="5" spans="1:70" x14ac:dyDescent="0.25">
      <c r="A5" s="40" t="s">
        <v>150</v>
      </c>
      <c r="B5" s="161">
        <v>343</v>
      </c>
      <c r="C5" s="161">
        <v>451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0.112</v>
      </c>
      <c r="P5" s="196" t="str">
        <f>P3</f>
        <v>0,6</v>
      </c>
      <c r="Q5" s="16">
        <f>P5*O5</f>
        <v>6.7199999999999996E-2</v>
      </c>
      <c r="R5" s="157">
        <f>IF($M$2="SI",Q5*$B$22/0.5*$S$1,Q5*$B$22/0.5*$S$2)</f>
        <v>6.6390361445783128E-2</v>
      </c>
      <c r="S5" s="176">
        <f>(1-R5)</f>
        <v>0.93360963855421686</v>
      </c>
      <c r="T5" s="177">
        <f>R5*PRODUCT(S6:S19)</f>
        <v>4.4401287785144655E-2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1.8674980068743852E-2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I5" s="210">
        <f>IF(AN5=0,(AM5*2*$AI$2/2)+SUM($AN$5:$AN$19),0)</f>
        <v>0.112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</v>
      </c>
      <c r="BH5">
        <v>0</v>
      </c>
      <c r="BI5">
        <v>2</v>
      </c>
      <c r="BJ5" s="107">
        <f t="shared" si="0"/>
        <v>2.7201683847246184E-2</v>
      </c>
      <c r="BL5">
        <v>1</v>
      </c>
      <c r="BM5">
        <v>1</v>
      </c>
      <c r="BN5" s="107">
        <f>$H$26*H40</f>
        <v>3.6725122750994321E-2</v>
      </c>
      <c r="BP5">
        <f>BP4+1</f>
        <v>2</v>
      </c>
      <c r="BQ5">
        <v>0</v>
      </c>
      <c r="BR5" s="107">
        <f>$H$27*H39</f>
        <v>1.0629465693122384E-2</v>
      </c>
    </row>
    <row r="6" spans="1:70" x14ac:dyDescent="0.25">
      <c r="A6" s="2" t="s">
        <v>1</v>
      </c>
      <c r="B6" s="168">
        <v>10.25</v>
      </c>
      <c r="C6" s="169">
        <v>10.5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0.112</v>
      </c>
      <c r="Z6" s="197" t="str">
        <f>Z3</f>
        <v>0,6</v>
      </c>
      <c r="AA6" s="19">
        <f t="shared" ref="AA6:AA19" si="3">Z6*Y6</f>
        <v>6.7199999999999996E-2</v>
      </c>
      <c r="AB6" s="157">
        <f t="shared" ref="AB6:AB19" si="4">IF($M$2="SI",AA6*$C$22/0.5*$S$1,AA6*$C$22/0.5*$S$2)</f>
        <v>6.8009638554216878E-2</v>
      </c>
      <c r="AC6" s="176">
        <f t="shared" ref="AC6:AC19" si="5">(1-AB6)</f>
        <v>0.93199036144578318</v>
      </c>
      <c r="AD6" s="177">
        <f>AB6*AC5*PRODUCT(AC7:AC19)</f>
        <v>4.3732354979625097E-2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2.0528944881629915E-2</v>
      </c>
      <c r="AF6" s="18"/>
      <c r="AG6" s="203">
        <f>IF(COUNTIF(F11:F18,"IMP")+COUNTIF(J11:J18,"IMP")=0,0,COUNTIF(F11:F18,"IMP")/(COUNTIF(F11:F18,"IMP")+COUNTIF(J11:J18,"IMP")))</f>
        <v>0</v>
      </c>
      <c r="AI6" s="210">
        <f t="shared" ref="AI6:AI19" si="6">IF(AN6=0,(AM6*2*$AI$2/2)+SUM($AN$5:$AN$19),0)</f>
        <v>0.112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2.8905601509032632E-2</v>
      </c>
      <c r="BL6">
        <f>BH14+1</f>
        <v>2</v>
      </c>
      <c r="BM6">
        <v>2</v>
      </c>
      <c r="BN6" s="107">
        <f>$H$27*H41</f>
        <v>6.9675080263516626E-2</v>
      </c>
      <c r="BP6">
        <f>BL5+1</f>
        <v>2</v>
      </c>
      <c r="BQ6">
        <v>1</v>
      </c>
      <c r="BR6" s="107">
        <f>$H$27*H40</f>
        <v>4.0074504207400378E-2</v>
      </c>
    </row>
    <row r="7" spans="1:70" x14ac:dyDescent="0.25">
      <c r="A7" s="5" t="s">
        <v>2</v>
      </c>
      <c r="B7" s="168">
        <v>11.75</v>
      </c>
      <c r="C7" s="169">
        <v>16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10"/>
      <c r="AK7" s="13"/>
      <c r="AM7" s="13">
        <v>0</v>
      </c>
      <c r="BH7">
        <v>0</v>
      </c>
      <c r="BI7">
        <v>4</v>
      </c>
      <c r="BJ7" s="107">
        <f t="shared" si="0"/>
        <v>2.0972855066825634E-2</v>
      </c>
      <c r="BL7">
        <f>BH23+1</f>
        <v>3</v>
      </c>
      <c r="BM7">
        <v>3</v>
      </c>
      <c r="BN7" s="107">
        <f>$H$28*H42</f>
        <v>4.984544918113578E-2</v>
      </c>
      <c r="BP7">
        <f>BP5+1</f>
        <v>3</v>
      </c>
      <c r="BQ7">
        <v>0</v>
      </c>
      <c r="BR7" s="107">
        <f>$H$28*H39</f>
        <v>7.1560480555815063E-3</v>
      </c>
    </row>
    <row r="8" spans="1:70" x14ac:dyDescent="0.25">
      <c r="A8" s="5" t="s">
        <v>3</v>
      </c>
      <c r="B8" s="168">
        <v>10.5</v>
      </c>
      <c r="C8" s="169">
        <v>18</v>
      </c>
      <c r="E8" s="192" t="s">
        <v>18</v>
      </c>
      <c r="F8" s="167" t="s">
        <v>21</v>
      </c>
      <c r="G8" s="167"/>
      <c r="H8" s="10"/>
      <c r="I8" s="10"/>
      <c r="J8" s="166"/>
      <c r="K8" s="166"/>
      <c r="L8" s="10"/>
      <c r="M8" s="10"/>
      <c r="O8" s="67">
        <f>COUNTIF(F6:F18,"IMP")*AI8*AG8</f>
        <v>5.6000000000000001E-2</v>
      </c>
      <c r="P8" s="196" t="str">
        <f>P3</f>
        <v>0,6</v>
      </c>
      <c r="Q8" s="16">
        <f t="shared" si="1"/>
        <v>3.3599999999999998E-2</v>
      </c>
      <c r="R8" s="157">
        <f t="shared" si="8"/>
        <v>3.3195180722891564E-2</v>
      </c>
      <c r="S8" s="176">
        <f t="shared" si="2"/>
        <v>0.96680481927710848</v>
      </c>
      <c r="T8" s="177">
        <f>R8*PRODUCT(S5:S7)*PRODUCT(S9:S19)</f>
        <v>2.1438386225373765E-2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8.2808023203910647E-3</v>
      </c>
      <c r="W8" s="186" t="s">
        <v>42</v>
      </c>
      <c r="X8" s="15" t="s">
        <v>43</v>
      </c>
      <c r="Y8" s="69">
        <f>COUNTIF(J6:J18,"IMP")*AI8*AK8</f>
        <v>5.6000000000000001E-2</v>
      </c>
      <c r="Z8" s="197" t="str">
        <f>Z3</f>
        <v>0,6</v>
      </c>
      <c r="AA8" s="19">
        <f t="shared" si="3"/>
        <v>3.3599999999999998E-2</v>
      </c>
      <c r="AB8" s="157">
        <f t="shared" si="4"/>
        <v>3.4004819277108439E-2</v>
      </c>
      <c r="AC8" s="176">
        <f t="shared" si="5"/>
        <v>0.96599518072289159</v>
      </c>
      <c r="AD8" s="177">
        <f>AB8*PRODUCT(AC5:AC7)*PRODUCT(AC9:AC19)</f>
        <v>2.1096447548441807E-2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9.1605099802564201E-3</v>
      </c>
      <c r="AG8" s="203">
        <f>IF(COUNTIF(F6:F18,"IMP")+COUNTIF(J6:J18,"IMP")=0,0,COUNTIF(F6:F18,"IMP")/(COUNTIF(F6:F18,"IMP")+COUNTIF(J6:J18,"IMP")))</f>
        <v>0.5</v>
      </c>
      <c r="AI8" s="210">
        <f t="shared" si="6"/>
        <v>0.112</v>
      </c>
      <c r="AK8" s="203">
        <f>IF(COUNTIF(F6:F18,"IMP")+COUNTIF(J6:J18,"IMP")=0,0,COUNTIF(J6:J18,"IMP")/(COUNTIF(F6:F18,"IMP")+COUNTIF(J6:J18,"IMP")))</f>
        <v>0.5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1.0990997539956224E-2</v>
      </c>
      <c r="BL8">
        <f>BH31+1</f>
        <v>4</v>
      </c>
      <c r="BM8">
        <v>4</v>
      </c>
      <c r="BN8" s="107">
        <f>$H$29*H43</f>
        <v>1.679707254899921E-2</v>
      </c>
      <c r="BP8">
        <f>BP6+1</f>
        <v>3</v>
      </c>
      <c r="BQ8">
        <v>1</v>
      </c>
      <c r="BR8" s="107">
        <f>$H$28*H40</f>
        <v>2.6979256172519877E-2</v>
      </c>
    </row>
    <row r="9" spans="1:70" x14ac:dyDescent="0.25">
      <c r="A9" s="5" t="s">
        <v>4</v>
      </c>
      <c r="B9" s="168">
        <v>11.25</v>
      </c>
      <c r="C9" s="169">
        <v>18.25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6.2E-2</v>
      </c>
      <c r="Z9" s="197" t="str">
        <f>P3</f>
        <v>0,6</v>
      </c>
      <c r="AA9" s="19">
        <f t="shared" si="3"/>
        <v>3.7199999999999997E-2</v>
      </c>
      <c r="AB9" s="157">
        <f t="shared" si="4"/>
        <v>3.7648192771084339E-2</v>
      </c>
      <c r="AC9" s="176">
        <f t="shared" si="5"/>
        <v>0.96235180722891567</v>
      </c>
      <c r="AD9" s="177">
        <f>AB9*PRODUCT(AC5:AC8)*PRODUCT(AC10:AC19)</f>
        <v>2.3445207792798899E-2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9.2631891760418389E-3</v>
      </c>
      <c r="AG9" s="203">
        <f>IF(COUNTIF(J6:J13,"IMP")+COUNTIF(F6:F13,"IMP")=0,0,COUNTIF(J6:J13,"IMP")/(COUNTIF(J6:J13,"IMP")+COUNTIF(F6:F13,"IMP")))</f>
        <v>0</v>
      </c>
      <c r="AI9" s="210">
        <f t="shared" si="6"/>
        <v>6.2E-2</v>
      </c>
      <c r="AK9" s="203">
        <f>IF(COUNTIF(J6:J13,"IMP")+COUNTIF(F6:F13,"IMP")=0,0,COUNTIF(F6:F13,"IMP")/(COUNTIF(J6:J13,"IMP")+COUNTIF(F6:F13,"IMP")))</f>
        <v>1</v>
      </c>
      <c r="AM9" s="13">
        <v>2.5000000000000001E-2</v>
      </c>
      <c r="AN9">
        <f t="shared" si="7"/>
        <v>0</v>
      </c>
      <c r="BH9">
        <v>0</v>
      </c>
      <c r="BI9">
        <v>6</v>
      </c>
      <c r="BJ9" s="107">
        <f t="shared" si="0"/>
        <v>4.2896718766025806E-3</v>
      </c>
      <c r="BL9">
        <f>BH38+1</f>
        <v>5</v>
      </c>
      <c r="BM9">
        <v>5</v>
      </c>
      <c r="BN9" s="107">
        <f>$H$30*H44</f>
        <v>2.9840468883839482E-3</v>
      </c>
      <c r="BP9">
        <f>BL6+1</f>
        <v>3</v>
      </c>
      <c r="BQ9">
        <v>2</v>
      </c>
      <c r="BR9" s="107">
        <f>$H$28*H41</f>
        <v>4.6907176431721598E-2</v>
      </c>
    </row>
    <row r="10" spans="1:70" x14ac:dyDescent="0.25">
      <c r="A10" s="6" t="s">
        <v>5</v>
      </c>
      <c r="B10" s="168">
        <v>11.5</v>
      </c>
      <c r="C10" s="169">
        <v>13.5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>COUNTIF(F11:F18,"RAP")*AI10*AG10</f>
        <v>0.112</v>
      </c>
      <c r="P10" s="196" t="str">
        <f>R3</f>
        <v>0,72</v>
      </c>
      <c r="Q10" s="16">
        <f t="shared" si="1"/>
        <v>8.0640000000000003E-2</v>
      </c>
      <c r="R10" s="157">
        <f t="shared" si="8"/>
        <v>7.9668433734939759E-2</v>
      </c>
      <c r="S10" s="176">
        <f t="shared" si="2"/>
        <v>0.92033156626506019</v>
      </c>
      <c r="T10" s="177">
        <f>R10*PRODUCT(S5:S9)*PRODUCT(S11:S19)</f>
        <v>5.4050264178584349E-2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1.6198626315120007E-2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10">
        <f t="shared" si="6"/>
        <v>0.112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1.2659684909177623E-3</v>
      </c>
      <c r="BL10">
        <f>BH44+1</f>
        <v>6</v>
      </c>
      <c r="BM10">
        <v>6</v>
      </c>
      <c r="BN10" s="107">
        <f>$H$31*H45</f>
        <v>2.9687811801890128E-4</v>
      </c>
      <c r="BP10">
        <f>BP7+1</f>
        <v>4</v>
      </c>
      <c r="BQ10">
        <v>0</v>
      </c>
      <c r="BR10" s="107">
        <f>$H$29*H39</f>
        <v>3.3235773294917849E-3</v>
      </c>
    </row>
    <row r="11" spans="1:70" x14ac:dyDescent="0.25">
      <c r="A11" s="6" t="s">
        <v>6</v>
      </c>
      <c r="B11" s="168">
        <v>17.5</v>
      </c>
      <c r="C11" s="169">
        <v>7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>COUNTIF(F11:F18,"RAP")*AI11*AG11</f>
        <v>0.112</v>
      </c>
      <c r="P11" s="196" t="str">
        <f>R3</f>
        <v>0,72</v>
      </c>
      <c r="Q11" s="16">
        <f t="shared" si="1"/>
        <v>8.0640000000000003E-2</v>
      </c>
      <c r="R11" s="157">
        <f t="shared" si="8"/>
        <v>7.9668433734939759E-2</v>
      </c>
      <c r="S11" s="176">
        <f t="shared" si="2"/>
        <v>0.92033156626506019</v>
      </c>
      <c r="T11" s="177">
        <f>R11*PRODUCT(S5:S10)*PRODUCT(S12:S19)</f>
        <v>5.4050264178584342E-2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1.1519769207629076E-2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10">
        <f t="shared" si="6"/>
        <v>0.112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2.8345264791129244E-4</v>
      </c>
      <c r="BL11">
        <f>BH50+1</f>
        <v>7</v>
      </c>
      <c r="BM11">
        <v>7</v>
      </c>
      <c r="BN11" s="107">
        <f>$H$32*H46</f>
        <v>1.701636338937382E-5</v>
      </c>
      <c r="BP11">
        <f>BP8+1</f>
        <v>4</v>
      </c>
      <c r="BQ11">
        <v>1</v>
      </c>
      <c r="BR11" s="107">
        <f>$H$29*H40</f>
        <v>1.2530330076752383E-2</v>
      </c>
    </row>
    <row r="12" spans="1:70" x14ac:dyDescent="0.25">
      <c r="A12" s="6" t="s">
        <v>7</v>
      </c>
      <c r="B12" s="168">
        <v>12</v>
      </c>
      <c r="C12" s="169">
        <v>14.75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10"/>
      <c r="AK12" s="13"/>
      <c r="AM12" s="13">
        <v>0</v>
      </c>
      <c r="BH12">
        <v>0</v>
      </c>
      <c r="BI12">
        <v>9</v>
      </c>
      <c r="BJ12" s="107">
        <f t="shared" si="0"/>
        <v>4.7736559014038535E-5</v>
      </c>
      <c r="BL12">
        <f>BH54+1</f>
        <v>8</v>
      </c>
      <c r="BM12">
        <v>8</v>
      </c>
      <c r="BN12" s="107">
        <f>$H$33*H47</f>
        <v>5.6382715482020407E-7</v>
      </c>
      <c r="BP12">
        <f>BP9+1</f>
        <v>4</v>
      </c>
      <c r="BQ12">
        <v>2</v>
      </c>
      <c r="BR12" s="107">
        <f>$H$29*H41</f>
        <v>2.1785715658706923E-2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245</v>
      </c>
      <c r="K13" s="166"/>
      <c r="L13" s="10"/>
      <c r="M13" s="10"/>
      <c r="O13" s="67">
        <f>AI13*B22/0.5</f>
        <v>0.22920481927710842</v>
      </c>
      <c r="P13" s="196" t="str">
        <f>P2</f>
        <v>0,4</v>
      </c>
      <c r="Q13" s="16">
        <f t="shared" si="1"/>
        <v>9.1681927710843381E-2</v>
      </c>
      <c r="R13" s="157">
        <f t="shared" si="8"/>
        <v>9.0577326172158523E-2</v>
      </c>
      <c r="S13" s="176">
        <f t="shared" si="2"/>
        <v>0.90942267382784148</v>
      </c>
      <c r="T13" s="177">
        <f>R13*PRODUCT(S5:S12)*PRODUCT(S14:S19)</f>
        <v>6.2188427917647844E-2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7.0603742595723917E-3</v>
      </c>
      <c r="W13" s="186" t="s">
        <v>52</v>
      </c>
      <c r="X13" s="15" t="s">
        <v>53</v>
      </c>
      <c r="Y13" s="69">
        <f>AI13*C22/0.5</f>
        <v>0.2347951807228916</v>
      </c>
      <c r="Z13" s="197" t="str">
        <f>Z2</f>
        <v>0,4</v>
      </c>
      <c r="AA13" s="19">
        <f t="shared" si="3"/>
        <v>9.3918072289156648E-2</v>
      </c>
      <c r="AB13" s="157">
        <f t="shared" si="4"/>
        <v>9.5049615328785059E-2</v>
      </c>
      <c r="AC13" s="176">
        <f t="shared" si="5"/>
        <v>0.90495038467121491</v>
      </c>
      <c r="AD13" s="177">
        <f>AB13*PRODUCT(AC5:AC12)*PRODUCT(AC14:AC19)</f>
        <v>6.2946184950581657E-2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1.8258580349525488E-2</v>
      </c>
      <c r="AG13" s="13"/>
      <c r="AI13" s="210">
        <f>(AM13*$AI$2/2)+SUM($AN$5:$AN$19)</f>
        <v>0.23200000000000001</v>
      </c>
      <c r="AK13" s="13"/>
      <c r="AM13" s="13">
        <v>0.22</v>
      </c>
      <c r="BH13">
        <v>0</v>
      </c>
      <c r="BI13">
        <v>10</v>
      </c>
      <c r="BJ13" s="107">
        <f t="shared" si="0"/>
        <v>5.9019004757237671E-6</v>
      </c>
      <c r="BL13">
        <f>BH57+1</f>
        <v>9</v>
      </c>
      <c r="BM13">
        <v>9</v>
      </c>
      <c r="BN13" s="107">
        <f>$H$34*H48</f>
        <v>1.0570078728924254E-8</v>
      </c>
      <c r="BP13">
        <f>BL7+1</f>
        <v>4</v>
      </c>
      <c r="BQ13">
        <v>3</v>
      </c>
      <c r="BR13" s="107">
        <f>$H$29*H42</f>
        <v>2.3150376239793942E-2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0.13865060240963858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8.3190361445783151E-2</v>
      </c>
      <c r="AB14" s="157">
        <f t="shared" si="4"/>
        <v>8.4192654957178148E-2</v>
      </c>
      <c r="AC14" s="176">
        <f t="shared" si="5"/>
        <v>0.91580734504282191</v>
      </c>
      <c r="AD14" s="177">
        <f>AB14*PRODUCT(AC5:AC13)*PRODUCT(AC15:AC19)</f>
        <v>5.5095217439842324E-2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1.0916224701943285E-2</v>
      </c>
      <c r="AG14" s="13"/>
      <c r="AI14" s="210">
        <f>IF(COUNTIF(J6:J18,"CAB")+COUNTIF(F6:F18,"CAB")=0,0,(AM14*$AI$2/2)+SUM($AN$5:$AN$19))</f>
        <v>0.13700000000000001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6.3851716346137691E-2</v>
      </c>
      <c r="BL14">
        <f>BP39+1</f>
        <v>10</v>
      </c>
      <c r="BM14">
        <v>10</v>
      </c>
      <c r="BN14" s="107">
        <f>$H$35*H49</f>
        <v>1.0629346662277362E-10</v>
      </c>
      <c r="BP14">
        <f>BP10+1</f>
        <v>5</v>
      </c>
      <c r="BQ14">
        <v>0</v>
      </c>
      <c r="BR14" s="107">
        <f>$H$30*H39</f>
        <v>1.1266740143922396E-3</v>
      </c>
    </row>
    <row r="15" spans="1:70" x14ac:dyDescent="0.25">
      <c r="A15" s="189" t="s">
        <v>71</v>
      </c>
      <c r="B15" s="170">
        <v>6.25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10"/>
      <c r="AK15" s="13"/>
      <c r="AM15" s="13">
        <v>0</v>
      </c>
      <c r="BH15">
        <v>1</v>
      </c>
      <c r="BI15">
        <v>3</v>
      </c>
      <c r="BJ15" s="107">
        <f t="shared" si="9"/>
        <v>6.7851397683092021E-2</v>
      </c>
      <c r="BP15">
        <f>BP11+1</f>
        <v>5</v>
      </c>
      <c r="BQ15">
        <v>1</v>
      </c>
      <c r="BR15" s="107">
        <f>$H$30*H40</f>
        <v>4.2477113933717852E-3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10"/>
      <c r="AK16" s="13"/>
      <c r="AM16" s="13">
        <v>0</v>
      </c>
      <c r="BH16">
        <v>1</v>
      </c>
      <c r="BI16">
        <v>4</v>
      </c>
      <c r="BJ16" s="107">
        <f t="shared" si="9"/>
        <v>4.9230510883655418E-2</v>
      </c>
      <c r="BP16">
        <f>BP12+1</f>
        <v>5</v>
      </c>
      <c r="BQ16">
        <v>2</v>
      </c>
      <c r="BR16" s="107">
        <f>$H$30*H41</f>
        <v>7.3852350296770407E-3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 t="s">
        <v>21</v>
      </c>
      <c r="K17" s="166"/>
      <c r="L17" s="10"/>
      <c r="M17" s="10"/>
      <c r="O17" s="67">
        <f>(AI17*2)*IF(COUNTBLANK(F14:F15)&lt;&gt;0, (2-COUNTBLANK(F14:F15))/2,1)*AG17</f>
        <v>0.17200000000000001</v>
      </c>
      <c r="P17" s="196" t="str">
        <f>IF(COUNTIF(F14:F18,"CAB")&gt;0,0.95,P3)</f>
        <v>0,6</v>
      </c>
      <c r="Q17" s="16">
        <f t="shared" si="1"/>
        <v>0.1032</v>
      </c>
      <c r="R17" s="157">
        <f t="shared" si="8"/>
        <v>0.10195662650602409</v>
      </c>
      <c r="S17" s="176">
        <f t="shared" si="2"/>
        <v>0.89804337349397589</v>
      </c>
      <c r="T17" s="177">
        <f>R17*PRODUCT(S5:S16)*PRODUCT(S18:S19)</f>
        <v>7.0888209099500041E-2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0.17200000000000001</v>
      </c>
      <c r="Z17" s="197">
        <f>IF(COUNTIF(J14:J18,"CAB")&gt;0,0.95,Z3)</f>
        <v>0.95</v>
      </c>
      <c r="AA17" s="19">
        <f t="shared" si="3"/>
        <v>0.16340000000000002</v>
      </c>
      <c r="AB17" s="157">
        <f t="shared" si="4"/>
        <v>0.16536867469879521</v>
      </c>
      <c r="AC17" s="176">
        <f t="shared" si="5"/>
        <v>0.83463132530120476</v>
      </c>
      <c r="AD17" s="177">
        <f>AB17*PRODUCT(AC5:AC16)*PRODUCT(AC18:AC19)</f>
        <v>0.11874145989649905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10">
        <f t="shared" si="6"/>
        <v>0.17200000000000001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2.57996549486928E-2</v>
      </c>
      <c r="BP17">
        <f>BP13+1</f>
        <v>5</v>
      </c>
      <c r="BQ17">
        <v>3</v>
      </c>
      <c r="BR17" s="107">
        <f>$H$30*H42</f>
        <v>7.8478472883216337E-3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10"/>
      <c r="AK18" s="203"/>
      <c r="AM18" s="13">
        <v>0</v>
      </c>
      <c r="BH18">
        <v>1</v>
      </c>
      <c r="BI18">
        <v>6</v>
      </c>
      <c r="BJ18" s="107">
        <f t="shared" si="9"/>
        <v>1.0069336641840327E-2</v>
      </c>
      <c r="BP18">
        <f>BL8+1</f>
        <v>5</v>
      </c>
      <c r="BQ18">
        <v>4</v>
      </c>
      <c r="BR18" s="107">
        <f>$H$30*H43</f>
        <v>5.6941130843832241E-3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10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2.9716638660739511E-3</v>
      </c>
      <c r="BP19">
        <f>BP15+1</f>
        <v>6</v>
      </c>
      <c r="BQ19">
        <v>1</v>
      </c>
      <c r="BR19" s="107">
        <f>$H$31*H40</f>
        <v>1.0827808935321937E-3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0.62438988638860071</v>
      </c>
      <c r="T20" s="181">
        <f>SUM(T5:T19)</f>
        <v>0.30701683938483498</v>
      </c>
      <c r="U20" s="181">
        <f>SUM(U5:U19)</f>
        <v>6.1734552171456396E-2</v>
      </c>
      <c r="V20" s="181">
        <f>1-S20-T20-U20</f>
        <v>6.8587220551079089E-3</v>
      </c>
      <c r="W20" s="21"/>
      <c r="X20" s="22"/>
      <c r="Y20" s="22"/>
      <c r="Z20" s="22"/>
      <c r="AA20" s="22"/>
      <c r="AB20" s="23"/>
      <c r="AC20" s="184">
        <f>PRODUCT(AC5:AC19)</f>
        <v>0.59929936683671614</v>
      </c>
      <c r="AD20" s="181">
        <f>SUM(AD5:AD19)</f>
        <v>0.32505687260778882</v>
      </c>
      <c r="AE20" s="181">
        <f>SUM(AE5:AE19)</f>
        <v>6.8127449089396955E-2</v>
      </c>
      <c r="AF20" s="181">
        <f>1-AC20-AD20-AE20</f>
        <v>7.5163114660980884E-3</v>
      </c>
      <c r="BH20">
        <v>1</v>
      </c>
      <c r="BI20">
        <v>8</v>
      </c>
      <c r="BJ20" s="107">
        <f t="shared" si="9"/>
        <v>6.6536094506611818E-4</v>
      </c>
      <c r="BP20">
        <f>BP16+1</f>
        <v>6</v>
      </c>
      <c r="BQ20">
        <v>2</v>
      </c>
      <c r="BR20" s="107">
        <f>$H$31*H41</f>
        <v>1.8825646669067503E-3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1.120541376269847E-4</v>
      </c>
      <c r="BP21">
        <f>BP17+1</f>
        <v>6</v>
      </c>
      <c r="BQ21">
        <v>3</v>
      </c>
      <c r="BR21" s="107">
        <f>$H$31*H42</f>
        <v>2.0004888073169875E-3</v>
      </c>
    </row>
    <row r="22" spans="1:70" x14ac:dyDescent="0.25">
      <c r="A22" s="26" t="s">
        <v>77</v>
      </c>
      <c r="B22" s="62">
        <f>(B6)/((B6)+(C6))</f>
        <v>0.49397590361445781</v>
      </c>
      <c r="C22" s="63">
        <f>1-B22</f>
        <v>0.50602409638554224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1.3853792184162889E-5</v>
      </c>
      <c r="BP22">
        <f>BP18+1</f>
        <v>6</v>
      </c>
      <c r="BQ22">
        <v>4</v>
      </c>
      <c r="BR22" s="107">
        <f>$H$31*H43</f>
        <v>1.4514820529009005E-3</v>
      </c>
    </row>
    <row r="23" spans="1:70" ht="15.75" thickBot="1" x14ac:dyDescent="0.3">
      <c r="A23" s="40" t="s">
        <v>67</v>
      </c>
      <c r="B23" s="56">
        <f>((B22^2.8)/((B22^2.8)+(C22^2.8)))*B21</f>
        <v>2.4156905528228418</v>
      </c>
      <c r="C23" s="57">
        <f>B21-B23</f>
        <v>2.5843094471771582</v>
      </c>
      <c r="D23" s="151">
        <f>SUM(D25:D30)</f>
        <v>1</v>
      </c>
      <c r="E23" s="151">
        <f>SUM(E25:E30)</f>
        <v>1</v>
      </c>
      <c r="H23" s="59">
        <f>SUM(H25:H35)</f>
        <v>0.99999988063836054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0.99923219167102129</v>
      </c>
      <c r="Y23" s="80">
        <f>SUM(Y25:Y35)</f>
        <v>1.3470734297514211E-3</v>
      </c>
      <c r="Z23" s="81"/>
      <c r="AA23" s="80">
        <f>SUM(AA25:AA35)</f>
        <v>1.2605345347089413E-2</v>
      </c>
      <c r="AB23" s="81"/>
      <c r="AC23" s="80">
        <f>SUM(AC25:AC35)</f>
        <v>5.309260666976838E-2</v>
      </c>
      <c r="AD23" s="81"/>
      <c r="AE23" s="80">
        <f>SUM(AE25:AE35)</f>
        <v>0.13255967569058957</v>
      </c>
      <c r="AF23" s="81"/>
      <c r="AG23" s="80">
        <f>SUM(AG25:AG35)</f>
        <v>0.21730037041924075</v>
      </c>
      <c r="AH23" s="81"/>
      <c r="AI23" s="80">
        <f>SUM(AI25:AI35)</f>
        <v>0.24443057589429884</v>
      </c>
      <c r="AJ23" s="81"/>
      <c r="AK23" s="80">
        <f>SUM(AK25:AK35)</f>
        <v>0.19114861431237068</v>
      </c>
      <c r="AL23" s="81"/>
      <c r="AM23" s="80">
        <f>SUM(AM25:AM35)</f>
        <v>0.1027002437024422</v>
      </c>
      <c r="AN23" s="81"/>
      <c r="AO23" s="80">
        <f>SUM(AO25:AO35)</f>
        <v>3.6350607202548353E-2</v>
      </c>
      <c r="AP23" s="81"/>
      <c r="AQ23" s="80">
        <f>SUM(AQ25:AQ35)</f>
        <v>7.6970790029217001E-3</v>
      </c>
      <c r="AR23" s="81"/>
      <c r="AS23" s="80">
        <f>SUM(AS25:AS35)</f>
        <v>7.6780832897871442E-4</v>
      </c>
      <c r="BH23">
        <f t="shared" ref="BH23:BH30" si="10">BH15+1</f>
        <v>2</v>
      </c>
      <c r="BI23">
        <v>3</v>
      </c>
      <c r="BJ23" s="107">
        <f t="shared" ref="BJ23:BJ30" si="11">$H$27*H42</f>
        <v>7.4039538012311959E-2</v>
      </c>
      <c r="BP23">
        <f>BL9+1</f>
        <v>6</v>
      </c>
      <c r="BQ23">
        <v>5</v>
      </c>
      <c r="BR23" s="107">
        <f>$H$31*H44</f>
        <v>7.6066113182457723E-4</v>
      </c>
    </row>
    <row r="24" spans="1:70" ht="15.75" thickBot="1" x14ac:dyDescent="0.3">
      <c r="A24" s="26" t="s">
        <v>76</v>
      </c>
      <c r="B24" s="64">
        <f>B23/B21</f>
        <v>0.48313811056456835</v>
      </c>
      <c r="C24" s="65">
        <f>C23/B21</f>
        <v>0.51686188943543165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5.372040085246832E-2</v>
      </c>
      <c r="BP24">
        <f>BH49+1</f>
        <v>7</v>
      </c>
      <c r="BQ24">
        <v>0</v>
      </c>
      <c r="BR24" s="107">
        <f t="shared" ref="BR24:BR30" si="12">$H$32*H39</f>
        <v>5.5779369451390361E-5</v>
      </c>
    </row>
    <row r="25" spans="1:70" x14ac:dyDescent="0.25">
      <c r="A25" s="26" t="s">
        <v>69</v>
      </c>
      <c r="B25" s="117">
        <f>1/(1+EXP(-3.1416*4*((B11/(B11+C8))-(3.1416/6))))</f>
        <v>0.40490639040144727</v>
      </c>
      <c r="C25" s="118">
        <f>1/(1+EXP(-3.1416*4*((C11/(C11+B8))-(3.1416/6))))</f>
        <v>0.17462355450482875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0.11375962469655877</v>
      </c>
      <c r="I25" s="97">
        <v>0</v>
      </c>
      <c r="J25" s="98">
        <f t="shared" ref="J25:J35" si="13">Y25+AA25+AC25+AE25+AG25+AI25+AK25+AM25+AO25+AQ25+AS25</f>
        <v>0.18219325324843322</v>
      </c>
      <c r="K25" s="97">
        <v>0</v>
      </c>
      <c r="L25" s="98">
        <f>S20</f>
        <v>0.62438988638860071</v>
      </c>
      <c r="M25" s="84">
        <v>0</v>
      </c>
      <c r="N25" s="71">
        <f>(1-$B$24)^$B$21</f>
        <v>3.6886933625985933E-2</v>
      </c>
      <c r="O25" s="70">
        <v>0</v>
      </c>
      <c r="P25" s="71">
        <f>N25</f>
        <v>3.6886933625985933E-2</v>
      </c>
      <c r="Q25" s="12">
        <v>0</v>
      </c>
      <c r="R25" s="73">
        <f>P25*N25</f>
        <v>1.3606458723278917E-3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1.3470734297514211E-3</v>
      </c>
      <c r="W25" s="136">
        <f>B31</f>
        <v>0.32348677288305866</v>
      </c>
      <c r="X25" s="12">
        <v>0</v>
      </c>
      <c r="Y25" s="79">
        <f>V25</f>
        <v>1.3470734297514211E-3</v>
      </c>
      <c r="Z25" s="12">
        <v>0</v>
      </c>
      <c r="AA25" s="78">
        <f>((1-W25)^Z26)*V26</f>
        <v>8.527682859682981E-3</v>
      </c>
      <c r="AB25" s="12">
        <v>0</v>
      </c>
      <c r="AC25" s="79">
        <f>(((1-$W$25)^AB27))*V27</f>
        <v>2.4298901070717905E-2</v>
      </c>
      <c r="AD25" s="12">
        <v>0</v>
      </c>
      <c r="AE25" s="79">
        <f>(((1-$W$25)^AB28))*V28</f>
        <v>4.1043114557306928E-2</v>
      </c>
      <c r="AF25" s="12">
        <v>0</v>
      </c>
      <c r="AG25" s="79">
        <f>(((1-$W$25)^AB29))*V29</f>
        <v>4.5516162140936352E-2</v>
      </c>
      <c r="AH25" s="12">
        <v>0</v>
      </c>
      <c r="AI25" s="79">
        <f>(((1-$W$25)^AB30))*V30</f>
        <v>3.4636738635176599E-2</v>
      </c>
      <c r="AJ25" s="12">
        <v>0</v>
      </c>
      <c r="AK25" s="79">
        <f>(((1-$W$25)^AB31))*V31</f>
        <v>1.8324363903169574E-2</v>
      </c>
      <c r="AL25" s="12">
        <v>0</v>
      </c>
      <c r="AM25" s="79">
        <f>(((1-$W$25)^AB32))*V32</f>
        <v>6.6604798726318066E-3</v>
      </c>
      <c r="AN25" s="12">
        <v>0</v>
      </c>
      <c r="AO25" s="79">
        <f>(((1-$W$25)^AB33))*V33</f>
        <v>1.5948579519128965E-3</v>
      </c>
      <c r="AP25" s="12">
        <v>0</v>
      </c>
      <c r="AQ25" s="79">
        <f>(((1-$W$25)^AB34))*V34</f>
        <v>2.2846126378624204E-4</v>
      </c>
      <c r="AR25" s="12">
        <v>0</v>
      </c>
      <c r="AS25" s="79">
        <f>(((1-$W$25)^AB35))*V35</f>
        <v>1.5417563360539206E-5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2.8152618789078782E-2</v>
      </c>
      <c r="BP25">
        <f>BP19+1</f>
        <v>7</v>
      </c>
      <c r="BQ25">
        <v>1</v>
      </c>
      <c r="BR25" s="107">
        <f t="shared" si="12"/>
        <v>2.1029566680968881E-4</v>
      </c>
    </row>
    <row r="26" spans="1:70" x14ac:dyDescent="0.25">
      <c r="A26" s="40" t="s">
        <v>24</v>
      </c>
      <c r="B26" s="119">
        <f>1/(1+EXP(-3.1416*4*((B10/(B10+C9))-(3.1416/6))))</f>
        <v>0.1515922457508336</v>
      </c>
      <c r="C26" s="120">
        <f>1/(1+EXP(-3.1416*4*((C10/(C10+B9))-(3.1416/6))))</f>
        <v>0.56822993442447101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0.2670330016537969</v>
      </c>
      <c r="I26" s="93">
        <v>1</v>
      </c>
      <c r="J26" s="86">
        <f t="shared" si="13"/>
        <v>0.338084599840623</v>
      </c>
      <c r="K26" s="93">
        <v>1</v>
      </c>
      <c r="L26" s="86">
        <f>T20</f>
        <v>0.30701683938483498</v>
      </c>
      <c r="M26" s="85">
        <v>1</v>
      </c>
      <c r="N26" s="71">
        <f>(($B$24)^M26)*((1-($B$24))^($B$21-M26))*HLOOKUP($B$21,$AV$24:$BF$34,M26+1)</f>
        <v>0.17240082680545371</v>
      </c>
      <c r="O26" s="72">
        <v>1</v>
      </c>
      <c r="P26" s="71">
        <f t="shared" ref="P26:P30" si="14">N26</f>
        <v>0.17240082680545371</v>
      </c>
      <c r="Q26" s="28">
        <v>1</v>
      </c>
      <c r="R26" s="37">
        <f>N26*P25+P26*N25</f>
        <v>1.2718675710875735E-2</v>
      </c>
      <c r="S26" s="72">
        <v>1</v>
      </c>
      <c r="T26" s="135">
        <f t="shared" ref="T26:T35" si="15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1.2605345347089413E-2</v>
      </c>
      <c r="W26" s="137"/>
      <c r="X26" s="28">
        <v>1</v>
      </c>
      <c r="Y26" s="73"/>
      <c r="Z26" s="28">
        <v>1</v>
      </c>
      <c r="AA26" s="79">
        <f>(1-((1-W25)^Z26))*V26</f>
        <v>4.0776624874064322E-3</v>
      </c>
      <c r="AB26" s="28">
        <v>1</v>
      </c>
      <c r="AC26" s="79">
        <f>((($W$25)^M26)*((1-($W$25))^($U$27-M26))*HLOOKUP($U$27,$AV$24:$BF$34,M26+1))*V27</f>
        <v>2.3237899206995098E-2</v>
      </c>
      <c r="AD26" s="28">
        <v>1</v>
      </c>
      <c r="AE26" s="79">
        <f>((($W$25)^M26)*((1-($W$25))^($U$28-M26))*HLOOKUP($U$28,$AV$24:$BF$34,M26+1))*V28</f>
        <v>5.8876474893747512E-2</v>
      </c>
      <c r="AF26" s="28">
        <v>1</v>
      </c>
      <c r="AG26" s="79">
        <f>((($W$25)^M26)*((1-($W$25))^($U$29-M26))*HLOOKUP($U$29,$AV$24:$BF$34,M26+1))*V29</f>
        <v>8.7057434000168604E-2</v>
      </c>
      <c r="AH26" s="28">
        <v>1</v>
      </c>
      <c r="AI26" s="79">
        <f>((($W$25)^M26)*((1-($W$25))^($U$30-M26))*HLOOKUP($U$30,$AV$24:$BF$34,M26+1))*V30</f>
        <v>8.2810848000983955E-2</v>
      </c>
      <c r="AJ26" s="28">
        <v>1</v>
      </c>
      <c r="AK26" s="79">
        <f>((($W$25)^M26)*((1-($W$25))^($U$31-M26))*HLOOKUP($U$31,$AV$24:$BF$34,M26+1))*V31</f>
        <v>5.2572713495339957E-2</v>
      </c>
      <c r="AL26" s="28">
        <v>1</v>
      </c>
      <c r="AM26" s="79">
        <f>((($W$25)^Q26)*((1-($W$25))^($U$32-Q26))*HLOOKUP($U$32,$AV$24:$BF$34,Q26+1))*V32</f>
        <v>2.229378432588212E-2</v>
      </c>
      <c r="AN26" s="28">
        <v>1</v>
      </c>
      <c r="AO26" s="79">
        <f>((($W$25)^Q26)*((1-($W$25))^($U$33-Q26))*HLOOKUP($U$33,$AV$24:$BF$34,Q26+1))*V33</f>
        <v>6.1008764516825237E-3</v>
      </c>
      <c r="AP26" s="28">
        <v>1</v>
      </c>
      <c r="AQ26" s="79">
        <f>((($W$25)^Q26)*((1-($W$25))^($U$34-Q26))*HLOOKUP($U$34,$AV$24:$BF$34,Q26+1))*V34</f>
        <v>9.8318517051551244E-4</v>
      </c>
      <c r="AR26" s="28">
        <v>1</v>
      </c>
      <c r="AS26" s="79">
        <f>((($W$25)^Q26)*((1-($W$25))^($U$35-Q26))*HLOOKUP($U$35,$AV$24:$BF$34,Q26+1))*V35</f>
        <v>7.3721807901308035E-5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1.0987673924336595E-2</v>
      </c>
      <c r="BP26">
        <f>BP20+1</f>
        <v>7</v>
      </c>
      <c r="BQ26">
        <v>2</v>
      </c>
      <c r="BR26" s="107">
        <f t="shared" si="12"/>
        <v>3.6562816568368254E-4</v>
      </c>
    </row>
    <row r="27" spans="1:70" x14ac:dyDescent="0.25">
      <c r="A27" s="26" t="s">
        <v>25</v>
      </c>
      <c r="B27" s="119">
        <f>1/(1+EXP(-3.1416*4*((B12/(B12+C7))-(3.1416/6))))</f>
        <v>0.23251449252298675</v>
      </c>
      <c r="C27" s="120">
        <f>1/(1+EXP(-3.1416*4*((C12/(C12+B7))-(3.1416/6))))</f>
        <v>0.60222356498372975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0.29138677686244363</v>
      </c>
      <c r="I27" s="93">
        <v>2</v>
      </c>
      <c r="J27" s="86">
        <f t="shared" si="13"/>
        <v>0.28242208357453541</v>
      </c>
      <c r="K27" s="93">
        <v>2</v>
      </c>
      <c r="L27" s="86">
        <f>U20</f>
        <v>6.1734552171456396E-2</v>
      </c>
      <c r="M27" s="85">
        <v>2</v>
      </c>
      <c r="N27" s="71">
        <f>(($B$24)^M27)*((1-($B$24))^($B$21-M27))*HLOOKUP($B$21,$AV$24:$BF$34,M27+1)</f>
        <v>0.32230431929712483</v>
      </c>
      <c r="O27" s="72">
        <v>2</v>
      </c>
      <c r="P27" s="71">
        <f t="shared" si="14"/>
        <v>0.32230431929712483</v>
      </c>
      <c r="Q27" s="28">
        <v>2</v>
      </c>
      <c r="R27" s="37">
        <f>P25*N27+P26*N26+P27*N25</f>
        <v>5.3499681149767289E-2</v>
      </c>
      <c r="S27" s="72">
        <v>2</v>
      </c>
      <c r="T27" s="135">
        <f t="shared" si="15"/>
        <v>2.5000000000000001E-5</v>
      </c>
      <c r="U27" s="93">
        <v>2</v>
      </c>
      <c r="V27" s="86">
        <f>R27*T25+T26*R26+R25*T27</f>
        <v>5.309260666976838E-2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5.5558063920553803E-3</v>
      </c>
      <c r="AD27" s="28">
        <v>2</v>
      </c>
      <c r="AE27" s="79">
        <f>((($W$25)^M27)*((1-($W$25))^($U$28-M27))*HLOOKUP($U$28,$AV$24:$BF$34,M27+1))*V28</f>
        <v>2.8152828501631907E-2</v>
      </c>
      <c r="AF27" s="28">
        <v>2</v>
      </c>
      <c r="AG27" s="79">
        <f>((($W$25)^M27)*((1-($W$25))^($U$29-M27))*HLOOKUP($U$29,$AV$24:$BF$34,M27+1))*V29</f>
        <v>6.2442079292840715E-2</v>
      </c>
      <c r="AH27" s="28">
        <v>2</v>
      </c>
      <c r="AI27" s="79">
        <f>((($W$25)^M27)*((1-($W$25))^($U$30-M27))*HLOOKUP($U$30,$AV$24:$BF$34,M27+1))*V30</f>
        <v>7.9194945215512264E-2</v>
      </c>
      <c r="AJ27" s="28">
        <v>2</v>
      </c>
      <c r="AK27" s="79">
        <f>((($W$25)^M27)*((1-($W$25))^($U$31-M27))*HLOOKUP($U$31,$AV$24:$BF$34,M27+1))*V31</f>
        <v>6.284643355307748E-2</v>
      </c>
      <c r="AL27" s="28">
        <v>2</v>
      </c>
      <c r="AM27" s="79">
        <f>((($W$25)^Q27)*((1-($W$25))^($U$32-Q27))*HLOOKUP($U$32,$AV$24:$BF$34,Q27+1))*V32</f>
        <v>3.1980502632584486E-2</v>
      </c>
      <c r="AN27" s="28">
        <v>2</v>
      </c>
      <c r="AO27" s="79">
        <f>((($W$25)^Q27)*((1-($W$25))^($U$33-Q27))*HLOOKUP($U$33,$AV$24:$BF$34,Q27+1))*V33</f>
        <v>1.0210347183206774E-2</v>
      </c>
      <c r="AP27" s="28">
        <v>2</v>
      </c>
      <c r="AQ27" s="79">
        <f>((($W$25)^Q27)*((1-($W$25))^($U$34-Q27))*HLOOKUP($U$34,$AV$24:$BF$34,Q27+1))*V34</f>
        <v>1.8805095611327382E-3</v>
      </c>
      <c r="AR27" s="28">
        <v>2</v>
      </c>
      <c r="AS27" s="79">
        <f>((($W$25)^Q27)*((1-($W$25))^($U$35-Q27))*HLOOKUP($U$35,$AV$24:$BF$34,Q27+1))*V35</f>
        <v>1.5863124249364388E-4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3.2426836776396056E-3</v>
      </c>
      <c r="BP27">
        <f>BP21+1</f>
        <v>7</v>
      </c>
      <c r="BQ27">
        <v>3</v>
      </c>
      <c r="BR27" s="107">
        <f t="shared" si="12"/>
        <v>3.8853117024228008E-4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0.19616957598704429</v>
      </c>
      <c r="I28" s="93">
        <v>3</v>
      </c>
      <c r="J28" s="86">
        <f t="shared" si="13"/>
        <v>0.1398807510626128</v>
      </c>
      <c r="K28" s="93">
        <v>3</v>
      </c>
      <c r="L28" s="86">
        <f>V20</f>
        <v>6.8587220551079089E-3</v>
      </c>
      <c r="M28" s="85">
        <v>3</v>
      </c>
      <c r="N28" s="71">
        <f>(($B$24)^M28)*((1-($B$24))^($B$21-M28))*HLOOKUP($B$21,$AV$24:$BF$34,M28+1)</f>
        <v>0.30127487252368806</v>
      </c>
      <c r="O28" s="72">
        <v>3</v>
      </c>
      <c r="P28" s="71">
        <f t="shared" si="14"/>
        <v>0.30127487252368806</v>
      </c>
      <c r="Q28" s="28">
        <v>3</v>
      </c>
      <c r="R28" s="37">
        <f>P25*N28+P26*N27+P27*N26+P28*N25</f>
        <v>0.13335727471150385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0.13255967569058955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4.4872577379032105E-3</v>
      </c>
      <c r="AF28" s="28">
        <v>3</v>
      </c>
      <c r="AG28" s="79">
        <f>((($W$25)^M28)*((1-($W$25))^($U$29-M28))*HLOOKUP($U$29,$AV$24:$BF$34,M28+1))*V29</f>
        <v>1.9905190234176553E-2</v>
      </c>
      <c r="AH28" s="28">
        <v>3</v>
      </c>
      <c r="AI28" s="79">
        <f>((($W$25)^M28)*((1-($W$25))^($U$30-M28))*HLOOKUP($U$30,$AV$24:$BF$34,M28+1))*V30</f>
        <v>3.7868464694465323E-2</v>
      </c>
      <c r="AJ28" s="28">
        <v>3</v>
      </c>
      <c r="AK28" s="79">
        <f>((($W$25)^M28)*((1-($W$25))^($U$31-M28))*HLOOKUP($U$31,$AV$24:$BF$34,M28+1))*V31</f>
        <v>4.0068179329735207E-2</v>
      </c>
      <c r="AL28" s="28">
        <v>3</v>
      </c>
      <c r="AM28" s="79">
        <f>((($W$25)^Q28)*((1-($W$25))^($U$32-Q28))*HLOOKUP($U$32,$AV$24:$BF$34,Q28+1))*V32</f>
        <v>2.54867389064975E-2</v>
      </c>
      <c r="AN28" s="28">
        <v>3</v>
      </c>
      <c r="AO28" s="79">
        <f>((($W$25)^Q28)*((1-($W$25))^($U$33-Q28))*HLOOKUP($U$33,$AV$24:$BF$34,Q28+1))*V33</f>
        <v>9.7645164290047215E-3</v>
      </c>
      <c r="AP28" s="28">
        <v>3</v>
      </c>
      <c r="AQ28" s="79">
        <f>((($W$25)^Q28)*((1-($W$25))^($U$34-Q28))*HLOOKUP($U$34,$AV$24:$BF$34,Q28+1))*V34</f>
        <v>2.0981308344322487E-3</v>
      </c>
      <c r="AR28" s="28">
        <v>3</v>
      </c>
      <c r="AS28" s="79">
        <f>((($W$25)^Q28)*((1-($W$25))^($U$35-Q28))*HLOOKUP($U$35,$AV$24:$BF$34,Q28+1))*V35</f>
        <v>2.0227289639804201E-4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7.2604277386030308E-4</v>
      </c>
      <c r="BP28">
        <f>BP22+1</f>
        <v>7</v>
      </c>
      <c r="BQ28">
        <v>4</v>
      </c>
      <c r="BR28" s="107">
        <f t="shared" si="12"/>
        <v>2.8190411190333336E-4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9.1109611118112541E-2</v>
      </c>
      <c r="I29" s="93">
        <v>4</v>
      </c>
      <c r="J29" s="86">
        <f t="shared" si="13"/>
        <v>4.5500153832069082E-2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0.14080876888666352</v>
      </c>
      <c r="O29" s="72">
        <v>4</v>
      </c>
      <c r="P29" s="71">
        <f t="shared" si="14"/>
        <v>0.14080876888666352</v>
      </c>
      <c r="Q29" s="28">
        <v>4</v>
      </c>
      <c r="R29" s="37">
        <f>P25*N29+P26*N28+P27*N27+P28*N26+P29*N25</f>
        <v>0.21814815589892428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0.21730037041924072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2.379504751118523E-3</v>
      </c>
      <c r="AH29" s="28">
        <v>4</v>
      </c>
      <c r="AI29" s="79">
        <f>((($W$25)^M29)*((1-($W$25))^($U$30-M29))*HLOOKUP($U$30,$AV$24:$BF$34,M29+1))*V30</f>
        <v>9.053738306236481E-3</v>
      </c>
      <c r="AJ29" s="28">
        <v>4</v>
      </c>
      <c r="AK29" s="79">
        <f>((($W$25)^M29)*((1-($W$25))^($U$31-M29))*HLOOKUP($U$31,$AV$24:$BF$34,M29+1))*V31</f>
        <v>1.4369481822897748E-2</v>
      </c>
      <c r="AL29" s="28">
        <v>4</v>
      </c>
      <c r="AM29" s="79">
        <f>((($W$25)^Q29)*((1-($W$25))^($U$32-Q29))*HLOOKUP($U$32,$AV$24:$BF$34,Q29+1))*V32</f>
        <v>1.2186935287742442E-2</v>
      </c>
      <c r="AN29" s="28">
        <v>4</v>
      </c>
      <c r="AO29" s="79">
        <f>((($W$25)^Q29)*((1-($W$25))^($U$33-Q29))*HLOOKUP($U$33,$AV$24:$BF$34,Q29+1))*V33</f>
        <v>5.8363454360005011E-3</v>
      </c>
      <c r="AP29" s="28">
        <v>4</v>
      </c>
      <c r="AQ29" s="79">
        <f>((($W$25)^Q29)*((1-($W$25))^($U$34-Q29))*HLOOKUP($U$34,$AV$24:$BF$34,Q29+1))*V34</f>
        <v>1.5048875886936753E-3</v>
      </c>
      <c r="AR29" s="28">
        <v>4</v>
      </c>
      <c r="AS29" s="79">
        <f>((($W$25)^Q29)*((1-($W$25))^($U$35-Q29))*HLOOKUP($U$35,$AV$24:$BF$34,Q29+1))*V35</f>
        <v>1.6926063937971187E-4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1.2227362833437064E-4</v>
      </c>
      <c r="BP29">
        <f>BP23+1</f>
        <v>7</v>
      </c>
      <c r="BQ29">
        <v>5</v>
      </c>
      <c r="BR29" s="107">
        <f t="shared" si="12"/>
        <v>1.4773417308042473E-4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3.0885645535395509E-2</v>
      </c>
      <c r="I30" s="93">
        <v>5</v>
      </c>
      <c r="J30" s="86">
        <f t="shared" si="13"/>
        <v>1.0160001234680662E-2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2.6324278861084092E-2</v>
      </c>
      <c r="O30" s="72">
        <v>5</v>
      </c>
      <c r="P30" s="71">
        <f t="shared" si="14"/>
        <v>2.6324278861084092E-2</v>
      </c>
      <c r="Q30" s="28">
        <v>5</v>
      </c>
      <c r="R30" s="37">
        <f>P25*N30+P26*N29+P27*N28+P28*N27+P29*N26+P30*N25</f>
        <v>0.24469752562938984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0.24443057589429878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8.6584104192419741E-4</v>
      </c>
      <c r="AJ30" s="28">
        <v>5</v>
      </c>
      <c r="AK30" s="79">
        <f>((($W$25)^M30)*((1-($W$25))^($U$31-M30))*HLOOKUP($U$31,$AV$24:$BF$34,M30+1))*V31</f>
        <v>2.7484088213325991E-3</v>
      </c>
      <c r="AL30" s="28">
        <v>5</v>
      </c>
      <c r="AM30" s="79">
        <f>((($W$25)^Q30)*((1-($W$25))^($U$32-Q30))*HLOOKUP($U$32,$AV$24:$BF$34,Q30+1))*V32</f>
        <v>3.4964392797171497E-3</v>
      </c>
      <c r="AN30" s="28">
        <v>5</v>
      </c>
      <c r="AO30" s="79">
        <f>((($W$25)^Q30)*((1-($W$25))^($U$33-Q30))*HLOOKUP($U$33,$AV$24:$BF$34,Q30+1))*V33</f>
        <v>2.2326014922942109E-3</v>
      </c>
      <c r="AP30" s="28">
        <v>5</v>
      </c>
      <c r="AQ30" s="79">
        <f>((($W$25)^Q30)*((1-($W$25))^($U$34-Q30))*HLOOKUP($U$34,$AV$24:$BF$34,Q30+1))*V34</f>
        <v>7.1958863493756201E-4</v>
      </c>
      <c r="AR30" s="28">
        <v>5</v>
      </c>
      <c r="AS30" s="79">
        <f>((($W$25)^Q30)*((1-($W$25))^($U$35-Q30))*HLOOKUP($U$35,$AV$24:$BF$34,Q30+1))*V35</f>
        <v>9.7121964474941163E-5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1.5117276991474578E-5</v>
      </c>
      <c r="BP30">
        <f>BL10+1</f>
        <v>7</v>
      </c>
      <c r="BQ30">
        <v>6</v>
      </c>
      <c r="BR30" s="107">
        <f t="shared" si="12"/>
        <v>5.7659109209368468E-5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0.32348677288305866</v>
      </c>
      <c r="C31" s="61">
        <f>(C25*E25)+(C26*E26)+(C27*E27)+(C28*E28)+(C29*E29)+(C30*E30)/(C25+C26+C27+C28+C29+C30)</f>
        <v>0.47132046158431207</v>
      </c>
      <c r="G31" s="87">
        <v>6</v>
      </c>
      <c r="H31" s="128">
        <f>J31*L25+J30*L26+J29*L27+J28*L28</f>
        <v>7.8730365067453349E-3</v>
      </c>
      <c r="I31" s="93">
        <v>6</v>
      </c>
      <c r="J31" s="86">
        <f t="shared" si="13"/>
        <v>1.5781969696431111E-3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0.19060975250974546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0.19114861431237068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2.1903338681815329E-4</v>
      </c>
      <c r="AL31" s="28">
        <v>6</v>
      </c>
      <c r="AM31" s="79">
        <f>((($W$25)^Q31)*((1-($W$25))^($U$32-Q31))*HLOOKUP($U$32,$AV$24:$BF$34,Q31+1))*V32</f>
        <v>5.5729477455915516E-4</v>
      </c>
      <c r="AN31" s="28">
        <v>6</v>
      </c>
      <c r="AO31" s="79">
        <f>((($W$25)^Q31)*((1-($W$25))^($U$33-Q31))*HLOOKUP($U$33,$AV$24:$BF$34,Q31+1))*V33</f>
        <v>5.3377895873077559E-4</v>
      </c>
      <c r="AP31" s="28">
        <v>6</v>
      </c>
      <c r="AQ31" s="79">
        <f>((($W$25)^Q31)*((1-($W$25))^($U$34-Q31))*HLOOKUP($U$34,$AV$24:$BF$34,Q31+1))*V34</f>
        <v>2.2938936100460477E-4</v>
      </c>
      <c r="AR31" s="28">
        <v>6</v>
      </c>
      <c r="AS31" s="79">
        <f>((($W$25)^Q31)*((1-($W$25))^($U$35-Q31))*HLOOKUP($U$35,$AV$24:$BF$34,Q31+1))*V35</f>
        <v>3.8700488530422278E-5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3.6166048338074151E-2</v>
      </c>
      <c r="BP31">
        <f t="shared" ref="BP31:BP37" si="19">BP24+1</f>
        <v>8</v>
      </c>
      <c r="BQ31">
        <v>0</v>
      </c>
      <c r="BR31" s="107">
        <f t="shared" ref="BR31:BR38" si="20">$H$33*H39</f>
        <v>8.2545844608396338E-6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1.5290863293699283E-3</v>
      </c>
      <c r="I32" s="93">
        <v>7</v>
      </c>
      <c r="J32" s="86">
        <f t="shared" si="13"/>
        <v>1.6857615927910434E-4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0.10181314535171281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0.10270024370244218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3.8068622827547514E-5</v>
      </c>
      <c r="AN32" s="28">
        <v>7</v>
      </c>
      <c r="AO32" s="79">
        <f>((($W$25)^Q32)*((1-($W$25))^($U$33-Q32))*HLOOKUP($U$33,$AV$24:$BF$34,Q32+1))*V33</f>
        <v>7.2924530359277635E-5</v>
      </c>
      <c r="AP32" s="28">
        <v>7</v>
      </c>
      <c r="AQ32" s="79">
        <f>((($W$25)^Q32)*((1-($W$25))^($U$34-Q32))*HLOOKUP($U$34,$AV$24:$BF$34,Q32+1))*V34</f>
        <v>4.7008535500683226E-5</v>
      </c>
      <c r="AR32" s="28">
        <v>7</v>
      </c>
      <c r="AS32" s="79">
        <f>((($W$25)^Q32)*((1-($W$25))^($U$35-Q32))*HLOOKUP($U$35,$AV$24:$BF$34,Q32+1))*V35</f>
        <v>1.0574470591595979E-5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1.8953115684400473E-2</v>
      </c>
      <c r="BP32">
        <f t="shared" si="19"/>
        <v>8</v>
      </c>
      <c r="BQ32">
        <v>1</v>
      </c>
      <c r="BR32" s="107">
        <f t="shared" si="20"/>
        <v>3.1120885024380591E-5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2.2628388197716906E-4</v>
      </c>
      <c r="I33" s="93">
        <v>8</v>
      </c>
      <c r="J33" s="86">
        <f t="shared" si="13"/>
        <v>1.1874399015416901E-5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3.5688796911680074E-2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3.6350607202548346E-2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4.3587693566739366E-6</v>
      </c>
      <c r="AP33" s="28">
        <v>8</v>
      </c>
      <c r="AQ33" s="79">
        <f>((($W$25)^Q33)*((1-($W$25))^($U$34-Q33))*HLOOKUP($U$34,$AV$24:$BF$34,Q33+1))*V34</f>
        <v>5.6194908087311155E-6</v>
      </c>
      <c r="AR33" s="28">
        <v>8</v>
      </c>
      <c r="AS33" s="79">
        <f>((($W$25)^Q33)*((1-($W$25))^($U$35-Q33))*HLOOKUP($U$35,$AV$24:$BF$34,Q33+1))*V35</f>
        <v>1.8961388500118481E-6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7.3972036687119302E-3</v>
      </c>
      <c r="BP33">
        <f t="shared" si="19"/>
        <v>8</v>
      </c>
      <c r="BQ33">
        <v>2</v>
      </c>
      <c r="BR33" s="107">
        <f t="shared" si="20"/>
        <v>5.4107972258954887E-5</v>
      </c>
    </row>
    <row r="34" spans="1:70" x14ac:dyDescent="0.25">
      <c r="A34" s="40" t="s">
        <v>86</v>
      </c>
      <c r="B34" s="56">
        <f>B23*2</f>
        <v>4.8313811056456837</v>
      </c>
      <c r="C34" s="57">
        <f>C23*2</f>
        <v>5.1686188943543163</v>
      </c>
      <c r="G34" s="87">
        <v>9</v>
      </c>
      <c r="H34" s="128">
        <f>J34*L25+J33*L26+J32*L27+J31*L28</f>
        <v>2.5189251467871448E-5</v>
      </c>
      <c r="I34" s="93">
        <v>9</v>
      </c>
      <c r="J34" s="86">
        <f t="shared" si="13"/>
        <v>5.0004485417650203E-7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7.4133785965169443E-3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7.6970790029216975E-3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2.9856210970173024E-7</v>
      </c>
      <c r="AR34" s="28">
        <v>9</v>
      </c>
      <c r="AS34" s="79">
        <f>((($W$25)^Q34)*((1-($W$25))^($U$35-Q34))*HLOOKUP($U$35,$AV$24:$BF$34,Q34+1))*V35</f>
        <v>2.0148274447477176E-7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2.1830636549542712E-3</v>
      </c>
      <c r="BP34">
        <f t="shared" si="19"/>
        <v>8</v>
      </c>
      <c r="BQ34">
        <v>3</v>
      </c>
      <c r="BR34" s="107">
        <f t="shared" si="20"/>
        <v>5.7497303966992441E-5</v>
      </c>
    </row>
    <row r="35" spans="1:70" ht="15.75" thickBot="1" x14ac:dyDescent="0.3">
      <c r="G35" s="88">
        <v>10</v>
      </c>
      <c r="H35" s="129">
        <f>J35*L25+J34*L26+J33*L27+J32*L28</f>
        <v>2.0488154485898982E-6</v>
      </c>
      <c r="I35" s="94">
        <v>10</v>
      </c>
      <c r="J35" s="89">
        <f t="shared" si="13"/>
        <v>9.6342540233140793E-9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6.9296765755611878E-4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7.6780832897871409E-4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9.6342540233140793E-9</v>
      </c>
      <c r="BH35">
        <f t="shared" si="17"/>
        <v>3</v>
      </c>
      <c r="BI35">
        <v>8</v>
      </c>
      <c r="BJ35" s="107">
        <f t="shared" si="18"/>
        <v>4.8879192333380864E-4</v>
      </c>
      <c r="BP35">
        <f t="shared" si="19"/>
        <v>8</v>
      </c>
      <c r="BQ35">
        <v>4</v>
      </c>
      <c r="BR35" s="107">
        <f t="shared" si="20"/>
        <v>4.1717956377974984E-5</v>
      </c>
    </row>
    <row r="36" spans="1:70" x14ac:dyDescent="0.25">
      <c r="A36" s="1"/>
      <c r="B36" s="108">
        <f>SUM(B37:B39)</f>
        <v>0.9999931036419083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7"/>
        <v>3</v>
      </c>
      <c r="BI36">
        <v>9</v>
      </c>
      <c r="BJ36" s="107">
        <f t="shared" si="18"/>
        <v>8.2317962685294713E-5</v>
      </c>
      <c r="BP36">
        <f t="shared" si="19"/>
        <v>8</v>
      </c>
      <c r="BQ36">
        <v>5</v>
      </c>
      <c r="BR36" s="107">
        <f t="shared" si="20"/>
        <v>2.1862638847278509E-5</v>
      </c>
    </row>
    <row r="37" spans="1:70" ht="15.75" thickBot="1" x14ac:dyDescent="0.3">
      <c r="A37" s="109" t="s">
        <v>104</v>
      </c>
      <c r="B37" s="107">
        <f>SUM(BN4:BN14)</f>
        <v>0.18049106526338959</v>
      </c>
      <c r="G37" s="13"/>
      <c r="H37" s="59">
        <f>SUM(H39:H49)</f>
        <v>0.99999527170245106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0.99844551053202779</v>
      </c>
      <c r="W37" s="13"/>
      <c r="X37" s="13"/>
      <c r="Y37" s="80">
        <f>SUM(Y39:Y49)</f>
        <v>6.8262502864613653E-4</v>
      </c>
      <c r="Z37" s="81"/>
      <c r="AA37" s="80">
        <f>SUM(AA39:AA49)</f>
        <v>7.3130238238691839E-3</v>
      </c>
      <c r="AB37" s="81"/>
      <c r="AC37" s="80">
        <f>SUM(AC39:AC49)</f>
        <v>3.5266280321560331E-2</v>
      </c>
      <c r="AD37" s="81"/>
      <c r="AE37" s="80">
        <f>SUM(AE39:AE49)</f>
        <v>0.10082411675813134</v>
      </c>
      <c r="AF37" s="81"/>
      <c r="AG37" s="80">
        <f>SUM(AG39:AG49)</f>
        <v>0.18927950571886279</v>
      </c>
      <c r="AH37" s="81"/>
      <c r="AI37" s="80">
        <f>SUM(AI39:AI49)</f>
        <v>0.24388361304267892</v>
      </c>
      <c r="AJ37" s="81"/>
      <c r="AK37" s="80">
        <f>SUM(AK39:AK49)</f>
        <v>0.21854035440020617</v>
      </c>
      <c r="AL37" s="81"/>
      <c r="AM37" s="80">
        <f>SUM(AM39:AM49)</f>
        <v>0.13462476701650203</v>
      </c>
      <c r="AN37" s="81"/>
      <c r="AO37" s="80">
        <f>SUM(AO39:AO49)</f>
        <v>5.4697907152915407E-2</v>
      </c>
      <c r="AP37" s="81"/>
      <c r="AQ37" s="80">
        <f>SUM(AQ39:AQ49)</f>
        <v>1.333331726865576E-2</v>
      </c>
      <c r="AR37" s="81"/>
      <c r="AS37" s="80">
        <f>SUM(AS39:AS49)</f>
        <v>1.5544894679722092E-3</v>
      </c>
      <c r="BH37">
        <f t="shared" si="17"/>
        <v>3</v>
      </c>
      <c r="BI37">
        <v>10</v>
      </c>
      <c r="BJ37" s="107">
        <f t="shared" si="18"/>
        <v>1.0177365800288976E-5</v>
      </c>
      <c r="BP37">
        <f t="shared" si="19"/>
        <v>8</v>
      </c>
      <c r="BQ37">
        <v>6</v>
      </c>
      <c r="BR37" s="107">
        <f t="shared" si="20"/>
        <v>8.5327602586164548E-6</v>
      </c>
    </row>
    <row r="38" spans="1:70" ht="15.75" thickBot="1" x14ac:dyDescent="0.3">
      <c r="A38" s="110" t="s">
        <v>105</v>
      </c>
      <c r="B38" s="107">
        <f>SUM(BJ4:BJ59)</f>
        <v>0.58198664179156712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8.8026442978924053E-3</v>
      </c>
      <c r="BP38">
        <f>BL11+1</f>
        <v>8</v>
      </c>
      <c r="BQ38">
        <v>7</v>
      </c>
      <c r="BR38" s="107">
        <f t="shared" si="20"/>
        <v>2.5181892551928876E-6</v>
      </c>
    </row>
    <row r="39" spans="1:70" x14ac:dyDescent="0.25">
      <c r="A39" s="111" t="s">
        <v>0</v>
      </c>
      <c r="B39" s="107">
        <f>SUM(BR4:BR47)</f>
        <v>0.23751539658695164</v>
      </c>
      <c r="G39" s="130">
        <v>0</v>
      </c>
      <c r="H39" s="131">
        <f>L39*J39</f>
        <v>3.6478888326975413E-2</v>
      </c>
      <c r="I39" s="97">
        <v>0</v>
      </c>
      <c r="J39" s="98">
        <f t="shared" ref="J39:J49" si="35">Y39+AA39+AC39+AE39+AG39+AI39+AK39+AM39+AO39+AQ39+AS39</f>
        <v>6.0869225541688873E-2</v>
      </c>
      <c r="K39" s="102">
        <v>0</v>
      </c>
      <c r="L39" s="98">
        <f>AC20</f>
        <v>0.59929936683671614</v>
      </c>
      <c r="M39" s="84">
        <v>0</v>
      </c>
      <c r="N39" s="71">
        <f>(1-$C$24)^$B$21</f>
        <v>2.6324278861084092E-2</v>
      </c>
      <c r="O39" s="70">
        <v>0</v>
      </c>
      <c r="P39" s="71">
        <f>N39</f>
        <v>2.6324278861084092E-2</v>
      </c>
      <c r="Q39" s="12">
        <v>0</v>
      </c>
      <c r="R39" s="73">
        <f>P39*N39</f>
        <v>6.9296765755611878E-4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6.8262502864613653E-4</v>
      </c>
      <c r="W39" s="136">
        <f>C31</f>
        <v>0.47132046158431207</v>
      </c>
      <c r="X39" s="12">
        <v>0</v>
      </c>
      <c r="Y39" s="79">
        <f>V39</f>
        <v>6.8262502864613653E-4</v>
      </c>
      <c r="Z39" s="12">
        <v>0</v>
      </c>
      <c r="AA39" s="78">
        <f>((1-W39)^Z40)*V40</f>
        <v>3.8662460596260895E-3</v>
      </c>
      <c r="AB39" s="12">
        <v>0</v>
      </c>
      <c r="AC39" s="79">
        <f>(((1-$W$39)^AB41))*V41</f>
        <v>9.8569977987861459E-3</v>
      </c>
      <c r="AD39" s="12">
        <v>0</v>
      </c>
      <c r="AE39" s="79">
        <f>(((1-$W$39)^AB42))*V42</f>
        <v>1.4898478982510463E-2</v>
      </c>
      <c r="AF39" s="12">
        <v>0</v>
      </c>
      <c r="AG39" s="79">
        <f>(((1-$W$39)^AB43))*V43</f>
        <v>1.4786779671424973E-2</v>
      </c>
      <c r="AH39" s="12">
        <v>0</v>
      </c>
      <c r="AI39" s="79">
        <f>(((1-$W$39)^AB44))*V44</f>
        <v>1.007268218072394E-2</v>
      </c>
      <c r="AJ39" s="12">
        <v>0</v>
      </c>
      <c r="AK39" s="79">
        <f>(((1-$W$39)^AB45))*V45</f>
        <v>4.771848598726436E-3</v>
      </c>
      <c r="AL39" s="12">
        <v>0</v>
      </c>
      <c r="AM39" s="79">
        <f>(((1-$W$39)^AB46))*V46</f>
        <v>1.5540768093587423E-3</v>
      </c>
      <c r="AN39" s="12">
        <v>0</v>
      </c>
      <c r="AO39" s="79">
        <f>(((1-$W$39)^AB47))*V47</f>
        <v>3.338187502536082E-4</v>
      </c>
      <c r="AP39" s="12">
        <v>0</v>
      </c>
      <c r="AQ39" s="79">
        <f>(((1-$W$39)^AB48))*V48</f>
        <v>4.3020032355616712E-5</v>
      </c>
      <c r="AR39" s="12">
        <v>0</v>
      </c>
      <c r="AS39" s="79">
        <f>(((1-$W$39)^AB49))*V49</f>
        <v>2.6516292767214074E-6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3.4355803963318438E-3</v>
      </c>
      <c r="BP39">
        <f t="shared" ref="BP39:BP46" si="36">BP31+1</f>
        <v>9</v>
      </c>
      <c r="BQ39">
        <v>0</v>
      </c>
      <c r="BR39" s="107">
        <f t="shared" ref="BR39:BR47" si="37">$H$34*H39</f>
        <v>9.18875891336584E-7</v>
      </c>
    </row>
    <row r="40" spans="1:70" x14ac:dyDescent="0.25">
      <c r="G40" s="91">
        <v>1</v>
      </c>
      <c r="H40" s="132">
        <f>L39*J40+L40*J39</f>
        <v>0.13753027724493669</v>
      </c>
      <c r="I40" s="93">
        <v>1</v>
      </c>
      <c r="J40" s="86">
        <f t="shared" si="35"/>
        <v>0.19646995085909633</v>
      </c>
      <c r="K40" s="95">
        <v>1</v>
      </c>
      <c r="L40" s="86">
        <f>AD20</f>
        <v>0.32505687260778882</v>
      </c>
      <c r="M40" s="85">
        <v>1</v>
      </c>
      <c r="N40" s="71">
        <f>(($C$24)^M26)*((1-($C$24))^($B$21-M26))*HLOOKUP($B$21,$AV$24:$BF$34,M26+1)</f>
        <v>0.14080876888666352</v>
      </c>
      <c r="O40" s="72">
        <v>1</v>
      </c>
      <c r="P40" s="71">
        <f t="shared" ref="P40:P44" si="38">N40</f>
        <v>0.14080876888666352</v>
      </c>
      <c r="Q40" s="28">
        <v>1</v>
      </c>
      <c r="R40" s="37">
        <f>P40*N39+P39*N40</f>
        <v>7.4133785965169443E-3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7.3130238238691839E-3</v>
      </c>
      <c r="W40" s="137"/>
      <c r="X40" s="28">
        <v>1</v>
      </c>
      <c r="Y40" s="73"/>
      <c r="Z40" s="28">
        <v>1</v>
      </c>
      <c r="AA40" s="79">
        <f>(1-((1-W39)^Z40))*V40</f>
        <v>3.4467777642430944E-3</v>
      </c>
      <c r="AB40" s="28">
        <v>1</v>
      </c>
      <c r="AC40" s="79">
        <f>((($W$39)^M40)*((1-($W$39))^($U$27-M40))*HLOOKUP($U$27,$AV$24:$BF$34,M40+1))*V41</f>
        <v>1.7575126006509258E-2</v>
      </c>
      <c r="AD40" s="28">
        <v>1</v>
      </c>
      <c r="AE40" s="79">
        <f>((($W$39)^M40)*((1-($W$39))^($U$28-M40))*HLOOKUP($U$28,$AV$24:$BF$34,M40+1))*V42</f>
        <v>3.9846206335035841E-2</v>
      </c>
      <c r="AF40" s="28">
        <v>1</v>
      </c>
      <c r="AG40" s="79">
        <f>((($W$39)^M40)*((1-($W$39))^($U$29-M40))*HLOOKUP($U$29,$AV$24:$BF$34,M40+1))*V43</f>
        <v>5.2729953127875651E-2</v>
      </c>
      <c r="AH40" s="28">
        <v>1</v>
      </c>
      <c r="AI40" s="79">
        <f>((($W$39)^M40)*((1-($W$39))^($U$30-M40))*HLOOKUP($U$30,$AV$24:$BF$34,M40+1))*V44</f>
        <v>4.4899233560634494E-2</v>
      </c>
      <c r="AJ40" s="28">
        <v>1</v>
      </c>
      <c r="AK40" s="79">
        <f>((($W$39)^M40)*((1-($W$39))^($U$31-M40))*HLOOKUP($U$31,$AV$24:$BF$34,M40+1))*V45</f>
        <v>2.5524761834763578E-2</v>
      </c>
      <c r="AL40" s="28">
        <v>1</v>
      </c>
      <c r="AM40" s="79">
        <f>((($W$39)^Q40)*((1-($W$39))^($U$32-Q40))*HLOOKUP($U$32,$AV$24:$BF$34,Q40+1))*V46</f>
        <v>9.6982709208609588E-3</v>
      </c>
      <c r="AN40" s="28">
        <v>1</v>
      </c>
      <c r="AO40" s="79">
        <f>((($W$39)^Q40)*((1-($W$39))^($U$33-Q40))*HLOOKUP($U$33,$AV$24:$BF$34,Q40+1))*V47</f>
        <v>2.3808087285015311E-3</v>
      </c>
      <c r="AP40" s="28">
        <v>1</v>
      </c>
      <c r="AQ40" s="79">
        <f>((($W$39)^Q40)*((1-($W$39))^($U$34-Q40))*HLOOKUP($U$34,$AV$24:$BF$34,Q40+1))*V48</f>
        <v>3.4517317260254445E-4</v>
      </c>
      <c r="AR40" s="28">
        <v>1</v>
      </c>
      <c r="AS40" s="79">
        <f>((($W$39)^Q40)*((1-($W$39))^($U$35-Q40))*HLOOKUP($U$35,$AV$24:$BF$34,Q40+1))*V49</f>
        <v>2.3639408069395483E-5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1.0139089083931394E-3</v>
      </c>
      <c r="BP40">
        <f t="shared" si="36"/>
        <v>9</v>
      </c>
      <c r="BQ40">
        <v>1</v>
      </c>
      <c r="BR40" s="107">
        <f t="shared" si="37"/>
        <v>3.4642847379687885E-6</v>
      </c>
    </row>
    <row r="41" spans="1:70" x14ac:dyDescent="0.25">
      <c r="G41" s="91">
        <v>2</v>
      </c>
      <c r="H41" s="132">
        <f>L39*J41+J40*L40+J39*L41</f>
        <v>0.2391154499656945</v>
      </c>
      <c r="I41" s="93">
        <v>2</v>
      </c>
      <c r="J41" s="86">
        <f t="shared" si="35"/>
        <v>0.28550785564311648</v>
      </c>
      <c r="K41" s="95">
        <v>2</v>
      </c>
      <c r="L41" s="86">
        <f>AE20</f>
        <v>6.8127449089396955E-2</v>
      </c>
      <c r="M41" s="85">
        <v>2</v>
      </c>
      <c r="N41" s="71">
        <f>(($C$24)^M27)*((1-($C$24))^($B$21-M27))*HLOOKUP($B$21,$AV$24:$BF$34,M27+1)</f>
        <v>0.30127487252368806</v>
      </c>
      <c r="O41" s="72">
        <v>2</v>
      </c>
      <c r="P41" s="71">
        <f t="shared" si="38"/>
        <v>0.30127487252368806</v>
      </c>
      <c r="Q41" s="28">
        <v>2</v>
      </c>
      <c r="R41" s="37">
        <f>P41*N39+P40*N40+P39*N41</f>
        <v>3.5688796911680074E-2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3.5266280321560331E-2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7.8341565162649267E-3</v>
      </c>
      <c r="AD41" s="28">
        <v>2</v>
      </c>
      <c r="AE41" s="79">
        <f>((($W$39)^M41)*((1-($W$39))^($U$28-M41))*HLOOKUP($U$28,$AV$24:$BF$34,M41+1))*V42</f>
        <v>3.5523092908971841E-2</v>
      </c>
      <c r="AF41" s="28">
        <v>2</v>
      </c>
      <c r="AG41" s="79">
        <f>((($W$39)^M41)*((1-($W$39))^($U$29-M41))*HLOOKUP($U$29,$AV$24:$BF$34,M41+1))*V43</f>
        <v>7.051352674446161E-2</v>
      </c>
      <c r="AH41" s="28">
        <v>2</v>
      </c>
      <c r="AI41" s="79">
        <f>((($W$39)^M41)*((1-($W$39))^($U$30-M41))*HLOOKUP($U$30,$AV$24:$BF$34,M41+1))*V44</f>
        <v>8.0055784076670536E-2</v>
      </c>
      <c r="AJ41" s="28">
        <v>2</v>
      </c>
      <c r="AK41" s="79">
        <f>((($W$39)^M41)*((1-($W$39))^($U$31-M41))*HLOOKUP($U$31,$AV$24:$BF$34,M41+1))*V45</f>
        <v>5.6888633168223908E-2</v>
      </c>
      <c r="AL41" s="28">
        <v>2</v>
      </c>
      <c r="AM41" s="79">
        <f>((($W$39)^Q41)*((1-($W$39))^($U$32-Q41))*HLOOKUP($U$32,$AV$24:$BF$34,Q41+1))*V46</f>
        <v>2.5938171585122915E-2</v>
      </c>
      <c r="AN41" s="28">
        <v>2</v>
      </c>
      <c r="AO41" s="79">
        <f>((($W$39)^Q41)*((1-($W$39))^($U$33-Q41))*HLOOKUP($U$33,$AV$24:$BF$34,Q41+1))*V47</f>
        <v>7.428760251974244E-3</v>
      </c>
      <c r="AP41" s="28">
        <v>2</v>
      </c>
      <c r="AQ41" s="79">
        <f>((($W$39)^Q41)*((1-($W$39))^($U$34-Q41))*HLOOKUP($U$34,$AV$24:$BF$34,Q41+1))*V48</f>
        <v>1.2308944622678828E-3</v>
      </c>
      <c r="AR41" s="28">
        <v>2</v>
      </c>
      <c r="AS41" s="79">
        <f>((($W$39)^Q41)*((1-($W$39))^($U$35-Q41))*HLOOKUP($U$35,$AV$24:$BF$34,Q41+1))*V49</f>
        <v>9.4835929158641096E-5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2.2701604888802297E-4</v>
      </c>
      <c r="BP41">
        <f t="shared" si="36"/>
        <v>9</v>
      </c>
      <c r="BQ41">
        <v>2</v>
      </c>
      <c r="BR41" s="107">
        <f t="shared" si="37"/>
        <v>6.0231391990391121E-6</v>
      </c>
    </row>
    <row r="42" spans="1:70" ht="15" customHeight="1" x14ac:dyDescent="0.25">
      <c r="G42" s="91">
        <v>3</v>
      </c>
      <c r="H42" s="132">
        <f>J42*L39+J41*L40+L42*J39+L41*J40</f>
        <v>0.25409367854487153</v>
      </c>
      <c r="I42" s="93">
        <v>3</v>
      </c>
      <c r="J42" s="86">
        <f t="shared" si="35"/>
        <v>0.24602875859889847</v>
      </c>
      <c r="K42" s="95">
        <v>3</v>
      </c>
      <c r="L42" s="86">
        <f>AF20</f>
        <v>7.5163114660980884E-3</v>
      </c>
      <c r="M42" s="85">
        <v>3</v>
      </c>
      <c r="N42" s="71">
        <f>(($C$24)^M28)*((1-($C$24))^($B$21-M28))*HLOOKUP($B$21,$AV$24:$BF$34,M28+1)</f>
        <v>0.32230431929712483</v>
      </c>
      <c r="O42" s="72">
        <v>3</v>
      </c>
      <c r="P42" s="71">
        <f t="shared" si="38"/>
        <v>0.32230431929712483</v>
      </c>
      <c r="Q42" s="28">
        <v>3</v>
      </c>
      <c r="R42" s="37">
        <f>P42*N39+P41*N40+P40*N41+P39*N42</f>
        <v>0.10181314535171281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0.10082411675813134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1.0556338531613193E-2</v>
      </c>
      <c r="AF42" s="28">
        <v>3</v>
      </c>
      <c r="AG42" s="79">
        <f>((($W$39)^M42)*((1-($W$39))^($U$29-M42))*HLOOKUP($U$29,$AV$24:$BF$34,M42+1))*V43</f>
        <v>4.1908775301741703E-2</v>
      </c>
      <c r="AH42" s="28">
        <v>3</v>
      </c>
      <c r="AI42" s="79">
        <f>((($W$39)^M42)*((1-($W$39))^($U$30-M42))*HLOOKUP($U$30,$AV$24:$BF$34,M42+1))*V44</f>
        <v>7.1370133250443057E-2</v>
      </c>
      <c r="AJ42" s="28">
        <v>3</v>
      </c>
      <c r="AK42" s="79">
        <f>((($W$39)^M42)*((1-($W$39))^($U$31-M42))*HLOOKUP($U$31,$AV$24:$BF$34,M42+1))*V45</f>
        <v>6.7622002606969697E-2</v>
      </c>
      <c r="AL42" s="28">
        <v>3</v>
      </c>
      <c r="AM42" s="79">
        <f>((($W$39)^Q42)*((1-($W$39))^($U$32-Q42))*HLOOKUP($U$32,$AV$24:$BF$34,Q42+1))*V46</f>
        <v>3.8540016890600264E-2</v>
      </c>
      <c r="AN42" s="28">
        <v>3</v>
      </c>
      <c r="AO42" s="79">
        <f>((($W$39)^Q42)*((1-($W$39))^($U$33-Q42))*HLOOKUP($U$33,$AV$24:$BF$34,Q42+1))*V47</f>
        <v>1.3245554089164243E-2</v>
      </c>
      <c r="AP42" s="28">
        <v>3</v>
      </c>
      <c r="AQ42" s="79">
        <f>((($W$39)^Q42)*((1-($W$39))^($U$34-Q42))*HLOOKUP($U$34,$AV$24:$BF$34,Q42+1))*V48</f>
        <v>2.5604800436659619E-3</v>
      </c>
      <c r="AR42" s="28">
        <v>3</v>
      </c>
      <c r="AS42" s="79">
        <f>((($W$39)^Q42)*((1-($W$39))^($U$35-Q42))*HLOOKUP($U$35,$AV$24:$BF$34,Q42+1))*V49</f>
        <v>2.2545788470031681E-4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3.8232011924151908E-5</v>
      </c>
      <c r="BP42">
        <f t="shared" si="36"/>
        <v>9</v>
      </c>
      <c r="BQ42">
        <v>3</v>
      </c>
      <c r="BR42" s="107">
        <f t="shared" si="37"/>
        <v>6.4004295652632605E-6</v>
      </c>
    </row>
    <row r="43" spans="1:70" ht="15" customHeight="1" x14ac:dyDescent="0.25">
      <c r="G43" s="91">
        <v>4</v>
      </c>
      <c r="H43" s="132">
        <f>J43*L39+J42*L40+J41*L41+J40*L42</f>
        <v>0.18436114854253791</v>
      </c>
      <c r="I43" s="93">
        <v>4</v>
      </c>
      <c r="J43" s="86">
        <f t="shared" si="35"/>
        <v>0.1392628844195116</v>
      </c>
      <c r="K43" s="95">
        <v>4</v>
      </c>
      <c r="L43" s="86"/>
      <c r="M43" s="85">
        <v>4</v>
      </c>
      <c r="N43" s="71">
        <f>(($C$24)^M29)*((1-($C$24))^($B$21-M29))*HLOOKUP($B$21,$AV$24:$BF$34,M29+1)</f>
        <v>0.17240082680545371</v>
      </c>
      <c r="O43" s="72">
        <v>4</v>
      </c>
      <c r="P43" s="71">
        <f t="shared" si="38"/>
        <v>0.17240082680545371</v>
      </c>
      <c r="Q43" s="28">
        <v>4</v>
      </c>
      <c r="R43" s="37">
        <f>P43*N39+P42*N40+P41*N41+P40*N42+P39*N43</f>
        <v>0.19060975250974546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0.18927950571886276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9.3404708733588401E-3</v>
      </c>
      <c r="AH43" s="28">
        <v>4</v>
      </c>
      <c r="AI43" s="79">
        <f>((($W$39)^M43)*((1-($W$39))^($U$30-M43))*HLOOKUP($U$30,$AV$24:$BF$34,M43+1))*V44</f>
        <v>3.181341597571323E-2</v>
      </c>
      <c r="AJ43" s="28">
        <v>4</v>
      </c>
      <c r="AK43" s="79">
        <f>((($W$39)^M43)*((1-($W$39))^($U$31-M43))*HLOOKUP($U$31,$AV$24:$BF$34,M43+1))*V45</f>
        <v>4.5214016005068962E-2</v>
      </c>
      <c r="AL43" s="28">
        <v>4</v>
      </c>
      <c r="AM43" s="79">
        <f>((($W$39)^Q43)*((1-($W$39))^($U$32-Q43))*HLOOKUP($U$32,$AV$24:$BF$34,Q43+1))*V46</f>
        <v>3.4358618464371958E-2</v>
      </c>
      <c r="AN43" s="28">
        <v>4</v>
      </c>
      <c r="AO43" s="79">
        <f>((($W$39)^Q43)*((1-($W$39))^($U$33-Q43))*HLOOKUP($U$33,$AV$24:$BF$34,Q43+1))*V47</f>
        <v>1.4760597426262179E-2</v>
      </c>
      <c r="AP43" s="28">
        <v>4</v>
      </c>
      <c r="AQ43" s="79">
        <f>((($W$39)^Q43)*((1-($W$39))^($U$34-Q43))*HLOOKUP($U$34,$AV$24:$BF$34,Q43+1))*V48</f>
        <v>3.4240212123809615E-3</v>
      </c>
      <c r="AR43" s="28">
        <v>4</v>
      </c>
      <c r="AS43" s="79">
        <f>((($W$39)^Q43)*((1-($W$39))^($U$35-Q43))*HLOOKUP($U$35,$AV$24:$BF$34,Q43+1))*V49</f>
        <v>3.5174446235545804E-4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4.7268075878001894E-6</v>
      </c>
      <c r="BP43">
        <f t="shared" si="36"/>
        <v>9</v>
      </c>
      <c r="BQ43">
        <v>4</v>
      </c>
      <c r="BR43" s="107">
        <f t="shared" si="37"/>
        <v>4.643919331543589E-6</v>
      </c>
    </row>
    <row r="44" spans="1:70" ht="15" customHeight="1" thickBot="1" x14ac:dyDescent="0.3">
      <c r="G44" s="91">
        <v>5</v>
      </c>
      <c r="H44" s="132">
        <f>J44*L39+J43*L40+J42*L41+J41*L42</f>
        <v>9.6615979256906792E-2</v>
      </c>
      <c r="I44" s="93">
        <v>5</v>
      </c>
      <c r="J44" s="86">
        <f t="shared" si="35"/>
        <v>5.4130449116582484E-2</v>
      </c>
      <c r="K44" s="95">
        <v>5</v>
      </c>
      <c r="L44" s="86"/>
      <c r="M44" s="85">
        <v>5</v>
      </c>
      <c r="N44" s="71">
        <f>(($C$24)^M30)*((1-($C$24))^($B$21-M30))*HLOOKUP($B$21,$AV$24:$BF$34,M30+1)</f>
        <v>3.6886933625985933E-2</v>
      </c>
      <c r="O44" s="72">
        <v>5</v>
      </c>
      <c r="P44" s="71">
        <f t="shared" si="38"/>
        <v>3.6886933625985933E-2</v>
      </c>
      <c r="Q44" s="28">
        <v>5</v>
      </c>
      <c r="R44" s="37">
        <f>P44*N39+P43*N40+P42*N41+P41*N42+P40*N43+P39*N44</f>
        <v>0.24469752562938984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0.24388361304267889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5.6723639984936278E-3</v>
      </c>
      <c r="AJ44" s="28">
        <v>5</v>
      </c>
      <c r="AK44" s="79">
        <f>((($W$39)^M44)*((1-($W$39))^($U$31-M44))*HLOOKUP($U$31,$AV$24:$BF$34,M44+1))*V45</f>
        <v>1.6123408866891918E-2</v>
      </c>
      <c r="AL44" s="28">
        <v>5</v>
      </c>
      <c r="AM44" s="79">
        <f>((($W$39)^Q44)*((1-($W$39))^($U$32-Q44))*HLOOKUP($U$32,$AV$24:$BF$34,Q44+1))*V46</f>
        <v>1.8378528470259239E-2</v>
      </c>
      <c r="AN44" s="28">
        <v>5</v>
      </c>
      <c r="AO44" s="79">
        <f>((($W$39)^Q44)*((1-($W$39))^($U$33-Q44))*HLOOKUP($U$33,$AV$24:$BF$34,Q44+1))*V47</f>
        <v>1.0527317343212174E-2</v>
      </c>
      <c r="AP44" s="28">
        <v>5</v>
      </c>
      <c r="AQ44" s="79">
        <f>((($W$39)^Q44)*((1-($W$39))^($U$34-Q44))*HLOOKUP($U$34,$AV$24:$BF$34,Q44+1))*V48</f>
        <v>3.0525320936952358E-3</v>
      </c>
      <c r="AR44" s="28">
        <v>5</v>
      </c>
      <c r="AS44" s="79">
        <f>((($W$39)^Q44)*((1-($W$39))^($U$35-Q44))*HLOOKUP($U$35,$AV$24:$BF$34,Q44+1))*V49</f>
        <v>3.7629834403028761E-4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1.1646424238591039E-3</v>
      </c>
      <c r="BP44">
        <f t="shared" si="36"/>
        <v>9</v>
      </c>
      <c r="BQ44">
        <v>5</v>
      </c>
      <c r="BR44" s="107">
        <f t="shared" si="37"/>
        <v>2.4336841973168766E-6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3.7708210518844508E-2</v>
      </c>
      <c r="I45" s="93">
        <v>6</v>
      </c>
      <c r="J45" s="86">
        <f t="shared" si="35"/>
        <v>1.4643569898789156E-2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0.21814815589892428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0.21854035440020611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2.3956833195616476E-3</v>
      </c>
      <c r="AL45" s="28">
        <v>6</v>
      </c>
      <c r="AM45" s="79">
        <f>((($W$39)^Q45)*((1-($W$39))^($U$32-Q45))*HLOOKUP($U$32,$AV$24:$BF$34,Q45+1))*V46</f>
        <v>5.4615167868997082E-3</v>
      </c>
      <c r="AN45" s="28">
        <v>6</v>
      </c>
      <c r="AO45" s="79">
        <f>((($W$39)^Q45)*((1-($W$39))^($U$33-Q45))*HLOOKUP($U$33,$AV$24:$BF$34,Q45+1))*V47</f>
        <v>4.6925781204965027E-3</v>
      </c>
      <c r="AP45" s="28">
        <v>6</v>
      </c>
      <c r="AQ45" s="79">
        <f>((($W$39)^Q45)*((1-($W$39))^($U$34-Q45))*HLOOKUP($U$34,$AV$24:$BF$34,Q45+1))*V48</f>
        <v>1.814231786755393E-3</v>
      </c>
      <c r="AR45" s="28">
        <v>6</v>
      </c>
      <c r="AS45" s="79">
        <f>((($W$39)^Q45)*((1-($W$39))^($U$35-Q45))*HLOOKUP($U$35,$AV$24:$BF$34,Q45+1))*V49</f>
        <v>2.795598850759062E-4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3.4370941512651068E-4</v>
      </c>
      <c r="BP45">
        <f t="shared" si="36"/>
        <v>9</v>
      </c>
      <c r="BQ45">
        <v>6</v>
      </c>
      <c r="BR45" s="107">
        <f t="shared" si="37"/>
        <v>9.4984159716260958E-7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1.1128451718213675E-2</v>
      </c>
      <c r="I46" s="93">
        <v>7</v>
      </c>
      <c r="J46" s="86">
        <f t="shared" si="35"/>
        <v>2.7264271283711627E-3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0.13335727471150385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0.13462476701650197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6.9556708902820854E-4</v>
      </c>
      <c r="AN46" s="28">
        <v>7</v>
      </c>
      <c r="AO46" s="79">
        <f>((($W$39)^Q46)*((1-($W$39))^($U$33-Q46))*HLOOKUP($U$33,$AV$24:$BF$34,Q46+1))*V47</f>
        <v>1.1952734123752689E-3</v>
      </c>
      <c r="AP46" s="28">
        <v>7</v>
      </c>
      <c r="AQ46" s="79">
        <f>((($W$39)^Q46)*((1-($W$39))^($U$34-Q46))*HLOOKUP($U$34,$AV$24:$BF$34,Q46+1))*V48</f>
        <v>6.93170032414514E-4</v>
      </c>
      <c r="AR46" s="28">
        <v>7</v>
      </c>
      <c r="AS46" s="79">
        <f>((($W$39)^Q46)*((1-($W$39))^($U$35-Q46))*HLOOKUP($U$35,$AV$24:$BF$34,Q46+1))*V49</f>
        <v>1.4241659455317126E-4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7.6957163253741568E-5</v>
      </c>
      <c r="BP46">
        <f t="shared" si="36"/>
        <v>9</v>
      </c>
      <c r="BQ46">
        <v>7</v>
      </c>
      <c r="BR46" s="107">
        <f t="shared" si="37"/>
        <v>2.8031736877815037E-7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2.4916805823451955E-3</v>
      </c>
      <c r="I47" s="93">
        <v>8</v>
      </c>
      <c r="J47" s="86">
        <f t="shared" si="35"/>
        <v>3.3530208706492471E-4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5.3499681149767289E-2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5.4697907152915386E-2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1.3319903067565234E-4</v>
      </c>
      <c r="AP47" s="28">
        <v>8</v>
      </c>
      <c r="AQ47" s="79">
        <f>((($W$39)^Q47)*((1-($W$39))^($U$34-Q47))*HLOOKUP($U$34,$AV$24:$BF$34,Q47+1))*V48</f>
        <v>1.5449114061283229E-4</v>
      </c>
      <c r="AR47" s="28">
        <v>8</v>
      </c>
      <c r="AS47" s="79">
        <f>((($W$39)^Q47)*((1-($W$39))^($U$35-Q47))*HLOOKUP($U$35,$AV$24:$BF$34,Q47+1))*V49</f>
        <v>4.7611915776440047E-5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1.2960436927599E-5</v>
      </c>
      <c r="BP47">
        <f>BL12+1</f>
        <v>9</v>
      </c>
      <c r="BQ47">
        <v>8</v>
      </c>
      <c r="BR47" s="107">
        <f t="shared" si="37"/>
        <v>6.2763568766305506E-8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4.1962655152362298E-4</v>
      </c>
      <c r="I48" s="93">
        <v>9</v>
      </c>
      <c r="J48" s="86">
        <f t="shared" si="35"/>
        <v>2.4735794537453774E-5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1.2718675710875735E-2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1.333331726865576E-2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1.5303291904820007E-5</v>
      </c>
      <c r="AR48" s="28">
        <v>9</v>
      </c>
      <c r="AS48" s="79">
        <f>((($W$39)^Q48)*((1-($W$39))^($U$35-Q48))*HLOOKUP($U$35,$AV$24:$BF$34,Q48+1))*V49</f>
        <v>9.4325026326337654E-6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1.6023611766002993E-6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5.1880449601222176E-5</v>
      </c>
      <c r="I49" s="94">
        <v>10</v>
      </c>
      <c r="J49" s="89">
        <f t="shared" si="35"/>
        <v>8.4091234323742901E-7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1.3606458723278917E-3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1.5544894679722088E-3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8.4091234323742901E-7</v>
      </c>
      <c r="BH49">
        <f>BP14+1</f>
        <v>6</v>
      </c>
      <c r="BI49">
        <v>0</v>
      </c>
      <c r="BJ49" s="107">
        <f>$H$31*H39</f>
        <v>2.871996195237637E-4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8.761470664104912E-5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1.96170921879522E-5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3.3037351593451358E-6</v>
      </c>
    </row>
    <row r="53" spans="1:62" x14ac:dyDescent="0.25">
      <c r="BH53">
        <f>BH48+1</f>
        <v>6</v>
      </c>
      <c r="BI53">
        <v>10</v>
      </c>
      <c r="BJ53" s="107">
        <f>$H$31*H49</f>
        <v>4.0845667369678364E-7</v>
      </c>
    </row>
    <row r="54" spans="1:62" x14ac:dyDescent="0.25">
      <c r="BH54">
        <f>BH51+1</f>
        <v>7</v>
      </c>
      <c r="BI54">
        <v>8</v>
      </c>
      <c r="BJ54" s="107">
        <f>$H$32*H47</f>
        <v>3.8099947156205405E-6</v>
      </c>
    </row>
    <row r="55" spans="1:62" x14ac:dyDescent="0.25">
      <c r="BH55">
        <f>BH52+1</f>
        <v>7</v>
      </c>
      <c r="BI55">
        <v>9</v>
      </c>
      <c r="BJ55" s="107">
        <f>$H$32*H48</f>
        <v>6.4164522337541777E-7</v>
      </c>
    </row>
    <row r="56" spans="1:62" x14ac:dyDescent="0.25">
      <c r="BH56">
        <f>BH53+1</f>
        <v>7</v>
      </c>
      <c r="BI56">
        <v>10</v>
      </c>
      <c r="BJ56" s="107">
        <f>$H$32*H49</f>
        <v>7.9329686246794374E-8</v>
      </c>
    </row>
    <row r="57" spans="1:62" x14ac:dyDescent="0.25">
      <c r="BH57">
        <f>BH55+1</f>
        <v>8</v>
      </c>
      <c r="BI57">
        <v>9</v>
      </c>
      <c r="BJ57" s="107">
        <f>$H$33*H48</f>
        <v>9.4954725059457955E-8</v>
      </c>
    </row>
    <row r="58" spans="1:62" x14ac:dyDescent="0.25">
      <c r="BH58">
        <f>BH56+1</f>
        <v>8</v>
      </c>
      <c r="BI58">
        <v>10</v>
      </c>
      <c r="BJ58" s="107">
        <f>$H$33*H49</f>
        <v>1.1739709534485427E-8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1.3068296912714163E-9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7" sqref="Y7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1"/>
      <c r="Q1" s="211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2" t="s">
        <v>116</v>
      </c>
      <c r="C3" s="212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1"/>
      <c r="Q1" s="211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3" t="s">
        <v>116</v>
      </c>
      <c r="C3" s="213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1" t="s">
        <v>135</v>
      </c>
      <c r="Q1" s="211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3" t="s">
        <v>23</v>
      </c>
      <c r="C3" s="213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1" t="s">
        <v>135</v>
      </c>
      <c r="Q1" s="211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4" t="s">
        <v>130</v>
      </c>
      <c r="C3" s="21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goblins</vt:lpstr>
      <vt:lpstr>Goblins-OBIWAN_352</vt:lpstr>
      <vt:lpstr>Columbus-OBIWAN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2018-01-21T11:43:35Z</dcterms:modified>
</cp:coreProperties>
</file>