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5" i="32"/>
  <c r="AD18" i="32"/>
  <c r="AD16" i="32"/>
  <c r="AD13" i="32"/>
  <c r="AD14" i="32"/>
  <c r="AD11" i="32"/>
  <c r="AD17" i="32"/>
  <c r="AD8" i="32"/>
  <c r="AD10" i="32"/>
  <c r="AD9" i="32"/>
  <c r="D25" i="83" l="1"/>
  <c r="D26" i="83"/>
  <c r="D27" i="83"/>
  <c r="D28" i="83"/>
  <c r="D24" i="83"/>
  <c r="D3" i="83"/>
  <c r="AC8" i="32" l="1"/>
  <c r="AD12" i="32" l="1"/>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0" i="32" l="1"/>
  <c r="F8" i="32"/>
  <c r="F16" i="32"/>
  <c r="F17" i="32"/>
  <c r="F12" i="32"/>
  <c r="F21" i="32"/>
  <c r="F10" i="32"/>
  <c r="F19" i="32"/>
  <c r="F5" i="32"/>
  <c r="F23" i="32"/>
  <c r="F9" i="32"/>
  <c r="F6" i="32"/>
  <c r="D12" i="111"/>
  <c r="F7" i="32"/>
  <c r="D15" i="111" s="1"/>
  <c r="F13" i="32"/>
  <c r="F11" i="32"/>
  <c r="F22" i="32"/>
  <c r="F15" i="32"/>
  <c r="F14" i="32"/>
  <c r="F1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<sst xmlns="http://schemas.openxmlformats.org/spreadsheetml/2006/main" count="4181" uniqueCount="881">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</sst>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414703560"/>
        <c:axId val="414691800"/>
      </c:barChart>
      <c:catAx>
        <c:axId val="414703560"/>
        <c:scaling>
          <c:orientation val="minMax"/>
        </c:scaling>
        <c:delete val="0"/>
        <c:axPos val="b"/>
        <c:numFmt formatCode="General" sourceLinked="1"/>
        <c:majorTickMark val="out"/>
        <c:minorTickMark val="none"/>
        <c:tickLblPos val="nextTo"/>
        <c:crossAx val="414691800"/>
        <c:crosses val="autoZero"/>
        <c:auto val="1"/>
        <c:lblAlgn val="ctr"/>
        <c:lblOffset val="100"/>
        <c:noMultiLvlLbl val="0"/>
      </c:catAx>
      <c:valAx>
        <c:axId val="414691800"/>
        <c:scaling>
          <c:orientation val="minMax"/>
        </c:scaling>
        <c:delete val="0"/>
        <c:axPos val="l"/>
        <c:majorGridlines/>
        <c:numFmt formatCode="_-* #,##0\ [$€-C0A]_-;\-* #,##0\ [$€-C0A]_-;_-* &quot;-&quot;??\ [$€-C0A]_-;_-@_-" sourceLinked="1"/>
        <c:majorTickMark val="out"/>
        <c:minorTickMark val="none"/>
        <c:tickLblPos val="nextTo"/>
        <c:crossAx val="414703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49528"/>
        <c:axId val="457348352"/>
      </c:barChart>
      <c:catAx>
        <c:axId val="457349528"/>
        <c:scaling>
          <c:orientation val="minMax"/>
        </c:scaling>
        <c:delete val="0"/>
        <c:axPos val="b"/>
        <c:numFmt formatCode="General" sourceLinked="1"/>
        <c:majorTickMark val="out"/>
        <c:minorTickMark val="none"/>
        <c:tickLblPos val="nextTo"/>
        <c:crossAx val="457348352"/>
        <c:crosses val="autoZero"/>
        <c:auto val="1"/>
        <c:lblAlgn val="ctr"/>
        <c:lblOffset val="100"/>
        <c:noMultiLvlLbl val="0"/>
      </c:catAx>
      <c:valAx>
        <c:axId val="457348352"/>
        <c:scaling>
          <c:orientation val="minMax"/>
        </c:scaling>
        <c:delete val="0"/>
        <c:axPos val="l"/>
        <c:majorGridlines/>
        <c:numFmt formatCode="_-* #,##0\ [$€-C0A]_-;\-* #,##0\ [$€-C0A]_-;_-* &quot;-&quot;??\ [$€-C0A]_-;_-@_-" sourceLinked="1"/>
        <c:majorTickMark val="out"/>
        <c:minorTickMark val="none"/>
        <c:tickLblPos val="nextTo"/>
        <c:crossAx val="457349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457343256"/>
        <c:axId val="457350704"/>
      </c:barChart>
      <c:catAx>
        <c:axId val="457343256"/>
        <c:scaling>
          <c:orientation val="minMax"/>
        </c:scaling>
        <c:delete val="0"/>
        <c:axPos val="b"/>
        <c:numFmt formatCode="General" sourceLinked="1"/>
        <c:majorTickMark val="out"/>
        <c:minorTickMark val="none"/>
        <c:tickLblPos val="nextTo"/>
        <c:crossAx val="457350704"/>
        <c:crosses val="autoZero"/>
        <c:auto val="1"/>
        <c:lblAlgn val="ctr"/>
        <c:lblOffset val="100"/>
        <c:noMultiLvlLbl val="0"/>
      </c:catAx>
      <c:valAx>
        <c:axId val="457350704"/>
        <c:scaling>
          <c:orientation val="minMax"/>
        </c:scaling>
        <c:delete val="0"/>
        <c:axPos val="l"/>
        <c:majorGridlines/>
        <c:numFmt formatCode="_-* #,##0\ [$€-C0A]_-;\-* #,##0\ [$€-C0A]_-;_-* &quot;-&quot;??\ [$€-C0A]_-;_-@_-" sourceLinked="1"/>
        <c:majorTickMark val="out"/>
        <c:minorTickMark val="none"/>
        <c:tickLblPos val="nextTo"/>
        <c:crossAx val="4573432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50312"/>
        <c:axId val="457352272"/>
      </c:barChart>
      <c:catAx>
        <c:axId val="457350312"/>
        <c:scaling>
          <c:orientation val="minMax"/>
        </c:scaling>
        <c:delete val="0"/>
        <c:axPos val="b"/>
        <c:numFmt formatCode="General" sourceLinked="1"/>
        <c:majorTickMark val="out"/>
        <c:minorTickMark val="none"/>
        <c:tickLblPos val="nextTo"/>
        <c:crossAx val="457352272"/>
        <c:crosses val="autoZero"/>
        <c:auto val="1"/>
        <c:lblAlgn val="ctr"/>
        <c:lblOffset val="100"/>
        <c:noMultiLvlLbl val="0"/>
      </c:catAx>
      <c:valAx>
        <c:axId val="457352272"/>
        <c:scaling>
          <c:orientation val="minMax"/>
        </c:scaling>
        <c:delete val="0"/>
        <c:axPos val="l"/>
        <c:majorGridlines/>
        <c:numFmt formatCode="_-* #,##0\ [$€-C0A]_-;\-* #,##0\ [$€-C0A]_-;_-* &quot;-&quot;??\ [$€-C0A]_-;_-@_-" sourceLinked="1"/>
        <c:majorTickMark val="out"/>
        <c:minorTickMark val="none"/>
        <c:tickLblPos val="nextTo"/>
        <c:crossAx val="457350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457346392"/>
        <c:axId val="457351096"/>
      </c:barChart>
      <c:catAx>
        <c:axId val="457346392"/>
        <c:scaling>
          <c:orientation val="minMax"/>
        </c:scaling>
        <c:delete val="0"/>
        <c:axPos val="b"/>
        <c:numFmt formatCode="General" sourceLinked="1"/>
        <c:majorTickMark val="out"/>
        <c:minorTickMark val="none"/>
        <c:tickLblPos val="nextTo"/>
        <c:crossAx val="457351096"/>
        <c:crosses val="autoZero"/>
        <c:auto val="1"/>
        <c:lblAlgn val="ctr"/>
        <c:lblOffset val="100"/>
        <c:noMultiLvlLbl val="0"/>
      </c:catAx>
      <c:valAx>
        <c:axId val="457351096"/>
        <c:scaling>
          <c:orientation val="minMax"/>
        </c:scaling>
        <c:delete val="0"/>
        <c:axPos val="l"/>
        <c:majorGridlines/>
        <c:numFmt formatCode="_-* #,##0\ [$€-C0A]_-;\-* #,##0\ [$€-C0A]_-;_-* &quot;-&quot;??\ [$€-C0A]_-;_-@_-" sourceLinked="1"/>
        <c:majorTickMark val="out"/>
        <c:minorTickMark val="none"/>
        <c:tickLblPos val="nextTo"/>
        <c:crossAx val="457346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57346000"/>
        <c:axId val="457344040"/>
      </c:barChart>
      <c:catAx>
        <c:axId val="457346000"/>
        <c:scaling>
          <c:orientation val="minMax"/>
        </c:scaling>
        <c:delete val="0"/>
        <c:axPos val="b"/>
        <c:numFmt formatCode="General" sourceLinked="1"/>
        <c:majorTickMark val="out"/>
        <c:minorTickMark val="none"/>
        <c:tickLblPos val="nextTo"/>
        <c:crossAx val="457344040"/>
        <c:crosses val="autoZero"/>
        <c:auto val="1"/>
        <c:lblAlgn val="ctr"/>
        <c:lblOffset val="100"/>
        <c:noMultiLvlLbl val="0"/>
      </c:catAx>
      <c:valAx>
        <c:axId val="457344040"/>
        <c:scaling>
          <c:orientation val="minMax"/>
        </c:scaling>
        <c:delete val="0"/>
        <c:axPos val="l"/>
        <c:majorGridlines/>
        <c:numFmt formatCode="_-* #,##0\ [$€-C0A]_-;\-* #,##0\ [$€-C0A]_-;_-* &quot;-&quot;??\ [$€-C0A]_-;_-@_-" sourceLinked="1"/>
        <c:majorTickMark val="out"/>
        <c:minorTickMark val="none"/>
        <c:tickLblPos val="nextTo"/>
        <c:crossAx val="4573460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57348744"/>
        <c:axId val="457344432"/>
      </c:barChart>
      <c:catAx>
        <c:axId val="457348744"/>
        <c:scaling>
          <c:orientation val="minMax"/>
        </c:scaling>
        <c:delete val="0"/>
        <c:axPos val="b"/>
        <c:numFmt formatCode="General" sourceLinked="1"/>
        <c:majorTickMark val="out"/>
        <c:minorTickMark val="none"/>
        <c:tickLblPos val="nextTo"/>
        <c:crossAx val="457344432"/>
        <c:crosses val="autoZero"/>
        <c:auto val="1"/>
        <c:lblAlgn val="ctr"/>
        <c:lblOffset val="100"/>
        <c:noMultiLvlLbl val="0"/>
      </c:catAx>
      <c:valAx>
        <c:axId val="457344432"/>
        <c:scaling>
          <c:orientation val="minMax"/>
        </c:scaling>
        <c:delete val="0"/>
        <c:axPos val="l"/>
        <c:majorGridlines/>
        <c:numFmt formatCode="_-* #,##0\ [$€-C0A]_-;\-* #,##0\ [$€-C0A]_-;_-* &quot;-&quot;??\ [$€-C0A]_-;_-@_-" sourceLinked="1"/>
        <c:majorTickMark val="out"/>
        <c:minorTickMark val="none"/>
        <c:tickLblPos val="nextTo"/>
        <c:crossAx val="4573487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41296"/>
        <c:axId val="457341688"/>
      </c:barChart>
      <c:catAx>
        <c:axId val="457341296"/>
        <c:scaling>
          <c:orientation val="minMax"/>
        </c:scaling>
        <c:delete val="0"/>
        <c:axPos val="b"/>
        <c:numFmt formatCode="General" sourceLinked="1"/>
        <c:majorTickMark val="out"/>
        <c:minorTickMark val="none"/>
        <c:tickLblPos val="nextTo"/>
        <c:crossAx val="457341688"/>
        <c:crosses val="autoZero"/>
        <c:auto val="1"/>
        <c:lblAlgn val="ctr"/>
        <c:lblOffset val="100"/>
        <c:noMultiLvlLbl val="0"/>
      </c:catAx>
      <c:valAx>
        <c:axId val="457341688"/>
        <c:scaling>
          <c:orientation val="minMax"/>
        </c:scaling>
        <c:delete val="0"/>
        <c:axPos val="l"/>
        <c:majorGridlines/>
        <c:numFmt formatCode="_-* #,##0\ [$€-C0A]_-;\-* #,##0\ [$€-C0A]_-;_-* &quot;-&quot;??\ [$€-C0A]_-;_-@_-" sourceLinked="1"/>
        <c:majorTickMark val="out"/>
        <c:minorTickMark val="none"/>
        <c:tickLblPos val="nextTo"/>
        <c:crossAx val="457341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54232"/>
        <c:axId val="457356192"/>
      </c:barChart>
      <c:catAx>
        <c:axId val="457354232"/>
        <c:scaling>
          <c:orientation val="minMax"/>
        </c:scaling>
        <c:delete val="0"/>
        <c:axPos val="b"/>
        <c:numFmt formatCode="General" sourceLinked="1"/>
        <c:majorTickMark val="out"/>
        <c:minorTickMark val="none"/>
        <c:tickLblPos val="nextTo"/>
        <c:crossAx val="457356192"/>
        <c:crosses val="autoZero"/>
        <c:auto val="1"/>
        <c:lblAlgn val="ctr"/>
        <c:lblOffset val="100"/>
        <c:noMultiLvlLbl val="0"/>
      </c:catAx>
      <c:valAx>
        <c:axId val="457356192"/>
        <c:scaling>
          <c:orientation val="minMax"/>
        </c:scaling>
        <c:delete val="0"/>
        <c:axPos val="l"/>
        <c:majorGridlines/>
        <c:numFmt formatCode="_-* #,##0\ [$€-C0A]_-;\-* #,##0\ [$€-C0A]_-;_-* &quot;-&quot;??\ [$€-C0A]_-;_-@_-" sourceLinked="1"/>
        <c:majorTickMark val="out"/>
        <c:minorTickMark val="none"/>
        <c:tickLblPos val="nextTo"/>
        <c:crossAx val="457354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53840"/>
        <c:axId val="457354624"/>
      </c:barChart>
      <c:catAx>
        <c:axId val="457353840"/>
        <c:scaling>
          <c:orientation val="minMax"/>
        </c:scaling>
        <c:delete val="0"/>
        <c:axPos val="b"/>
        <c:numFmt formatCode="General" sourceLinked="1"/>
        <c:majorTickMark val="out"/>
        <c:minorTickMark val="none"/>
        <c:tickLblPos val="nextTo"/>
        <c:crossAx val="457354624"/>
        <c:crosses val="autoZero"/>
        <c:auto val="1"/>
        <c:lblAlgn val="ctr"/>
        <c:lblOffset val="100"/>
        <c:noMultiLvlLbl val="0"/>
      </c:catAx>
      <c:valAx>
        <c:axId val="457354624"/>
        <c:scaling>
          <c:orientation val="minMax"/>
        </c:scaling>
        <c:delete val="0"/>
        <c:axPos val="l"/>
        <c:majorGridlines/>
        <c:numFmt formatCode="_-* #,##0\ [$€-C0A]_-;\-* #,##0\ [$€-C0A]_-;_-* &quot;-&quot;??\ [$€-C0A]_-;_-@_-" sourceLinked="1"/>
        <c:majorTickMark val="out"/>
        <c:minorTickMark val="none"/>
        <c:tickLblPos val="nextTo"/>
        <c:crossAx val="457353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57355016"/>
        <c:axId val="457355800"/>
      </c:barChart>
      <c:catAx>
        <c:axId val="457355016"/>
        <c:scaling>
          <c:orientation val="minMax"/>
        </c:scaling>
        <c:delete val="0"/>
        <c:axPos val="b"/>
        <c:numFmt formatCode="General" sourceLinked="1"/>
        <c:majorTickMark val="out"/>
        <c:minorTickMark val="none"/>
        <c:tickLblPos val="nextTo"/>
        <c:crossAx val="457355800"/>
        <c:crosses val="autoZero"/>
        <c:auto val="1"/>
        <c:lblAlgn val="ctr"/>
        <c:lblOffset val="100"/>
        <c:noMultiLvlLbl val="0"/>
      </c:catAx>
      <c:valAx>
        <c:axId val="457355800"/>
        <c:scaling>
          <c:orientation val="minMax"/>
        </c:scaling>
        <c:delete val="0"/>
        <c:axPos val="l"/>
        <c:majorGridlines/>
        <c:numFmt formatCode="_-* #,##0\ [$€-C0A]_-;\-* #,##0\ [$€-C0A]_-;_-* &quot;-&quot;??\ [$€-C0A]_-;_-@_-" sourceLinked="1"/>
        <c:majorTickMark val="out"/>
        <c:minorTickMark val="none"/>
        <c:tickLblPos val="nextTo"/>
        <c:crossAx val="457355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4699640"/>
        <c:axId val="414702384"/>
      </c:barChart>
      <c:catAx>
        <c:axId val="414699640"/>
        <c:scaling>
          <c:orientation val="minMax"/>
        </c:scaling>
        <c:delete val="0"/>
        <c:axPos val="b"/>
        <c:numFmt formatCode="General" sourceLinked="1"/>
        <c:majorTickMark val="out"/>
        <c:minorTickMark val="none"/>
        <c:tickLblPos val="nextTo"/>
        <c:crossAx val="414702384"/>
        <c:crosses val="autoZero"/>
        <c:auto val="1"/>
        <c:lblAlgn val="ctr"/>
        <c:lblOffset val="100"/>
        <c:noMultiLvlLbl val="0"/>
      </c:catAx>
      <c:valAx>
        <c:axId val="414702384"/>
        <c:scaling>
          <c:orientation val="minMax"/>
        </c:scaling>
        <c:delete val="0"/>
        <c:axPos val="l"/>
        <c:majorGridlines/>
        <c:numFmt formatCode="_-* #,##0\ [$€-C0A]_-;\-* #,##0\ [$€-C0A]_-;_-* &quot;-&quot;??\ [$€-C0A]_-;_-@_-" sourceLinked="1"/>
        <c:majorTickMark val="out"/>
        <c:minorTickMark val="none"/>
        <c:tickLblPos val="nextTo"/>
        <c:crossAx val="414699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0370056"/>
        <c:axId val="460380640"/>
      </c:barChart>
      <c:catAx>
        <c:axId val="460370056"/>
        <c:scaling>
          <c:orientation val="minMax"/>
        </c:scaling>
        <c:delete val="0"/>
        <c:axPos val="b"/>
        <c:numFmt formatCode="General" sourceLinked="1"/>
        <c:majorTickMark val="out"/>
        <c:minorTickMark val="none"/>
        <c:tickLblPos val="nextTo"/>
        <c:crossAx val="460380640"/>
        <c:crosses val="autoZero"/>
        <c:auto val="1"/>
        <c:lblAlgn val="ctr"/>
        <c:lblOffset val="100"/>
        <c:noMultiLvlLbl val="0"/>
      </c:catAx>
      <c:valAx>
        <c:axId val="460380640"/>
        <c:scaling>
          <c:orientation val="minMax"/>
        </c:scaling>
        <c:delete val="0"/>
        <c:axPos val="l"/>
        <c:majorGridlines/>
        <c:numFmt formatCode="_-* #,##0\ [$€-C0A]_-;\-* #,##0\ [$€-C0A]_-;_-* &quot;-&quot;??\ [$€-C0A]_-;_-@_-" sourceLinked="1"/>
        <c:majorTickMark val="out"/>
        <c:minorTickMark val="none"/>
        <c:tickLblPos val="nextTo"/>
        <c:crossAx val="460370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60378680"/>
        <c:axId val="460376720"/>
      </c:barChart>
      <c:catAx>
        <c:axId val="460378680"/>
        <c:scaling>
          <c:orientation val="minMax"/>
        </c:scaling>
        <c:delete val="0"/>
        <c:axPos val="b"/>
        <c:numFmt formatCode="General" sourceLinked="1"/>
        <c:majorTickMark val="out"/>
        <c:minorTickMark val="none"/>
        <c:tickLblPos val="nextTo"/>
        <c:crossAx val="460376720"/>
        <c:crosses val="autoZero"/>
        <c:auto val="1"/>
        <c:lblAlgn val="ctr"/>
        <c:lblOffset val="100"/>
        <c:noMultiLvlLbl val="0"/>
      </c:catAx>
      <c:valAx>
        <c:axId val="460376720"/>
        <c:scaling>
          <c:orientation val="minMax"/>
        </c:scaling>
        <c:delete val="0"/>
        <c:axPos val="l"/>
        <c:majorGridlines/>
        <c:numFmt formatCode="_-* #,##0\ [$€-C0A]_-;\-* #,##0\ [$€-C0A]_-;_-* &quot;-&quot;??\ [$€-C0A]_-;_-@_-" sourceLinked="1"/>
        <c:majorTickMark val="out"/>
        <c:minorTickMark val="none"/>
        <c:tickLblPos val="nextTo"/>
        <c:crossAx val="460378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0377504"/>
        <c:axId val="460381424"/>
      </c:barChart>
      <c:catAx>
        <c:axId val="460377504"/>
        <c:scaling>
          <c:orientation val="minMax"/>
        </c:scaling>
        <c:delete val="0"/>
        <c:axPos val="b"/>
        <c:numFmt formatCode="General" sourceLinked="1"/>
        <c:majorTickMark val="out"/>
        <c:minorTickMark val="none"/>
        <c:tickLblPos val="nextTo"/>
        <c:crossAx val="460381424"/>
        <c:crosses val="autoZero"/>
        <c:auto val="1"/>
        <c:lblAlgn val="ctr"/>
        <c:lblOffset val="100"/>
        <c:noMultiLvlLbl val="0"/>
      </c:catAx>
      <c:valAx>
        <c:axId val="460381424"/>
        <c:scaling>
          <c:orientation val="minMax"/>
        </c:scaling>
        <c:delete val="0"/>
        <c:axPos val="l"/>
        <c:majorGridlines/>
        <c:numFmt formatCode="_-* #,##0\ [$€-C0A]_-;\-* #,##0\ [$€-C0A]_-;_-* &quot;-&quot;??\ [$€-C0A]_-;_-@_-" sourceLinked="1"/>
        <c:majorTickMark val="out"/>
        <c:minorTickMark val="none"/>
        <c:tickLblPos val="nextTo"/>
        <c:crossAx val="460377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60379072"/>
        <c:axId val="460379464"/>
      </c:lineChart>
      <c:catAx>
        <c:axId val="460379072"/>
        <c:scaling>
          <c:orientation val="minMax"/>
        </c:scaling>
        <c:delete val="0"/>
        <c:axPos val="b"/>
        <c:numFmt formatCode="General" sourceLinked="0"/>
        <c:majorTickMark val="out"/>
        <c:minorTickMark val="none"/>
        <c:tickLblPos val="nextTo"/>
        <c:crossAx val="460379464"/>
        <c:crosses val="autoZero"/>
        <c:auto val="1"/>
        <c:lblAlgn val="ctr"/>
        <c:lblOffset val="100"/>
        <c:noMultiLvlLbl val="0"/>
      </c:catAx>
      <c:valAx>
        <c:axId val="460379464"/>
        <c:scaling>
          <c:orientation val="minMax"/>
          <c:min val="0"/>
        </c:scaling>
        <c:delete val="0"/>
        <c:axPos val="l"/>
        <c:majorGridlines/>
        <c:numFmt formatCode="General" sourceLinked="1"/>
        <c:majorTickMark val="out"/>
        <c:minorTickMark val="none"/>
        <c:tickLblPos val="nextTo"/>
        <c:crossAx val="46037907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4692976"/>
        <c:axId val="414703952"/>
      </c:barChart>
      <c:catAx>
        <c:axId val="414692976"/>
        <c:scaling>
          <c:orientation val="minMax"/>
        </c:scaling>
        <c:delete val="0"/>
        <c:axPos val="b"/>
        <c:numFmt formatCode="General" sourceLinked="1"/>
        <c:majorTickMark val="out"/>
        <c:minorTickMark val="none"/>
        <c:tickLblPos val="nextTo"/>
        <c:crossAx val="414703952"/>
        <c:crosses val="autoZero"/>
        <c:auto val="1"/>
        <c:lblAlgn val="ctr"/>
        <c:lblOffset val="100"/>
        <c:noMultiLvlLbl val="0"/>
      </c:catAx>
      <c:valAx>
        <c:axId val="414703952"/>
        <c:scaling>
          <c:orientation val="minMax"/>
        </c:scaling>
        <c:delete val="0"/>
        <c:axPos val="l"/>
        <c:majorGridlines/>
        <c:numFmt formatCode="_-* #,##0\ [$€-C0A]_-;\-* #,##0\ [$€-C0A]_-;_-* &quot;-&quot;??\ [$€-C0A]_-;_-@_-" sourceLinked="1"/>
        <c:majorTickMark val="out"/>
        <c:minorTickMark val="none"/>
        <c:tickLblPos val="nextTo"/>
        <c:crossAx val="414692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4707088"/>
        <c:axId val="414704344"/>
      </c:barChart>
      <c:catAx>
        <c:axId val="414707088"/>
        <c:scaling>
          <c:orientation val="minMax"/>
        </c:scaling>
        <c:delete val="0"/>
        <c:axPos val="b"/>
        <c:numFmt formatCode="General" sourceLinked="1"/>
        <c:majorTickMark val="out"/>
        <c:minorTickMark val="none"/>
        <c:tickLblPos val="nextTo"/>
        <c:crossAx val="414704344"/>
        <c:crosses val="autoZero"/>
        <c:auto val="1"/>
        <c:lblAlgn val="ctr"/>
        <c:lblOffset val="100"/>
        <c:noMultiLvlLbl val="0"/>
      </c:catAx>
      <c:valAx>
        <c:axId val="414704344"/>
        <c:scaling>
          <c:orientation val="minMax"/>
        </c:scaling>
        <c:delete val="0"/>
        <c:axPos val="l"/>
        <c:majorGridlines/>
        <c:numFmt formatCode="_-* #,##0\ [$€-C0A]_-;\-* #,##0\ [$€-C0A]_-;_-* &quot;-&quot;??\ [$€-C0A]_-;_-@_-" sourceLinked="1"/>
        <c:majorTickMark val="out"/>
        <c:minorTickMark val="none"/>
        <c:tickLblPos val="nextTo"/>
        <c:crossAx val="414707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414705520"/>
        <c:axId val="414705912"/>
      </c:barChart>
      <c:catAx>
        <c:axId val="414705520"/>
        <c:scaling>
          <c:orientation val="minMax"/>
        </c:scaling>
        <c:delete val="0"/>
        <c:axPos val="b"/>
        <c:numFmt formatCode="General" sourceLinked="1"/>
        <c:majorTickMark val="out"/>
        <c:minorTickMark val="none"/>
        <c:tickLblPos val="nextTo"/>
        <c:crossAx val="414705912"/>
        <c:crosses val="autoZero"/>
        <c:auto val="1"/>
        <c:lblAlgn val="ctr"/>
        <c:lblOffset val="100"/>
        <c:noMultiLvlLbl val="0"/>
      </c:catAx>
      <c:valAx>
        <c:axId val="414705912"/>
        <c:scaling>
          <c:orientation val="minMax"/>
        </c:scaling>
        <c:delete val="0"/>
        <c:axPos val="l"/>
        <c:majorGridlines/>
        <c:numFmt formatCode="_-* #,##0\ [$€-C0A]_-;\-* #,##0\ [$€-C0A]_-;_-* &quot;-&quot;??\ [$€-C0A]_-;_-@_-" sourceLinked="1"/>
        <c:majorTickMark val="out"/>
        <c:minorTickMark val="none"/>
        <c:tickLblPos val="nextTo"/>
        <c:crossAx val="414705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4706696"/>
        <c:axId val="457347960"/>
      </c:barChart>
      <c:catAx>
        <c:axId val="414706696"/>
        <c:scaling>
          <c:orientation val="minMax"/>
        </c:scaling>
        <c:delete val="0"/>
        <c:axPos val="b"/>
        <c:numFmt formatCode="General" sourceLinked="1"/>
        <c:majorTickMark val="out"/>
        <c:minorTickMark val="none"/>
        <c:tickLblPos val="nextTo"/>
        <c:crossAx val="457347960"/>
        <c:crosses val="autoZero"/>
        <c:auto val="1"/>
        <c:lblAlgn val="ctr"/>
        <c:lblOffset val="100"/>
        <c:noMultiLvlLbl val="0"/>
      </c:catAx>
      <c:valAx>
        <c:axId val="457347960"/>
        <c:scaling>
          <c:orientation val="minMax"/>
        </c:scaling>
        <c:delete val="0"/>
        <c:axPos val="l"/>
        <c:majorGridlines/>
        <c:numFmt formatCode="_-* #,##0\ [$€-C0A]_-;\-* #,##0\ [$€-C0A]_-;_-* &quot;-&quot;??\ [$€-C0A]_-;_-@_-" sourceLinked="1"/>
        <c:majorTickMark val="out"/>
        <c:minorTickMark val="none"/>
        <c:tickLblPos val="nextTo"/>
        <c:crossAx val="414706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7349136"/>
        <c:axId val="457344824"/>
      </c:barChart>
      <c:catAx>
        <c:axId val="457349136"/>
        <c:scaling>
          <c:orientation val="minMax"/>
        </c:scaling>
        <c:delete val="0"/>
        <c:axPos val="b"/>
        <c:numFmt formatCode="General" sourceLinked="1"/>
        <c:majorTickMark val="out"/>
        <c:minorTickMark val="none"/>
        <c:tickLblPos val="nextTo"/>
        <c:crossAx val="457344824"/>
        <c:crosses val="autoZero"/>
        <c:auto val="1"/>
        <c:lblAlgn val="ctr"/>
        <c:lblOffset val="100"/>
        <c:noMultiLvlLbl val="0"/>
      </c:catAx>
      <c:valAx>
        <c:axId val="457344824"/>
        <c:scaling>
          <c:orientation val="minMax"/>
        </c:scaling>
        <c:delete val="0"/>
        <c:axPos val="l"/>
        <c:majorGridlines/>
        <c:numFmt formatCode="_-* #,##0\ [$€-C0A]_-;\-* #,##0\ [$€-C0A]_-;_-* &quot;-&quot;??\ [$€-C0A]_-;_-@_-" sourceLinked="1"/>
        <c:majorTickMark val="out"/>
        <c:minorTickMark val="none"/>
        <c:tickLblPos val="nextTo"/>
        <c:crossAx val="457349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457351488"/>
        <c:axId val="457342472"/>
      </c:barChart>
      <c:catAx>
        <c:axId val="457351488"/>
        <c:scaling>
          <c:orientation val="minMax"/>
        </c:scaling>
        <c:delete val="0"/>
        <c:axPos val="b"/>
        <c:numFmt formatCode="General" sourceLinked="1"/>
        <c:majorTickMark val="out"/>
        <c:minorTickMark val="none"/>
        <c:tickLblPos val="nextTo"/>
        <c:crossAx val="457342472"/>
        <c:crosses val="autoZero"/>
        <c:auto val="1"/>
        <c:lblAlgn val="ctr"/>
        <c:lblOffset val="100"/>
        <c:noMultiLvlLbl val="0"/>
      </c:catAx>
      <c:valAx>
        <c:axId val="457342472"/>
        <c:scaling>
          <c:orientation val="minMax"/>
        </c:scaling>
        <c:delete val="0"/>
        <c:axPos val="l"/>
        <c:majorGridlines/>
        <c:numFmt formatCode="_-* #,##0\ [$€-C0A]_-;\-* #,##0\ [$€-C0A]_-;_-* &quot;-&quot;??\ [$€-C0A]_-;_-@_-" sourceLinked="1"/>
        <c:majorTickMark val="out"/>
        <c:minorTickMark val="none"/>
        <c:tickLblPos val="nextTo"/>
        <c:crossAx val="457351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457345608"/>
        <c:axId val="457351880"/>
      </c:barChart>
      <c:catAx>
        <c:axId val="457345608"/>
        <c:scaling>
          <c:orientation val="minMax"/>
        </c:scaling>
        <c:delete val="0"/>
        <c:axPos val="b"/>
        <c:numFmt formatCode="General" sourceLinked="1"/>
        <c:majorTickMark val="out"/>
        <c:minorTickMark val="none"/>
        <c:tickLblPos val="nextTo"/>
        <c:crossAx val="457351880"/>
        <c:crosses val="autoZero"/>
        <c:auto val="1"/>
        <c:lblAlgn val="ctr"/>
        <c:lblOffset val="100"/>
        <c:noMultiLvlLbl val="0"/>
      </c:catAx>
      <c:valAx>
        <c:axId val="457351880"/>
        <c:scaling>
          <c:orientation val="minMax"/>
        </c:scaling>
        <c:delete val="0"/>
        <c:axPos val="l"/>
        <c:majorGridlines/>
        <c:numFmt formatCode="_-* #,##0\ [$€-C0A]_-;\-* #,##0\ [$€-C0A]_-;_-* &quot;-&quot;??\ [$€-C0A]_-;_-@_-" sourceLinked="1"/>
        <c:majorTickMark val="out"/>
        <c:minorTickMark val="none"/>
        <c:tickLblPos val="nextTo"/>
        <c:crossAx val="457345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43145</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1745</v>
      </c>
      <c r="G5" s="592">
        <f ca="1">F5/112</f>
        <v>15.580357142857142</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1745</v>
      </c>
      <c r="G6" s="592">
        <f t="shared" ref="G6:G20" ca="1" si="1">F6/112</f>
        <v>15.580357142857142</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1626</v>
      </c>
      <c r="G7" s="592">
        <f t="shared" ca="1" si="1"/>
        <v>14.517857142857142</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1618</v>
      </c>
      <c r="G8" s="592">
        <f t="shared" ca="1" si="1"/>
        <v>14.446428571428571</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1606</v>
      </c>
      <c r="G9" s="592">
        <f t="shared" ca="1" si="1"/>
        <v>14.339285714285714</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1593</v>
      </c>
      <c r="G10" s="592">
        <f t="shared" ca="1" si="1"/>
        <v>14.223214285714286</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1562</v>
      </c>
      <c r="G11" s="592">
        <f t="shared" ca="1" si="1"/>
        <v>13.946428571428571</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1492</v>
      </c>
      <c r="G12" s="592">
        <f t="shared" ca="1" si="1"/>
        <v>13.321428571428571</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1481</v>
      </c>
      <c r="G13" s="592">
        <f t="shared" ca="1" si="1"/>
        <v>13.223214285714286</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1459</v>
      </c>
      <c r="G14" s="592">
        <f t="shared" ca="1" si="1"/>
        <v>13.026785714285714</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1423</v>
      </c>
      <c r="G15" s="592">
        <f t="shared" ca="1" si="1"/>
        <v>12.705357142857142</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1408</v>
      </c>
      <c r="G16" s="592">
        <f t="shared" ca="1" si="1"/>
        <v>12.571428571428571</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1398</v>
      </c>
      <c r="G17" s="592">
        <f t="shared" ca="1" si="1"/>
        <v>12.482142857142858</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1234</v>
      </c>
      <c r="G18" s="592">
        <f t="shared" ca="1" si="1"/>
        <v>11.017857142857142</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1172</v>
      </c>
      <c r="G19" s="592">
        <f t="shared" ca="1" si="1"/>
        <v>10.464285714285714</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1039</v>
      </c>
      <c r="G20" s="592">
        <f t="shared" ca="1" si="1"/>
        <v>9.2767857142857135</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43145</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0.20999999999999988</v>
      </c>
      <c r="BA2" s="436">
        <f>SUM(BA4:BA14)</f>
        <v>0.21499999999999989</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0.21799999999999997</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2.4017857142857144</v>
      </c>
      <c r="D4" s="294" t="str">
        <f>PLANTILLA!D5</f>
        <v>D. Gehmacher</v>
      </c>
      <c r="E4" s="387">
        <f>PLANTILLA!E5</f>
        <v>30</v>
      </c>
      <c r="F4" s="394">
        <f ca="1">PLANTILLA!F5</f>
        <v>67</v>
      </c>
      <c r="G4" s="388"/>
      <c r="H4" s="402">
        <v>7</v>
      </c>
      <c r="I4" s="308">
        <f>PLANTILLA!I5</f>
        <v>18.5</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v>
      </c>
      <c r="Q4" s="410">
        <f t="shared" ref="Q4:Q23" si="4">E4</f>
        <v>30</v>
      </c>
      <c r="R4" s="411">
        <f t="shared" ref="R4:R23" ca="1" si="5">F4+7</f>
        <v>74</v>
      </c>
      <c r="S4" s="180"/>
      <c r="T4" s="180"/>
      <c r="U4" s="180"/>
      <c r="V4" s="180"/>
      <c r="W4" s="180"/>
      <c r="X4" s="180"/>
      <c r="Y4" s="180"/>
      <c r="Z4" s="180"/>
      <c r="AA4" s="296">
        <f t="shared" ref="AA4:AA23" si="6">I4+$AA$2</f>
        <v>18.5</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18.5</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-1.6785714285714286</v>
      </c>
      <c r="D5" s="386" t="s">
        <v>267</v>
      </c>
      <c r="E5" s="387">
        <f>PLANTILLA!E6</f>
        <v>34</v>
      </c>
      <c r="F5" s="387">
        <f ca="1">PLANTILLA!F6</f>
        <v>76</v>
      </c>
      <c r="G5" s="388" t="s">
        <v>502</v>
      </c>
      <c r="H5" s="371">
        <v>4</v>
      </c>
      <c r="I5" s="308">
        <f>PLANTILLA!I6</f>
        <v>7.9</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34</v>
      </c>
      <c r="R5" s="411">
        <f t="shared" ca="1" si="5"/>
        <v>83</v>
      </c>
      <c r="S5" s="180"/>
      <c r="T5" s="180"/>
      <c r="U5" s="180"/>
      <c r="V5" s="180"/>
      <c r="W5" s="180"/>
      <c r="X5" s="180"/>
      <c r="Y5" s="180"/>
      <c r="Z5" s="180"/>
      <c r="AA5" s="296">
        <f t="shared" si="6"/>
        <v>7.9</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0.8928571428571429</v>
      </c>
      <c r="D7" s="294" t="s">
        <v>275</v>
      </c>
      <c r="E7" s="387">
        <f>PLANTILLA!E8</f>
        <v>32</v>
      </c>
      <c r="F7" s="387">
        <f ca="1">PLANTILLA!F8</f>
        <v>12</v>
      </c>
      <c r="G7" s="388" t="s">
        <v>502</v>
      </c>
      <c r="H7" s="393">
        <v>5</v>
      </c>
      <c r="I7" s="308">
        <f>PLANTILLA!I8</f>
        <v>7.6</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19</v>
      </c>
      <c r="S7" s="180"/>
      <c r="T7" s="180"/>
      <c r="U7" s="180"/>
      <c r="V7" s="180"/>
      <c r="W7" s="180"/>
      <c r="X7" s="180"/>
      <c r="Y7" s="180"/>
      <c r="Z7" s="180"/>
      <c r="AA7" s="296">
        <f t="shared" si="6"/>
        <v>7.6</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1.3035714285714286</v>
      </c>
      <c r="D8" s="386" t="s">
        <v>269</v>
      </c>
      <c r="E8" s="387">
        <f>PLANTILLA!E9</f>
        <v>31</v>
      </c>
      <c r="F8" s="387">
        <f ca="1">PLANTILLA!F9</f>
        <v>78</v>
      </c>
      <c r="G8" s="388"/>
      <c r="H8" s="393">
        <v>5</v>
      </c>
      <c r="I8" s="308">
        <f>PLANTILLA!I9</f>
        <v>12.4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16.977777777777774</v>
      </c>
      <c r="Q8" s="410">
        <f t="shared" si="4"/>
        <v>31</v>
      </c>
      <c r="R8" s="411">
        <f t="shared" ca="1" si="5"/>
        <v>85</v>
      </c>
      <c r="S8" s="180"/>
      <c r="T8" s="180"/>
      <c r="U8" s="180"/>
      <c r="V8" s="180"/>
      <c r="W8" s="180"/>
      <c r="X8" s="180"/>
      <c r="Y8" s="180"/>
      <c r="Z8" s="180"/>
      <c r="AA8" s="296">
        <f t="shared" si="6"/>
        <v>12.4</v>
      </c>
      <c r="AB8" s="505">
        <f t="shared" si="20"/>
        <v>0</v>
      </c>
      <c r="AC8" s="505">
        <f>K8+(T$2/11)</f>
        <v>12.200000000000005</v>
      </c>
      <c r="AD8" s="505">
        <f>L8+(U$2/29)</f>
        <v>13.261555555555553</v>
      </c>
      <c r="AE8" s="505">
        <f>M8+(V$2/13)</f>
        <v>9.8750000000000053</v>
      </c>
      <c r="AF8" s="505">
        <f>N8+(W$2/8)</f>
        <v>9.6</v>
      </c>
      <c r="AG8" s="505">
        <f>O8+(X$2/19)+(Y$2/6)</f>
        <v>3.6816666666666658</v>
      </c>
      <c r="AH8" s="505">
        <f>P8+(Z$2/2.5)+(Y$2/10)</f>
        <v>17.377777777777773</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1.4375</v>
      </c>
      <c r="D9" s="294" t="s">
        <v>273</v>
      </c>
      <c r="E9" s="387">
        <f>PLANTILLA!E10</f>
        <v>31</v>
      </c>
      <c r="F9" s="387">
        <f ca="1">PLANTILLA!F10</f>
        <v>63</v>
      </c>
      <c r="G9" s="388"/>
      <c r="H9" s="371">
        <v>4</v>
      </c>
      <c r="I9" s="308">
        <f>PLANTILLA!I10</f>
        <v>9.5</v>
      </c>
      <c r="J9" s="485">
        <f>PLANTILLA!X10</f>
        <v>0</v>
      </c>
      <c r="K9" s="485">
        <f>PLANTILLA!Y10</f>
        <v>11.999999999999996</v>
      </c>
      <c r="L9" s="485">
        <f>PLANTILLA!Z10</f>
        <v>7.0225000000000017</v>
      </c>
      <c r="M9" s="485">
        <f>PLANTILLA!AA10</f>
        <v>7.5000000000000018</v>
      </c>
      <c r="N9" s="485">
        <f>PLANTILLA!AB10</f>
        <v>9.0199999999999978</v>
      </c>
      <c r="O9" s="485">
        <f>PLANTILLA!AC10</f>
        <v>4.6199999999999966</v>
      </c>
      <c r="P9" s="485">
        <f>PLANTILLA!AD10</f>
        <v>15.928888888888888</v>
      </c>
      <c r="Q9" s="410">
        <f t="shared" si="4"/>
        <v>31</v>
      </c>
      <c r="R9" s="411">
        <f t="shared" ca="1" si="5"/>
        <v>70</v>
      </c>
      <c r="S9" s="180"/>
      <c r="T9" s="180"/>
      <c r="U9" s="180"/>
      <c r="V9" s="180"/>
      <c r="W9" s="180"/>
      <c r="X9" s="180"/>
      <c r="Y9" s="180"/>
      <c r="Z9" s="180"/>
      <c r="AA9" s="296">
        <f t="shared" si="6"/>
        <v>9.5</v>
      </c>
      <c r="AB9" s="505">
        <f t="shared" si="20"/>
        <v>0</v>
      </c>
      <c r="AC9" s="505">
        <f>K9+(T$2/10)</f>
        <v>11.999999999999996</v>
      </c>
      <c r="AD9" s="505">
        <f>L9+(U$2/31)</f>
        <v>7.0225000000000017</v>
      </c>
      <c r="AE9" s="505">
        <f>M9+(V$2/6)</f>
        <v>7.5000000000000018</v>
      </c>
      <c r="AF9" s="505">
        <f>N9+(W$2/7)</f>
        <v>9.0199999999999978</v>
      </c>
      <c r="AG9" s="505">
        <f>O9+(X$2/21)+(Y$2/7)</f>
        <v>4.6199999999999966</v>
      </c>
      <c r="AH9" s="505">
        <f>P9+(Z$2/2)+(Y$2/10)</f>
        <v>16.428888888888888</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5.2321428571428568</v>
      </c>
      <c r="D10" s="294" t="s">
        <v>567</v>
      </c>
      <c r="E10" s="387">
        <f>PLANTILLA!E11</f>
        <v>27</v>
      </c>
      <c r="F10" s="387">
        <f ca="1">PLANTILLA!F11</f>
        <v>86</v>
      </c>
      <c r="G10" s="388"/>
      <c r="H10" s="393">
        <v>5</v>
      </c>
      <c r="I10" s="308">
        <f>PLANTILLA!I11</f>
        <v>4.9000000000000004</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27</v>
      </c>
      <c r="R10" s="411">
        <f t="shared" ca="1" si="5"/>
        <v>93</v>
      </c>
      <c r="S10" s="180"/>
      <c r="T10" s="180"/>
      <c r="U10" s="180"/>
      <c r="V10" s="180"/>
      <c r="W10" s="180"/>
      <c r="X10" s="180"/>
      <c r="Y10" s="180"/>
      <c r="Z10" s="180"/>
      <c r="AA10" s="296">
        <f t="shared" si="6"/>
        <v>4.9000000000000004</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1.6428571428571428</v>
      </c>
      <c r="D11" s="386" t="s">
        <v>270</v>
      </c>
      <c r="E11" s="387">
        <f>PLANTILLA!E12</f>
        <v>31</v>
      </c>
      <c r="F11" s="387">
        <f ca="1">PLANTILLA!F12</f>
        <v>40</v>
      </c>
      <c r="G11" s="388" t="s">
        <v>271</v>
      </c>
      <c r="H11" s="371">
        <v>1</v>
      </c>
      <c r="I11" s="308">
        <f>PLANTILLA!I12</f>
        <v>12.6</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17.329999999999998</v>
      </c>
      <c r="Q11" s="410">
        <f t="shared" si="4"/>
        <v>31</v>
      </c>
      <c r="R11" s="411">
        <f t="shared" ca="1" si="5"/>
        <v>47</v>
      </c>
      <c r="S11" s="180"/>
      <c r="T11" s="180"/>
      <c r="U11" s="180"/>
      <c r="V11" s="180"/>
      <c r="W11" s="180"/>
      <c r="X11" s="180"/>
      <c r="Y11" s="180"/>
      <c r="Z11" s="180"/>
      <c r="AA11" s="296">
        <f t="shared" si="6"/>
        <v>12.6</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17.729999999999997</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2.1160714285714284</v>
      </c>
      <c r="D12" s="386" t="s">
        <v>298</v>
      </c>
      <c r="E12" s="387">
        <f>PLANTILLA!E13</f>
        <v>30</v>
      </c>
      <c r="F12" s="387">
        <f ca="1">PLANTILLA!F13</f>
        <v>99</v>
      </c>
      <c r="G12" s="388" t="s">
        <v>268</v>
      </c>
      <c r="H12" s="371">
        <v>3</v>
      </c>
      <c r="I12" s="308">
        <f>PLANTILLA!I13</f>
        <v>10.4</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17.568888888888893</v>
      </c>
      <c r="Q12" s="410">
        <f t="shared" si="4"/>
        <v>30</v>
      </c>
      <c r="R12" s="411">
        <f t="shared" ca="1" si="5"/>
        <v>106</v>
      </c>
      <c r="S12" s="180"/>
      <c r="T12" s="180"/>
      <c r="U12" s="180"/>
      <c r="V12" s="180"/>
      <c r="W12" s="180"/>
      <c r="X12" s="180"/>
      <c r="Y12" s="180"/>
      <c r="Z12" s="180"/>
      <c r="AA12" s="296">
        <f t="shared" si="6"/>
        <v>10.4</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17.968888888888891</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1.5000000000000051E-2</v>
      </c>
      <c r="BO12" s="434">
        <f t="shared" ref="BO12:BQ12" si="32">BO27</f>
        <v>1.5000000000000051E-2</v>
      </c>
      <c r="BP12" s="434">
        <f t="shared" si="32"/>
        <v>0</v>
      </c>
      <c r="BQ12" s="434">
        <f t="shared" si="32"/>
        <v>0</v>
      </c>
    </row>
    <row r="13" spans="1:76" s="264" customFormat="1" x14ac:dyDescent="0.25">
      <c r="A13" s="384" t="s">
        <v>506</v>
      </c>
      <c r="B13" s="384" t="s">
        <v>65</v>
      </c>
      <c r="C13" s="385">
        <f t="shared" ca="1" si="11"/>
        <v>4.9821428571428568</v>
      </c>
      <c r="D13" s="386" t="s">
        <v>507</v>
      </c>
      <c r="E13" s="387">
        <f>PLANTILLA!E14</f>
        <v>27</v>
      </c>
      <c r="F13" s="387">
        <f ca="1">PLANTILLA!F14</f>
        <v>114</v>
      </c>
      <c r="G13" s="388" t="s">
        <v>502</v>
      </c>
      <c r="H13" s="371">
        <v>3</v>
      </c>
      <c r="I13" s="308">
        <f>PLANTILLA!I14</f>
        <v>9</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15.67</v>
      </c>
      <c r="Q13" s="410">
        <f t="shared" si="4"/>
        <v>27</v>
      </c>
      <c r="R13" s="411">
        <f t="shared" ca="1" si="5"/>
        <v>121</v>
      </c>
      <c r="S13" s="180"/>
      <c r="T13" s="180"/>
      <c r="U13" s="180"/>
      <c r="V13" s="180"/>
      <c r="W13" s="180"/>
      <c r="X13" s="180"/>
      <c r="Y13" s="180"/>
      <c r="Z13" s="180"/>
      <c r="AA13" s="296">
        <f t="shared" si="6"/>
        <v>9</v>
      </c>
      <c r="AB13" s="505">
        <f t="shared" si="20"/>
        <v>0</v>
      </c>
      <c r="AC13" s="505">
        <f>K13+(T$2/6.5)</f>
        <v>8.3599999999999977</v>
      </c>
      <c r="AD13" s="505">
        <f>L13+(U$2/8)</f>
        <v>12.253412698412699</v>
      </c>
      <c r="AE13" s="505">
        <f>M13+(V$2/6)</f>
        <v>12.36</v>
      </c>
      <c r="AF13" s="505">
        <f>N13+(W$2/8)</f>
        <v>10.24</v>
      </c>
      <c r="AG13" s="505">
        <f>O13+(X$2/4.5)+(Y$2/3.5)/2</f>
        <v>7.4766666666666666</v>
      </c>
      <c r="AH13" s="505">
        <f>P13+(Z$2/2)+(Y$2/10)</f>
        <v>16.170000000000002</v>
      </c>
      <c r="AI13" s="423">
        <f t="shared" si="12"/>
        <v>0</v>
      </c>
      <c r="AJ13" s="423">
        <f t="shared" si="13"/>
        <v>0</v>
      </c>
      <c r="AK13" s="423">
        <f t="shared" si="14"/>
        <v>0</v>
      </c>
      <c r="AL13" s="423">
        <f t="shared" si="15"/>
        <v>0</v>
      </c>
      <c r="AM13" s="423">
        <f t="shared" si="16"/>
        <v>0</v>
      </c>
      <c r="AN13" s="423">
        <f t="shared" si="17"/>
        <v>0</v>
      </c>
      <c r="AO13" s="423">
        <f t="shared" si="18"/>
        <v>0.50000000000000178</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3.0089285714285716</v>
      </c>
      <c r="D14" s="294" t="s">
        <v>415</v>
      </c>
      <c r="E14" s="387">
        <f>PLANTILLA!E15</f>
        <v>29</v>
      </c>
      <c r="F14" s="387">
        <f ca="1">PLANTILLA!F15</f>
        <v>111</v>
      </c>
      <c r="G14" s="388" t="s">
        <v>268</v>
      </c>
      <c r="H14" s="371">
        <v>4</v>
      </c>
      <c r="I14" s="308">
        <f>PLANTILLA!I15</f>
        <v>10.8</v>
      </c>
      <c r="J14" s="485">
        <f>PLANTILLA!X15</f>
        <v>0</v>
      </c>
      <c r="K14" s="485">
        <f>PLANTILLA!Y15</f>
        <v>9.3036666666666648</v>
      </c>
      <c r="L14" s="485">
        <f>PLANTILLA!Z15</f>
        <v>13.909999999999998</v>
      </c>
      <c r="M14" s="485">
        <f>PLANTILLA!AA15</f>
        <v>12.945</v>
      </c>
      <c r="N14" s="485">
        <f>PLANTILLA!AB15</f>
        <v>9.6733333333333356</v>
      </c>
      <c r="O14" s="485">
        <f>PLANTILLA!AC15</f>
        <v>5.0296666666666656</v>
      </c>
      <c r="P14" s="485">
        <f>PLANTILLA!AD15</f>
        <v>15.588888888888887</v>
      </c>
      <c r="Q14" s="410">
        <f t="shared" si="4"/>
        <v>29</v>
      </c>
      <c r="R14" s="411">
        <f t="shared" ca="1" si="5"/>
        <v>118</v>
      </c>
      <c r="S14" s="180"/>
      <c r="T14" s="180"/>
      <c r="U14" s="180"/>
      <c r="V14" s="180"/>
      <c r="W14" s="180"/>
      <c r="X14" s="180"/>
      <c r="Y14" s="180"/>
      <c r="Z14" s="180"/>
      <c r="AA14" s="296">
        <f t="shared" si="6"/>
        <v>10.8</v>
      </c>
      <c r="AB14" s="505">
        <f t="shared" si="20"/>
        <v>0</v>
      </c>
      <c r="AC14" s="505">
        <f>K14+(T$2/50)</f>
        <v>9.3036666666666648</v>
      </c>
      <c r="AD14" s="505">
        <f>L14+(U$2/10)</f>
        <v>13.909999999999998</v>
      </c>
      <c r="AE14" s="505">
        <f>M14+(V$2/15)</f>
        <v>12.945</v>
      </c>
      <c r="AF14" s="505">
        <f>N14+(W$2/7.5)</f>
        <v>9.6733333333333356</v>
      </c>
      <c r="AG14" s="505">
        <f>O14+(X$2/3.5)+(Y$2/6)</f>
        <v>5.0296666666666656</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1.5000000000000051E-2</v>
      </c>
      <c r="BA14" s="434">
        <f>(0.4*AJ13+0.3*AO13)/10</f>
        <v>1.5000000000000051E-2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0.7053571428571429</v>
      </c>
      <c r="D15" s="386" t="s">
        <v>285</v>
      </c>
      <c r="E15" s="387">
        <f>PLANTILLA!E16</f>
        <v>32</v>
      </c>
      <c r="F15" s="387">
        <f ca="1">PLANTILLA!F16</f>
        <v>33</v>
      </c>
      <c r="G15" s="388" t="s">
        <v>268</v>
      </c>
      <c r="H15" s="393">
        <v>5</v>
      </c>
      <c r="I15" s="308">
        <f>PLANTILLA!I16</f>
        <v>11.3</v>
      </c>
      <c r="J15" s="485">
        <f>PLANTILLA!X16</f>
        <v>0</v>
      </c>
      <c r="K15" s="485">
        <f>PLANTILLA!Y16</f>
        <v>8.6275555555555581</v>
      </c>
      <c r="L15" s="485">
        <f>PLANTILLA!Z16</f>
        <v>14.333255555555548</v>
      </c>
      <c r="M15" s="485">
        <f>PLANTILLA!AA16</f>
        <v>9.99</v>
      </c>
      <c r="N15" s="485">
        <f>PLANTILLA!AB16</f>
        <v>10.09</v>
      </c>
      <c r="O15" s="485">
        <f>PLANTILLA!AC16</f>
        <v>4.3999999999999995</v>
      </c>
      <c r="P15" s="485">
        <f>PLANTILLA!AD16</f>
        <v>16.944444444444439</v>
      </c>
      <c r="Q15" s="410">
        <f t="shared" si="4"/>
        <v>32</v>
      </c>
      <c r="R15" s="411">
        <f t="shared" ca="1" si="5"/>
        <v>40</v>
      </c>
      <c r="S15" s="180"/>
      <c r="T15" s="180"/>
      <c r="U15" s="180"/>
      <c r="V15" s="180"/>
      <c r="W15" s="180"/>
      <c r="X15" s="180"/>
      <c r="Y15" s="180"/>
      <c r="Z15" s="180"/>
      <c r="AA15" s="296">
        <f t="shared" si="6"/>
        <v>11.3</v>
      </c>
      <c r="AB15" s="505">
        <f t="shared" si="20"/>
        <v>0</v>
      </c>
      <c r="AC15" s="505">
        <f>K15+(T$2/50)</f>
        <v>8.6275555555555581</v>
      </c>
      <c r="AD15" s="505">
        <f>L15+(U$2/11)</f>
        <v>14.333255555555548</v>
      </c>
      <c r="AE15" s="505">
        <f>M15+(V$2/15)</f>
        <v>9.99</v>
      </c>
      <c r="AF15" s="505">
        <f>N15+(W$2/8)</f>
        <v>10.09</v>
      </c>
      <c r="AG15" s="505">
        <f>O15+(X$2/22)+(Y$2/7)</f>
        <v>4.3999999999999995</v>
      </c>
      <c r="AH15" s="505">
        <f>P15+(Z$2/2)+(Y$2/10)</f>
        <v>17.444444444444439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1.7589285714285714</v>
      </c>
      <c r="D16" s="386" t="s">
        <v>272</v>
      </c>
      <c r="E16" s="387">
        <f>PLANTILLA!E17</f>
        <v>31</v>
      </c>
      <c r="F16" s="387">
        <f ca="1">PLANTILLA!F17</f>
        <v>27</v>
      </c>
      <c r="G16" s="388"/>
      <c r="H16" s="371">
        <v>4</v>
      </c>
      <c r="I16" s="308">
        <f>PLANTILLA!I17</f>
        <v>9.3000000000000007</v>
      </c>
      <c r="J16" s="485">
        <f>PLANTILLA!X17</f>
        <v>0</v>
      </c>
      <c r="K16" s="485">
        <f>PLANTILLA!Y17</f>
        <v>10.549999999999995</v>
      </c>
      <c r="L16" s="485">
        <f>PLANTILLA!Z17</f>
        <v>12.939777777777776</v>
      </c>
      <c r="M16" s="485">
        <f>PLANTILLA!AA17</f>
        <v>5.1399999999999979</v>
      </c>
      <c r="N16" s="485">
        <f>PLANTILLA!AB17</f>
        <v>9.24</v>
      </c>
      <c r="O16" s="485">
        <f>PLANTILLA!AC17</f>
        <v>2.98</v>
      </c>
      <c r="P16" s="485">
        <f>PLANTILLA!AD17</f>
        <v>17.259999999999998</v>
      </c>
      <c r="Q16" s="410">
        <f t="shared" si="4"/>
        <v>31</v>
      </c>
      <c r="R16" s="411">
        <f t="shared" ca="1" si="5"/>
        <v>34</v>
      </c>
      <c r="S16" s="180"/>
      <c r="T16" s="180"/>
      <c r="U16" s="180"/>
      <c r="V16" s="180"/>
      <c r="W16" s="180"/>
      <c r="X16" s="180"/>
      <c r="Y16" s="180"/>
      <c r="Z16" s="180"/>
      <c r="AA16" s="296">
        <f t="shared" si="6"/>
        <v>9.3000000000000007</v>
      </c>
      <c r="AB16" s="505">
        <f t="shared" si="20"/>
        <v>0</v>
      </c>
      <c r="AC16" s="505">
        <f>K16+(T$2/7)</f>
        <v>10.549999999999995</v>
      </c>
      <c r="AD16" s="505">
        <f>L16+(U$2/11)</f>
        <v>12.939777777777776</v>
      </c>
      <c r="AE16" s="505">
        <f>M16+(V$2/19)</f>
        <v>5.1399999999999979</v>
      </c>
      <c r="AF16" s="505">
        <f>N16+(W$2/7)</f>
        <v>9.24</v>
      </c>
      <c r="AG16" s="505">
        <f>O16+(X$2/16)+(Y$2/5)</f>
        <v>2.98</v>
      </c>
      <c r="AH16" s="505">
        <f>P16+(Z$2/2.5)+(Y$2/10)</f>
        <v>17.659999999999997</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0.23599999999999996</v>
      </c>
      <c r="BA16" s="436">
        <f>SUM(BA18:BA28)</f>
        <v>0.24099999999999996</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0.20999999999999994</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1.9821428571428572</v>
      </c>
      <c r="D17" s="294" t="s">
        <v>400</v>
      </c>
      <c r="E17" s="387">
        <f>PLANTILLA!E18</f>
        <v>30</v>
      </c>
      <c r="F17" s="387">
        <f ca="1">PLANTILLA!F18</f>
        <v>114</v>
      </c>
      <c r="G17" s="388"/>
      <c r="H17" s="371">
        <v>1</v>
      </c>
      <c r="I17" s="308">
        <f>PLANTILLA!I18</f>
        <v>8.1999999999999993</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16.47</v>
      </c>
      <c r="Q17" s="410">
        <f t="shared" si="4"/>
        <v>30</v>
      </c>
      <c r="R17" s="411">
        <f t="shared" ca="1" si="5"/>
        <v>121</v>
      </c>
      <c r="S17" s="180"/>
      <c r="T17" s="180"/>
      <c r="U17" s="180"/>
      <c r="V17" s="180"/>
      <c r="W17" s="180"/>
      <c r="X17" s="180"/>
      <c r="Y17" s="180"/>
      <c r="Z17" s="180"/>
      <c r="AA17" s="296">
        <f t="shared" si="6"/>
        <v>8.1999999999999993</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16.869999999999997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3.4285714285714284</v>
      </c>
      <c r="D18" s="294" t="s">
        <v>414</v>
      </c>
      <c r="E18" s="387">
        <f>PLANTILLA!E19</f>
        <v>29</v>
      </c>
      <c r="F18" s="387">
        <f ca="1">PLANTILLA!F19</f>
        <v>64</v>
      </c>
      <c r="G18" s="388"/>
      <c r="H18" s="371">
        <v>3</v>
      </c>
      <c r="I18" s="308">
        <f>PLANTILLA!I19</f>
        <v>4</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12.65</v>
      </c>
      <c r="Q18" s="410">
        <f t="shared" si="4"/>
        <v>29</v>
      </c>
      <c r="R18" s="411">
        <f t="shared" ca="1" si="5"/>
        <v>71</v>
      </c>
      <c r="S18" s="180"/>
      <c r="T18" s="180"/>
      <c r="U18" s="180"/>
      <c r="V18" s="180"/>
      <c r="W18" s="180"/>
      <c r="X18" s="180"/>
      <c r="Y18" s="180"/>
      <c r="Z18" s="180"/>
      <c r="AA18" s="296">
        <f t="shared" si="6"/>
        <v>4</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13.15</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2.2946428571428572</v>
      </c>
      <c r="D20" s="294" t="str">
        <f>PLANTILLA!D7</f>
        <v>B. Pinczehelyi</v>
      </c>
      <c r="E20" s="387">
        <f>PLANTILLA!E7</f>
        <v>30</v>
      </c>
      <c r="F20" s="394">
        <f ca="1">PLANTILLA!F7</f>
        <v>79</v>
      </c>
      <c r="G20" s="388" t="s">
        <v>502</v>
      </c>
      <c r="H20" s="371">
        <v>2</v>
      </c>
      <c r="I20" s="308">
        <f>PLANTILLA!I7</f>
        <v>14.4</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10</v>
      </c>
      <c r="Q20" s="410">
        <f t="shared" si="4"/>
        <v>30</v>
      </c>
      <c r="R20" s="411">
        <f t="shared" ca="1" si="5"/>
        <v>86</v>
      </c>
      <c r="S20" s="180"/>
      <c r="T20" s="180"/>
      <c r="U20" s="180"/>
      <c r="V20" s="180"/>
      <c r="W20" s="180"/>
      <c r="X20" s="180"/>
      <c r="Y20" s="180"/>
      <c r="Z20" s="180"/>
      <c r="AA20" s="296">
        <f t="shared" si="6"/>
        <v>14.4</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11</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2.6517857142857144</v>
      </c>
      <c r="D21" s="386" t="s">
        <v>287</v>
      </c>
      <c r="E21" s="387">
        <f>PLANTILLA!E21</f>
        <v>30</v>
      </c>
      <c r="F21" s="387">
        <f ca="1">PLANTILLA!F21</f>
        <v>39</v>
      </c>
      <c r="G21" s="388" t="s">
        <v>296</v>
      </c>
      <c r="H21" s="371">
        <v>4</v>
      </c>
      <c r="I21" s="308">
        <f>PLANTILLA!I21</f>
        <v>10.3</v>
      </c>
      <c r="J21" s="485">
        <f>PLANTILLA!X21</f>
        <v>0</v>
      </c>
      <c r="K21" s="485">
        <f>PLANTILLA!Y21</f>
        <v>6.8376190476190493</v>
      </c>
      <c r="L21" s="485">
        <f>PLANTILLA!Z21</f>
        <v>8.6449999999999996</v>
      </c>
      <c r="M21" s="485">
        <f>PLANTILLA!AA21</f>
        <v>8.7399999999999967</v>
      </c>
      <c r="N21" s="485">
        <f>PLANTILLA!AB21</f>
        <v>9.6900000000000013</v>
      </c>
      <c r="O21" s="485">
        <f>PLANTILLA!AC21</f>
        <v>8.5625000000000018</v>
      </c>
      <c r="P21" s="485">
        <f>PLANTILLA!AD21</f>
        <v>18.889999999999993</v>
      </c>
      <c r="Q21" s="410">
        <f t="shared" si="4"/>
        <v>30</v>
      </c>
      <c r="R21" s="411">
        <f t="shared" ca="1" si="5"/>
        <v>46</v>
      </c>
      <c r="S21" s="180"/>
      <c r="T21" s="180"/>
      <c r="U21" s="180"/>
      <c r="V21" s="180"/>
      <c r="W21" s="180"/>
      <c r="X21" s="180"/>
      <c r="Y21" s="180"/>
      <c r="Z21" s="180"/>
      <c r="AA21" s="296">
        <f t="shared" si="6"/>
        <v>10.3</v>
      </c>
      <c r="AB21" s="505">
        <f t="shared" si="20"/>
        <v>0</v>
      </c>
      <c r="AC21" s="505">
        <f>K21+(T$2/32)</f>
        <v>6.8376190476190493</v>
      </c>
      <c r="AD21" s="505">
        <f>L21+(U$2/7)</f>
        <v>8.6449999999999996</v>
      </c>
      <c r="AE21" s="505">
        <f>M21+(V$2/25)</f>
        <v>8.7399999999999967</v>
      </c>
      <c r="AF21" s="505">
        <f>N21+(W$2/8)</f>
        <v>9.6900000000000013</v>
      </c>
      <c r="AG21" s="505">
        <f>O21+(X$2/6)+(Y$2/5)/2</f>
        <v>8.5625000000000018</v>
      </c>
      <c r="AH21" s="505">
        <f>P21+(Z$2/2)+(Y$2/10)</f>
        <v>19.389999999999993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2.0357142857142856</v>
      </c>
      <c r="D22" s="386" t="str">
        <f>PLANTILLA!D22</f>
        <v>L. Calosso</v>
      </c>
      <c r="E22" s="387">
        <f>PLANTILLA!E22</f>
        <v>30</v>
      </c>
      <c r="F22" s="387">
        <f ca="1">PLANTILLA!F22</f>
        <v>108</v>
      </c>
      <c r="G22" s="388"/>
      <c r="H22" s="371">
        <v>4</v>
      </c>
      <c r="I22" s="308">
        <f>PLANTILLA!I22</f>
        <v>10.5</v>
      </c>
      <c r="J22" s="485">
        <f>PLANTILLA!X22</f>
        <v>0</v>
      </c>
      <c r="K22" s="485">
        <f>PLANTILLA!Y22</f>
        <v>3.02</v>
      </c>
      <c r="L22" s="485">
        <f>PLANTILLA!Z22</f>
        <v>14.277609523809524</v>
      </c>
      <c r="M22" s="485">
        <f>PLANTILLA!AA22</f>
        <v>3.04</v>
      </c>
      <c r="N22" s="485">
        <f>PLANTILLA!AB22</f>
        <v>15.02</v>
      </c>
      <c r="O22" s="485">
        <f>PLANTILLA!AC22</f>
        <v>10</v>
      </c>
      <c r="P22" s="485">
        <f>PLANTILLA!AD22</f>
        <v>10</v>
      </c>
      <c r="Q22" s="410">
        <f t="shared" si="4"/>
        <v>30</v>
      </c>
      <c r="R22" s="411">
        <f t="shared" ca="1" si="5"/>
        <v>115</v>
      </c>
      <c r="S22" s="180"/>
      <c r="T22" s="180"/>
      <c r="U22" s="180"/>
      <c r="V22" s="180"/>
      <c r="W22" s="180"/>
      <c r="X22" s="180"/>
      <c r="Y22" s="180"/>
      <c r="Z22" s="180"/>
      <c r="AA22" s="296">
        <f t="shared" si="6"/>
        <v>10.5</v>
      </c>
      <c r="AB22" s="505">
        <f t="shared" si="20"/>
        <v>0</v>
      </c>
      <c r="AC22" s="505">
        <f>K22+(T$2/21)</f>
        <v>3.02</v>
      </c>
      <c r="AD22" s="505">
        <f>L22+(U$2/21)</f>
        <v>14.277609523809524</v>
      </c>
      <c r="AE22" s="505">
        <f>M22+(V$2/22)</f>
        <v>3.04</v>
      </c>
      <c r="AF22" s="505">
        <f>N22+(W$2/17)</f>
        <v>15.02</v>
      </c>
      <c r="AG22" s="505">
        <f>O22+(X$2/25)+(Y$2/8)</f>
        <v>10</v>
      </c>
      <c r="AH22" s="505">
        <f>P22+(Z$2/1)+(Y$2/10)</f>
        <v>11</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5.375</v>
      </c>
      <c r="D23" s="294" t="s">
        <v>541</v>
      </c>
      <c r="E23" s="387">
        <f>PLANTILLA!E23</f>
        <v>27</v>
      </c>
      <c r="F23" s="387">
        <f ca="1">PLANTILLA!F23</f>
        <v>70</v>
      </c>
      <c r="G23" s="388"/>
      <c r="H23" s="395">
        <v>6</v>
      </c>
      <c r="I23" s="308">
        <f>PLANTILLA!I23</f>
        <v>5.5</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27</v>
      </c>
      <c r="R23" s="411">
        <f t="shared" ca="1" si="5"/>
        <v>77</v>
      </c>
      <c r="S23" s="180"/>
      <c r="T23" s="180"/>
      <c r="U23" s="180"/>
      <c r="V23" s="180"/>
      <c r="W23" s="180"/>
      <c r="X23" s="180"/>
      <c r="Y23" s="180"/>
      <c r="Z23" s="180"/>
      <c r="AA23" s="296">
        <f t="shared" si="6"/>
        <v>5.5</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1.5000000000000051E-2</v>
      </c>
      <c r="BO27" s="434">
        <f t="shared" ref="BO27:BQ27" si="58">BA14</f>
        <v>1.5000000000000051E-2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1.5000000000000051E-2</v>
      </c>
      <c r="BA28" s="432">
        <f t="shared" ref="BA28:BC28" si="60">BA14</f>
        <v>1.5000000000000051E-2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v>
      </c>
      <c r="M3" t="s">
        <v>1</v>
      </c>
      <c r="N3" s="595">
        <v>1</v>
      </c>
      <c r="O3" s="596">
        <f>Evaluacion!X3</f>
        <v>15.632222297455513</v>
      </c>
      <c r="P3" s="596">
        <f>Evaluacion!Y3</f>
        <v>23.039796030728816</v>
      </c>
      <c r="Q3" s="596">
        <f>Evaluacion!Z3</f>
        <v>15.632222297455513</v>
      </c>
      <c r="R3" s="596">
        <v>0</v>
      </c>
      <c r="S3" s="596">
        <v>0</v>
      </c>
      <c r="T3" s="596">
        <v>0</v>
      </c>
      <c r="U3" s="596">
        <v>0</v>
      </c>
      <c r="V3" s="596">
        <v>0</v>
      </c>
      <c r="W3" s="596">
        <f>Evaluacion!T3</f>
        <v>0.54702777777777778</v>
      </c>
      <c r="X3" s="596">
        <f>Evaluacion!U3</f>
        <v>1.0232223776223777</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16.977777777777774</v>
      </c>
      <c r="M4" t="s">
        <v>803</v>
      </c>
      <c r="N4" s="595">
        <v>1</v>
      </c>
      <c r="O4" s="596">
        <f>Evaluacion!AI6</f>
        <v>13.945263933799012</v>
      </c>
      <c r="P4" s="596">
        <f>Evaluacion!AJ6</f>
        <v>6.2753687702095551</v>
      </c>
      <c r="Q4" s="596">
        <v>0</v>
      </c>
      <c r="R4" s="596">
        <f>Evaluacion!AK6</f>
        <v>2.7086483396739016</v>
      </c>
      <c r="S4" s="596">
        <f>Evaluacion!AL6</f>
        <v>7.5457426011671949</v>
      </c>
      <c r="T4" s="596">
        <v>0</v>
      </c>
      <c r="U4" s="596">
        <v>0</v>
      </c>
      <c r="V4" s="596">
        <f>Evaluacion!R6</f>
        <v>4.3000000000000007</v>
      </c>
      <c r="W4" s="596">
        <f>Evaluacion!T6</f>
        <v>0.69341666666666646</v>
      </c>
      <c r="X4" s="596">
        <f>Evaluacion!U6</f>
        <v>0.9973333333333334</v>
      </c>
    </row>
    <row r="5" spans="2:25" x14ac:dyDescent="0.25">
      <c r="B5" t="s">
        <v>804</v>
      </c>
      <c r="C5" t="str">
        <f>Evaluacion!A15</f>
        <v>E. Gross</v>
      </c>
      <c r="D5" s="635"/>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17.259999999999998</v>
      </c>
      <c r="M5" t="s">
        <v>804</v>
      </c>
      <c r="N5" s="595">
        <v>1</v>
      </c>
      <c r="O5" s="596">
        <f>(Evaluacion!AA15+Evaluacion!AC15)/2</f>
        <v>5.1630872014538287</v>
      </c>
      <c r="P5" s="596">
        <f>Evaluacion!AB15</f>
        <v>13.341310598071908</v>
      </c>
      <c r="Q5" s="596">
        <f>O5</f>
        <v>5.1630872014538287</v>
      </c>
      <c r="R5" s="596">
        <f>Evaluacion!AD15</f>
        <v>3.743999033452226</v>
      </c>
      <c r="S5" s="596">
        <v>0</v>
      </c>
      <c r="T5" s="596">
        <v>0</v>
      </c>
      <c r="U5" s="596">
        <v>0</v>
      </c>
      <c r="V5" s="596">
        <f>Evaluacion!R15</f>
        <v>4.0037499999999993</v>
      </c>
      <c r="W5" s="596">
        <f>Evaluacion!T15</f>
        <v>0.66679999999999995</v>
      </c>
      <c r="X5" s="596">
        <f>Evaluacion!U15</f>
        <v>0.93979999999999964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10</v>
      </c>
      <c r="M6" t="s">
        <v>803</v>
      </c>
      <c r="N6" s="595">
        <v>1</v>
      </c>
      <c r="O6" s="596">
        <v>0</v>
      </c>
      <c r="P6" s="596">
        <f>Evaluacion!AJ9</f>
        <v>6.9736160956365794</v>
      </c>
      <c r="Q6" s="596">
        <f>Evaluacion!AI9</f>
        <v>15.496924656970178</v>
      </c>
      <c r="R6" s="596">
        <f>Evaluacion!AK9</f>
        <v>1.9912773815732094</v>
      </c>
      <c r="S6" s="596">
        <v>0</v>
      </c>
      <c r="T6" s="596">
        <f>0</f>
        <v>0</v>
      </c>
      <c r="U6" s="596">
        <f>Evaluacion!AL9</f>
        <v>9.9241561938026734</v>
      </c>
      <c r="V6" s="596">
        <f>Evaluacion!R9</f>
        <v>4.5175000000000001</v>
      </c>
      <c r="W6" s="596">
        <f>Evaluacion!T9</f>
        <v>0.3571428571428571</v>
      </c>
      <c r="X6" s="596">
        <f>Evaluacion!U9</f>
        <v>0.87200000000000022</v>
      </c>
    </row>
    <row r="7" spans="2:25" x14ac:dyDescent="0.25">
      <c r="B7" t="s">
        <v>503</v>
      </c>
      <c r="C7" t="str">
        <f>Evaluacion!A13</f>
        <v>S. Buschelman</v>
      </c>
      <c r="D7" s="635"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15.588888888888887</v>
      </c>
      <c r="M7" t="s">
        <v>503</v>
      </c>
      <c r="N7" s="595">
        <v>0.82499999999999996</v>
      </c>
      <c r="O7" s="596">
        <f>Evaluacion!BE13*N7</f>
        <v>2.9244892191313721</v>
      </c>
      <c r="P7" s="596">
        <f>Evaluacion!BF13*N7</f>
        <v>3.4973273136004042</v>
      </c>
      <c r="Q7" s="596">
        <v>0</v>
      </c>
      <c r="R7" s="596">
        <f>Evaluacion!BG13*N7</f>
        <v>12.2018642114424</v>
      </c>
      <c r="S7" s="596">
        <f>Evaluacion!BH13*N7</f>
        <v>10.754684840490688</v>
      </c>
      <c r="T7" s="596">
        <f>Evaluacion!BI13*N7</f>
        <v>2.4954986375795909</v>
      </c>
      <c r="U7" s="596">
        <v>0</v>
      </c>
      <c r="V7" s="596">
        <v>0</v>
      </c>
      <c r="W7" s="596">
        <f>Evaluacion!T13*N7</f>
        <v>0.59329874999999987</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16.47</v>
      </c>
      <c r="M8" t="s">
        <v>805</v>
      </c>
      <c r="N8" s="595">
        <v>0.82499999999999996</v>
      </c>
      <c r="O8" s="596">
        <f>((Evaluacion!AX16+Evaluacion!AZ16)/2)*N8</f>
        <v>0.95693467493293105</v>
      </c>
      <c r="P8" s="596">
        <f>Evaluacion!AY16*N8</f>
        <v>2.7003447617155025</v>
      </c>
      <c r="Q8" s="596">
        <f>O8</f>
        <v>0.95693467493293105</v>
      </c>
      <c r="R8" s="596">
        <f>Evaluacion!BA16*N8</f>
        <v>14.144679086828431</v>
      </c>
      <c r="S8" s="596">
        <f>((Evaluacion!BB16+Evaluacion!BD16)/2)*N8</f>
        <v>1.8563612963387921</v>
      </c>
      <c r="T8" s="596">
        <f>Evaluacion!BC16*N8</f>
        <v>5.0946103259297715</v>
      </c>
      <c r="U8" s="596">
        <f>S8</f>
        <v>1.8563612963387921</v>
      </c>
      <c r="V8" s="596">
        <v>0</v>
      </c>
      <c r="W8" s="596">
        <f>Evaluacion!T16*N8</f>
        <v>0.71419791666666677</v>
      </c>
      <c r="X8" s="596">
        <f>Evaluacion!U16*N8</f>
        <v>0.58795916666666659</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16.944444444444439</v>
      </c>
      <c r="M9" t="s">
        <v>503</v>
      </c>
      <c r="N9" s="595">
        <v>0.82499999999999996</v>
      </c>
      <c r="O9" s="596">
        <v>0</v>
      </c>
      <c r="P9" s="596">
        <f>Evaluacion!BF14*N9</f>
        <v>3.3107396281654538</v>
      </c>
      <c r="Q9" s="596">
        <f>Evaluacion!BE14*N9</f>
        <v>2.768463309759043</v>
      </c>
      <c r="R9" s="596">
        <f>Evaluacion!BG14*N9</f>
        <v>12.528544288746442</v>
      </c>
      <c r="S9" s="596">
        <v>0</v>
      </c>
      <c r="T9" s="596">
        <f>Evaluacion!BI14*N9</f>
        <v>2.5835528453674543</v>
      </c>
      <c r="U9" s="596">
        <f>Evaluacion!BH14*N9</f>
        <v>9.4828461598824347</v>
      </c>
      <c r="V9" s="596">
        <v>0</v>
      </c>
      <c r="W9" s="596">
        <f>Evaluacion!T14*N9</f>
        <v>0.60087499999999983</v>
      </c>
      <c r="X9" s="596">
        <f>Evaluacion!U14*N9</f>
        <v>0.7040843333333332</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17.329999999999998</v>
      </c>
      <c r="M10" t="s">
        <v>806</v>
      </c>
      <c r="N10" s="595">
        <v>1</v>
      </c>
      <c r="O10" s="596">
        <f>Evaluacion!BT10</f>
        <v>4.2680292019734054</v>
      </c>
      <c r="P10" s="596">
        <f>Evaluacion!BU10</f>
        <v>3.6668983284560244</v>
      </c>
      <c r="Q10" s="596">
        <v>0</v>
      </c>
      <c r="R10" s="596">
        <f>Evaluacion!BV10</f>
        <v>7.0894786862602119</v>
      </c>
      <c r="S10" s="596">
        <f>Evaluacion!BW10</f>
        <v>17.368854085320347</v>
      </c>
      <c r="T10" s="596">
        <f>Evaluacion!BX10</f>
        <v>1.6791364479456334</v>
      </c>
      <c r="U10" s="596">
        <v>0</v>
      </c>
      <c r="V10" s="596">
        <v>0</v>
      </c>
      <c r="W10" s="596">
        <f>Evaluacion!T10*N10</f>
        <v>0.90839999999999999</v>
      </c>
      <c r="X10" s="596">
        <f>Evaluacion!U10*N10</f>
        <v>1.0023444444444443</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17.568888888888893</v>
      </c>
      <c r="M11" t="s">
        <v>806</v>
      </c>
      <c r="N11" s="595">
        <v>1</v>
      </c>
      <c r="O11" s="596">
        <v>0</v>
      </c>
      <c r="P11" s="596">
        <f>Evaluacion!BU11</f>
        <v>2.4659487857791427</v>
      </c>
      <c r="Q11" s="596">
        <f>Evaluacion!BT11</f>
        <v>2.8702026850871984</v>
      </c>
      <c r="R11" s="596">
        <f>Evaluacion!BV11</f>
        <v>6.1225002258412626</v>
      </c>
      <c r="S11" s="596">
        <v>0</v>
      </c>
      <c r="T11" s="596">
        <f>Evaluacion!BX11</f>
        <v>1.5991413787402029</v>
      </c>
      <c r="U11" s="596">
        <f>Evaluacion!BW11</f>
        <v>17.3318572532574</v>
      </c>
      <c r="V11" s="596">
        <v>0</v>
      </c>
      <c r="W11" s="596">
        <f>Evaluacion!T11*N11</f>
        <v>0.79731666666666678</v>
      </c>
      <c r="X11" s="596">
        <f>Evaluacion!U11*N11</f>
        <v>0.81707878787878807</v>
      </c>
    </row>
    <row r="12" spans="2:25" x14ac:dyDescent="0.25">
      <c r="B12" t="s">
        <v>66</v>
      </c>
      <c r="C12" t="str">
        <f>Evaluacion!A19</f>
        <v>J. Limon</v>
      </c>
      <c r="D12" s="635"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18.889999999999993</v>
      </c>
      <c r="M12" t="s">
        <v>66</v>
      </c>
      <c r="N12" s="595">
        <v>0.94499999999999995</v>
      </c>
      <c r="O12" s="596">
        <v>0</v>
      </c>
      <c r="P12" s="596">
        <v>0</v>
      </c>
      <c r="Q12" s="596">
        <v>0</v>
      </c>
      <c r="R12" s="596">
        <f>N12*Evaluacion!CK19</f>
        <v>2.7157999757821289</v>
      </c>
      <c r="S12" s="596">
        <f>N12*Evaluacion!CH19</f>
        <v>6.7847221146490657</v>
      </c>
      <c r="T12" s="596">
        <f>N12*Evaluacion!CI19</f>
        <v>15.158154892382942</v>
      </c>
      <c r="U12" s="596">
        <f>S12</f>
        <v>6.7847221146490657</v>
      </c>
      <c r="V12" s="596">
        <v>0</v>
      </c>
      <c r="W12" s="596">
        <f>Evaluacion!T19*N12</f>
        <v>0.94010962499999984</v>
      </c>
      <c r="X12" s="596">
        <f>Evaluacion!U19*N12</f>
        <v>0.7939934999999998</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10</v>
      </c>
      <c r="M13" t="s">
        <v>602</v>
      </c>
      <c r="N13" s="595">
        <f>1-0.055</f>
        <v>0.94499999999999995</v>
      </c>
      <c r="O13" s="596">
        <v>0</v>
      </c>
      <c r="P13" s="596">
        <v>0</v>
      </c>
      <c r="Q13" s="596">
        <v>0</v>
      </c>
      <c r="R13" s="596">
        <f>N13*Evaluacion!CD20</f>
        <v>6.5757950438322172</v>
      </c>
      <c r="S13" s="596">
        <f>N13*Evaluacion!CE20</f>
        <v>7.8551169086137014</v>
      </c>
      <c r="T13" s="596">
        <f>N13*Evaluacion!CF20</f>
        <v>16.261565229948463</v>
      </c>
      <c r="U13" s="596">
        <f>S13</f>
        <v>7.8551169086137014</v>
      </c>
      <c r="V13" s="596">
        <v>0</v>
      </c>
      <c r="W13" s="596">
        <f>Evaluacion!T20*N13</f>
        <v>0.75600000000000001</v>
      </c>
      <c r="X13" s="596">
        <f>Evaluacion!U20*N13</f>
        <v>0.39765600000000001</v>
      </c>
    </row>
    <row r="14" spans="2:25" x14ac:dyDescent="0.25">
      <c r="M14" s="263"/>
      <c r="N14" s="443"/>
      <c r="O14" s="597">
        <f>SUM(O3:O13)</f>
        <v>42.890026528746063</v>
      </c>
      <c r="P14" s="597">
        <f t="shared" ref="P14:X14" si="0">SUM(P3:P13)</f>
        <v>65.271350312363367</v>
      </c>
      <c r="Q14" s="597">
        <f t="shared" si="0"/>
        <v>42.887834825658693</v>
      </c>
      <c r="R14" s="597">
        <f t="shared" si="0"/>
        <v>69.822586273432435</v>
      </c>
      <c r="S14" s="597">
        <f t="shared" si="0"/>
        <v>52.165481846579787</v>
      </c>
      <c r="T14" s="597">
        <f t="shared" si="0"/>
        <v>44.871659757894058</v>
      </c>
      <c r="U14" s="597">
        <f t="shared" si="0"/>
        <v>53.235059926544068</v>
      </c>
      <c r="V14" s="653">
        <f t="shared" si="0"/>
        <v>12.821250000000001</v>
      </c>
      <c r="W14" s="653">
        <f t="shared" si="0"/>
        <v>7.5745852599206351</v>
      </c>
      <c r="X14" s="653">
        <f t="shared" si="0"/>
        <v>8.8283179432789431</v>
      </c>
    </row>
    <row r="15" spans="2:25" ht="15.75" x14ac:dyDescent="0.25">
      <c r="M15" s="263"/>
      <c r="N15" s="263" t="s">
        <v>811</v>
      </c>
      <c r="O15" s="599">
        <f>O14*0.34</f>
        <v>14.582609019773662</v>
      </c>
      <c r="P15" s="599">
        <f>P14*0.245</f>
        <v>15.991480826529024</v>
      </c>
      <c r="Q15" s="599">
        <f>Q14*0.34</f>
        <v>14.581863840723956</v>
      </c>
      <c r="R15" s="599">
        <f>R14*0.125</f>
        <v>8.7278232841790544</v>
      </c>
      <c r="S15" s="599">
        <f>S14*0.25</f>
        <v>13.041370461644947</v>
      </c>
      <c r="T15" s="599">
        <f>T14*0.19</f>
        <v>8.5256153539998714</v>
      </c>
      <c r="U15" s="599">
        <f>U14*0.25</f>
        <v>13.308764981636017</v>
      </c>
    </row>
    <row r="16" spans="2:25" ht="15.75" x14ac:dyDescent="0.25">
      <c r="M16" s="263"/>
      <c r="N16" s="263" t="s">
        <v>812</v>
      </c>
      <c r="O16" s="609">
        <f>O15*1.2/1.05</f>
        <v>16.665838879741326</v>
      </c>
      <c r="P16" s="609">
        <f t="shared" ref="P16:Q16" si="1">P15*1.2/1.05</f>
        <v>18.275978087461741</v>
      </c>
      <c r="Q16" s="609">
        <f t="shared" si="1"/>
        <v>16.664987246541664</v>
      </c>
      <c r="R16" s="609">
        <f>R15</f>
        <v>8.7278232841790544</v>
      </c>
      <c r="S16" s="609">
        <f>S15*0.925/1.05</f>
        <v>11.488826359068167</v>
      </c>
      <c r="T16" s="609">
        <f t="shared" ref="T16:U16" si="2">T15*0.925/1.05</f>
        <v>7.5106611451903627</v>
      </c>
      <c r="U16" s="609">
        <f t="shared" si="2"/>
        <v>11.724388198107921</v>
      </c>
    </row>
    <row r="17" spans="13:21" ht="15.75" x14ac:dyDescent="0.25">
      <c r="M17" s="263"/>
      <c r="N17" s="263" t="s">
        <v>813</v>
      </c>
      <c r="O17" s="609">
        <f>O15*0.925/1.05</f>
        <v>12.846584136467273</v>
      </c>
      <c r="P17" s="609">
        <f t="shared" ref="P17:Q17" si="3">P15*0.925/1.05</f>
        <v>14.087733109085093</v>
      </c>
      <c r="Q17" s="609">
        <f t="shared" si="3"/>
        <v>12.8459276692092</v>
      </c>
      <c r="R17" s="609">
        <f>R16</f>
        <v>8.7278232841790544</v>
      </c>
      <c r="S17" s="609">
        <f>S15*1.135/1.05</f>
        <v>14.097100451397155</v>
      </c>
      <c r="T17" s="609">
        <f t="shared" ref="T17:U17" si="4">T15*1.135/1.05</f>
        <v>9.2157842159903378</v>
      </c>
      <c r="U17" s="609">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v>
      </c>
      <c r="L2" t="str">
        <f>A2</f>
        <v>POR</v>
      </c>
      <c r="M2" s="595">
        <v>1</v>
      </c>
      <c r="N2" s="596">
        <f>Evaluacion!X3</f>
        <v>15.632222297455513</v>
      </c>
      <c r="O2" s="596">
        <f>Evaluacion!Y3</f>
        <v>23.039796030728816</v>
      </c>
      <c r="P2" s="596">
        <f>Evaluacion!Z3</f>
        <v>15.632222297455513</v>
      </c>
      <c r="Q2" s="596">
        <v>0</v>
      </c>
      <c r="R2" s="596">
        <v>0</v>
      </c>
      <c r="S2" s="596">
        <v>0</v>
      </c>
      <c r="T2" s="596">
        <v>0</v>
      </c>
      <c r="U2" s="596">
        <v>0</v>
      </c>
      <c r="V2" s="596">
        <f>Evaluacion!T3</f>
        <v>0.54702777777777778</v>
      </c>
      <c r="W2" s="596">
        <f>Evaluacion!U3</f>
        <v>1.0232223776223777</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10</v>
      </c>
      <c r="L3" t="str">
        <f t="shared" ref="L3:L12" si="0">A3</f>
        <v>LATN</v>
      </c>
      <c r="M3" s="595">
        <v>1</v>
      </c>
      <c r="N3" s="596">
        <f>Evaluacion!AI9</f>
        <v>15.496924656970178</v>
      </c>
      <c r="O3" s="596">
        <f>Evaluacion!AJ9</f>
        <v>6.9736160956365794</v>
      </c>
      <c r="P3" s="596">
        <v>0</v>
      </c>
      <c r="Q3" s="596">
        <f>Evaluacion!AK9</f>
        <v>1.9912773815732094</v>
      </c>
      <c r="R3" s="596">
        <f>Evaluacion!AL9</f>
        <v>9.9241561938026734</v>
      </c>
      <c r="S3" s="596">
        <v>0</v>
      </c>
      <c r="T3" s="596">
        <v>0</v>
      </c>
      <c r="U3" s="596">
        <f>Evaluacion!R9</f>
        <v>4.5175000000000001</v>
      </c>
      <c r="V3" s="596">
        <f>Evaluacion!T9</f>
        <v>0.3571428571428571</v>
      </c>
      <c r="W3" s="596">
        <f>Evaluacion!U9</f>
        <v>0.87200000000000022</v>
      </c>
      <c r="AA3" s="602"/>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15.928888888888888</v>
      </c>
      <c r="L4" t="str">
        <f t="shared" si="0"/>
        <v>DCHL</v>
      </c>
      <c r="M4" s="595">
        <v>0.9</v>
      </c>
      <c r="N4" s="596">
        <f>M4*Evaluacion!AM7</f>
        <v>10.045744318065347</v>
      </c>
      <c r="O4" s="596">
        <f>M4*Evaluacion!AN7</f>
        <v>9.4328739750534023</v>
      </c>
      <c r="P4" s="596">
        <v>0</v>
      </c>
      <c r="Q4" s="596">
        <f>M4*Evaluacion!AO7</f>
        <v>2.8154978104998851</v>
      </c>
      <c r="R4" s="596">
        <f>M4*Evaluacion!AP7</f>
        <v>1.7971972779878254</v>
      </c>
      <c r="S4" s="596">
        <v>0</v>
      </c>
      <c r="T4" s="596">
        <v>0</v>
      </c>
      <c r="U4" s="596">
        <f>Evaluacion!R7</f>
        <v>4.129999999999999</v>
      </c>
      <c r="V4" s="596">
        <f>Evaluacion!T7*M4</f>
        <v>0.63797999999999988</v>
      </c>
      <c r="W4" s="596">
        <f>Evaluacion!U7*M4</f>
        <v>0.86207999999999985</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16.977777777777774</v>
      </c>
      <c r="L5" t="str">
        <f t="shared" si="0"/>
        <v>DCN</v>
      </c>
      <c r="M5" s="595">
        <v>0.9</v>
      </c>
      <c r="N5" s="596">
        <f>M5*(Evaluacion!AA6+Evaluacion!AC6)/2</f>
        <v>5.2794950305893442</v>
      </c>
      <c r="O5" s="596">
        <f>M5*Evaluacion!AB6</f>
        <v>13.642106022194685</v>
      </c>
      <c r="P5" s="596">
        <f>N5</f>
        <v>5.2794950305893442</v>
      </c>
      <c r="Q5" s="596">
        <f>M5*Evaluacion!AD6</f>
        <v>3.4742064332823337</v>
      </c>
      <c r="R5" s="596">
        <v>0</v>
      </c>
      <c r="S5" s="596">
        <f>0</f>
        <v>0</v>
      </c>
      <c r="T5" s="596">
        <v>0</v>
      </c>
      <c r="U5" s="596">
        <f>Evaluacion!R6</f>
        <v>4.3000000000000007</v>
      </c>
      <c r="V5" s="596">
        <f>Evaluacion!T6*M5</f>
        <v>0.62407499999999982</v>
      </c>
      <c r="W5" s="596">
        <f>Evaluacion!U6*M5</f>
        <v>0.89760000000000006</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8.7626160280017604</v>
      </c>
      <c r="P6" s="596">
        <f>M6*Evaluacion!AM5</f>
        <v>9.3319385382956614</v>
      </c>
      <c r="Q6" s="596">
        <f>M6*Evaluacion!AO5</f>
        <v>2.7448080438930704</v>
      </c>
      <c r="R6" s="596">
        <v>0</v>
      </c>
      <c r="S6" s="596">
        <v>0</v>
      </c>
      <c r="T6" s="596">
        <f>M6*Evaluacion!AP5</f>
        <v>1.6497507774922415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17.329999999999998</v>
      </c>
      <c r="L7" t="str">
        <f t="shared" si="0"/>
        <v>LATN</v>
      </c>
      <c r="M7" s="595">
        <v>1</v>
      </c>
      <c r="N7" s="596">
        <v>0</v>
      </c>
      <c r="O7" s="596">
        <f>Evaluacion!AJ10</f>
        <v>6.2217045409048941</v>
      </c>
      <c r="P7" s="596">
        <f>Evaluacion!AI10</f>
        <v>13.826010090899766</v>
      </c>
      <c r="Q7" s="596">
        <f>Evaluacion!AK10</f>
        <v>2.6020723969350668</v>
      </c>
      <c r="R7" s="596">
        <v>0</v>
      </c>
      <c r="S7" s="596">
        <v>0</v>
      </c>
      <c r="T7" s="596">
        <f>Evaluacion!AL10</f>
        <v>9.5160905073721693</v>
      </c>
      <c r="U7" s="596">
        <f>Evaluacion!R10</f>
        <v>4.6101388888888888</v>
      </c>
      <c r="V7" s="596">
        <f>Evaluacion!T10</f>
        <v>0.90839999999999999</v>
      </c>
      <c r="W7" s="596">
        <f>Evaluacion!U10</f>
        <v>1.0023444444444443</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16.944444444444439</v>
      </c>
      <c r="L8" t="str">
        <f t="shared" si="0"/>
        <v>IHL</v>
      </c>
      <c r="M8" s="595">
        <f>1-0.065</f>
        <v>0.93500000000000005</v>
      </c>
      <c r="N8" s="596">
        <f>M8*Evaluacion!BE14</f>
        <v>3.1375917510602491</v>
      </c>
      <c r="O8" s="596">
        <f>M8*Evaluacion!BF14</f>
        <v>3.7521715785875145</v>
      </c>
      <c r="P8" s="596">
        <v>0</v>
      </c>
      <c r="Q8" s="596">
        <f>Evaluacion!BG14*M8</f>
        <v>14.199016860579302</v>
      </c>
      <c r="R8" s="596">
        <f>Evaluacion!BH14*M8</f>
        <v>10.747225647866761</v>
      </c>
      <c r="S8" s="596">
        <f>Evaluacion!BI14*M8</f>
        <v>2.9280265580831153</v>
      </c>
      <c r="T8" s="596">
        <v>0</v>
      </c>
      <c r="U8" s="596">
        <v>0</v>
      </c>
      <c r="V8" s="596">
        <f>Evaluacion!T14*M8</f>
        <v>0.68099166666666655</v>
      </c>
      <c r="W8" s="596">
        <f>Evaluacion!U14*M8</f>
        <v>0.79796224444444441</v>
      </c>
      <c r="AA8" s="602"/>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15.588888888888887</v>
      </c>
      <c r="L9" t="str">
        <f t="shared" si="0"/>
        <v>IHL</v>
      </c>
      <c r="M9" s="595">
        <f>1-0.065</f>
        <v>0.93500000000000005</v>
      </c>
      <c r="N9" s="596">
        <v>0</v>
      </c>
      <c r="O9" s="596">
        <f>M9*Evaluacion!BF13</f>
        <v>3.9636376220804581</v>
      </c>
      <c r="P9" s="596">
        <f>M9*Evaluacion!BE13</f>
        <v>3.3144211150155551</v>
      </c>
      <c r="Q9" s="596">
        <f>Evaluacion!BG13*M9</f>
        <v>13.828779439634721</v>
      </c>
      <c r="R9" s="596">
        <v>0</v>
      </c>
      <c r="S9" s="596">
        <f>Evaluacion!BI13*M9</f>
        <v>2.8282317892568698</v>
      </c>
      <c r="T9" s="596">
        <f>Evaluacion!BH13*M9</f>
        <v>12.188642819222782</v>
      </c>
      <c r="U9" s="596">
        <v>0</v>
      </c>
      <c r="V9" s="596">
        <f>Evaluacion!T13*M9</f>
        <v>0.67240524999999984</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17.568888888888893</v>
      </c>
      <c r="L10" t="str">
        <f t="shared" si="0"/>
        <v>EXTN</v>
      </c>
      <c r="M10" s="595">
        <v>1</v>
      </c>
      <c r="N10" s="596">
        <f>Evaluacion!BT11</f>
        <v>2.8702026850871984</v>
      </c>
      <c r="O10" s="596">
        <f>Evaluacion!BU11</f>
        <v>2.4659487857791427</v>
      </c>
      <c r="P10" s="596">
        <v>0</v>
      </c>
      <c r="Q10" s="596">
        <f>Evaluacion!BV11</f>
        <v>6.1225002258412626</v>
      </c>
      <c r="R10" s="596">
        <f>Evaluacion!BW11</f>
        <v>17.3318572532574</v>
      </c>
      <c r="S10" s="596">
        <f>Evaluacion!BX11</f>
        <v>1.5991413787402029</v>
      </c>
      <c r="T10" s="596">
        <v>0</v>
      </c>
      <c r="U10" s="596">
        <v>0</v>
      </c>
      <c r="V10" s="596">
        <f>Evaluacion!T11</f>
        <v>0.79731666666666678</v>
      </c>
      <c r="W10" s="596">
        <f>Evaluacion!U11</f>
        <v>0.81707878787878807</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15.67</v>
      </c>
      <c r="L11" t="str">
        <f t="shared" si="0"/>
        <v>EXTN</v>
      </c>
      <c r="M11" s="595">
        <v>1</v>
      </c>
      <c r="N11" s="596">
        <v>0</v>
      </c>
      <c r="O11" s="596">
        <f>Evaluacion!BU12</f>
        <v>2.7162868964042599</v>
      </c>
      <c r="P11" s="596">
        <f>Evaluacion!BT12</f>
        <v>3.1615798302410232</v>
      </c>
      <c r="Q11" s="596">
        <f>Evaluacion!BV12</f>
        <v>6.8367099001709688</v>
      </c>
      <c r="R11" s="596">
        <v>0</v>
      </c>
      <c r="S11" s="596">
        <f>Evaluacion!BX12</f>
        <v>1.574491124856211</v>
      </c>
      <c r="T11" s="596">
        <f>Evaluacion!BW12</f>
        <v>16.24933426727836</v>
      </c>
      <c r="U11" s="596">
        <v>0</v>
      </c>
      <c r="V11" s="596">
        <f>Evaluacion!T12</f>
        <v>0.84393333333333342</v>
      </c>
      <c r="W11" s="596">
        <f>Evaluacion!U12</f>
        <v>0.80449999999999977</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10</v>
      </c>
      <c r="L12" t="str">
        <f t="shared" si="0"/>
        <v>DD</v>
      </c>
      <c r="M12" s="595">
        <v>1</v>
      </c>
      <c r="N12" s="596">
        <v>0</v>
      </c>
      <c r="O12" s="596">
        <v>0</v>
      </c>
      <c r="P12" s="596">
        <v>0</v>
      </c>
      <c r="Q12" s="596">
        <f>M12*Evaluacion!CD20</f>
        <v>6.9585132738965267</v>
      </c>
      <c r="R12" s="596">
        <f>M12*Evaluacion!CE20</f>
        <v>8.312293024988044</v>
      </c>
      <c r="S12" s="596">
        <f>M12*Evaluacion!CF20</f>
        <v>17.208005534336998</v>
      </c>
      <c r="T12" s="596">
        <f>R12</f>
        <v>8.312293024988044</v>
      </c>
      <c r="U12" s="596">
        <v>0</v>
      </c>
      <c r="V12" s="596">
        <f>Evaluacion!T20*M12</f>
        <v>0.8</v>
      </c>
      <c r="W12" s="596">
        <f>Evaluacion!U20*M12</f>
        <v>0.42080000000000001</v>
      </c>
      <c r="AA12" s="602"/>
    </row>
    <row r="13" spans="1:27" x14ac:dyDescent="0.25">
      <c r="L13" s="263"/>
      <c r="M13" s="443"/>
      <c r="N13" s="597">
        <f>SUM(N2:N12)</f>
        <v>52.462180739227833</v>
      </c>
      <c r="O13" s="597">
        <f t="shared" ref="O13:W13" si="1">SUM(O2:O12)</f>
        <v>80.970757575371522</v>
      </c>
      <c r="P13" s="597">
        <f t="shared" si="1"/>
        <v>50.545666902496862</v>
      </c>
      <c r="Q13" s="597">
        <f t="shared" si="1"/>
        <v>61.573381766306348</v>
      </c>
      <c r="R13" s="597">
        <f t="shared" si="1"/>
        <v>48.112729397902704</v>
      </c>
      <c r="S13" s="597">
        <f t="shared" si="1"/>
        <v>26.137896385273397</v>
      </c>
      <c r="T13" s="597">
        <f t="shared" si="1"/>
        <v>47.916111396353593</v>
      </c>
      <c r="U13" s="598">
        <f t="shared" si="1"/>
        <v>21.247999999999998</v>
      </c>
      <c r="V13" s="598">
        <f t="shared" si="1"/>
        <v>7.469842551587301</v>
      </c>
      <c r="W13" s="598">
        <f t="shared" si="1"/>
        <v>9.1024673210567215</v>
      </c>
    </row>
    <row r="14" spans="1:27" ht="15.75" x14ac:dyDescent="0.25">
      <c r="L14" s="263"/>
      <c r="M14" s="263" t="s">
        <v>811</v>
      </c>
      <c r="N14" s="599">
        <f>N13*0.34</f>
        <v>17.837141451337466</v>
      </c>
      <c r="O14" s="599">
        <f>O13*0.245</f>
        <v>19.837835605966024</v>
      </c>
      <c r="P14" s="599">
        <f>P13*0.34</f>
        <v>17.185526746848936</v>
      </c>
      <c r="Q14" s="599">
        <f>Q13*0.125</f>
        <v>7.6966727207882935</v>
      </c>
      <c r="R14" s="599">
        <f>R13*0.25</f>
        <v>12.028182349475676</v>
      </c>
      <c r="S14" s="599">
        <f>S13*0.19</f>
        <v>4.9662003132019459</v>
      </c>
      <c r="T14" s="599">
        <f>T13*0.25</f>
        <v>11.979027849088398</v>
      </c>
    </row>
    <row r="15" spans="1:27" ht="15.75" x14ac:dyDescent="0.25">
      <c r="L15" s="263"/>
      <c r="M15" s="263" t="s">
        <v>812</v>
      </c>
      <c r="N15" s="609">
        <f>N14*1.2/1.05</f>
        <v>20.385304515814244</v>
      </c>
      <c r="O15" s="609">
        <f t="shared" ref="O15:P15" si="2">O14*1.2/1.05</f>
        <v>22.671812121104026</v>
      </c>
      <c r="P15" s="609">
        <f t="shared" si="2"/>
        <v>19.640601996398782</v>
      </c>
      <c r="Q15" s="609">
        <f>Q14</f>
        <v>7.6966727207882935</v>
      </c>
      <c r="R15" s="609">
        <f>R14*0.925/1.05</f>
        <v>10.596255879300001</v>
      </c>
      <c r="S15" s="609">
        <f t="shared" ref="S15:T15" si="3">S14*0.925/1.05</f>
        <v>4.3749859902017141</v>
      </c>
      <c r="T15" s="609">
        <f t="shared" si="3"/>
        <v>10.552953105149303</v>
      </c>
    </row>
    <row r="16" spans="1:27" ht="15.75" x14ac:dyDescent="0.25">
      <c r="L16" s="263"/>
      <c r="M16" s="263" t="s">
        <v>813</v>
      </c>
      <c r="N16" s="609">
        <f>N14*0.925/1.05</f>
        <v>15.713672230940148</v>
      </c>
      <c r="O16" s="609">
        <f t="shared" ref="O16:P16" si="4">O14*0.925/1.05</f>
        <v>17.476188510017689</v>
      </c>
      <c r="P16" s="609">
        <f t="shared" si="4"/>
        <v>15.139630705557396</v>
      </c>
      <c r="Q16" s="609">
        <f>Q15</f>
        <v>7.6966727207882935</v>
      </c>
      <c r="R16" s="609">
        <f>R14*1.135/1.05</f>
        <v>13.001892349195135</v>
      </c>
      <c r="S16" s="609">
        <f t="shared" ref="S16:T16" si="5">S14*1.135/1.05</f>
        <v>5.3682260528421031</v>
      </c>
      <c r="T16" s="609">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27</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17.259999999999998</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63</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12</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78</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40</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29</v>
      </c>
      <c r="E9" s="163">
        <f>PLANTILLA!X20</f>
        <v>0</v>
      </c>
      <c r="F9" s="163">
        <f>PLANTILLA!Y20</f>
        <v>3</v>
      </c>
      <c r="G9" s="163">
        <f>PLANTILLA!Z20</f>
        <v>15.07</v>
      </c>
      <c r="H9" s="163">
        <f>PLANTILLA!AA20</f>
        <v>12.02</v>
      </c>
      <c r="I9" s="163">
        <f>PLANTILLA!AB20</f>
        <v>12</v>
      </c>
      <c r="J9" s="163">
        <f>PLANTILLA!AC20</f>
        <v>8</v>
      </c>
      <c r="K9" s="163">
        <f>PLANTILLA!AD20</f>
        <v>4</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79</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10</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67</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114</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16.47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99</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17.568888888888893</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114</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15.67</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29</v>
      </c>
      <c r="D15" s="5">
        <f ca="1">PLANTILLA!F15</f>
        <v>111</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33</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16.944444444444439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39</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18.889999999999993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27</v>
      </c>
      <c r="D18" s="5">
        <f ca="1">PLANTILLA!F23</f>
        <v>70</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30</v>
      </c>
      <c r="D19" s="5">
        <f ca="1">PLANTILLA!F22</f>
        <v>108</v>
      </c>
      <c r="E19" s="163">
        <f>PLANTILLA!X22</f>
        <v>0</v>
      </c>
      <c r="F19" s="163">
        <f>PLANTILLA!Y22</f>
        <v>3.02</v>
      </c>
      <c r="G19" s="163">
        <f>PLANTILLA!Z22</f>
        <v>14.277609523809524</v>
      </c>
      <c r="H19" s="163">
        <f>PLANTILLA!AA22</f>
        <v>3.04</v>
      </c>
      <c r="I19" s="163">
        <f>PLANTILLA!AB22</f>
        <v>15.02</v>
      </c>
      <c r="J19" s="163">
        <f>PLANTILLA!AC22</f>
        <v>10</v>
      </c>
      <c r="K19" s="163">
        <f>PLANTILLA!AD22</f>
        <v>10</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27</v>
      </c>
      <c r="D20" s="5">
        <f ca="1">PLANTILLA!F11</f>
        <v>86</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64</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12.65</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34</v>
      </c>
      <c r="D22" s="5">
        <f ca="1">PLANTILLA!F6</f>
        <v>76</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29</v>
      </c>
      <c r="D4" s="287">
        <f ca="1">PLANTILLA!F15</f>
        <v>111</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30</v>
      </c>
      <c r="D5" s="287">
        <f ca="1">PLANTILLA!F18</f>
        <v>114</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39</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18.889999999999993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29</v>
      </c>
      <c r="E7" s="163">
        <f>PLANTILLA!X20</f>
        <v>0</v>
      </c>
      <c r="F7" s="163">
        <f>PLANTILLA!Y20</f>
        <v>3</v>
      </c>
      <c r="G7" s="163">
        <f>PLANTILLA!Z20</f>
        <v>15.07</v>
      </c>
      <c r="H7" s="163">
        <f>PLANTILLA!AA20</f>
        <v>12.02</v>
      </c>
      <c r="I7" s="163">
        <f>PLANTILLA!AB20</f>
        <v>12</v>
      </c>
      <c r="J7" s="163">
        <f>PLANTILLA!AC20</f>
        <v>8</v>
      </c>
      <c r="K7" s="163">
        <f>PLANTILLA!AD20</f>
        <v>4</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99</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17.568888888888893</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33</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16.944444444444439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27</v>
      </c>
      <c r="D10" s="287">
        <f ca="1">PLANTILLA!F14</f>
        <v>114</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40</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12</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63</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15.928888888888888</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31</v>
      </c>
      <c r="D14" s="287">
        <f ca="1">PLANTILLA!F9</f>
        <v>78</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16.977777777777774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30</v>
      </c>
      <c r="D15" s="287">
        <f ca="1">PLANTILLA!F22</f>
        <v>108</v>
      </c>
      <c r="E15" s="163">
        <f>PLANTILLA!X22</f>
        <v>0</v>
      </c>
      <c r="F15" s="163">
        <f>PLANTILLA!Y22</f>
        <v>3.02</v>
      </c>
      <c r="G15" s="163">
        <f>PLANTILLA!Z22</f>
        <v>14.277609523809524</v>
      </c>
      <c r="H15" s="163">
        <f>PLANTILLA!AA22</f>
        <v>3.04</v>
      </c>
      <c r="I15" s="163">
        <f>PLANTILLA!AB22</f>
        <v>15.02</v>
      </c>
      <c r="J15" s="163">
        <f>PLANTILLA!AC22</f>
        <v>10</v>
      </c>
      <c r="K15" s="163">
        <f>PLANTILLA!AD22</f>
        <v>10</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27</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17.259999999999998</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30</v>
      </c>
      <c r="D17" s="287">
        <f ca="1">PLANTILLA!F7</f>
        <v>79</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10</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27</v>
      </c>
      <c r="D18" s="287">
        <f ca="1">PLANTILLA!F23</f>
        <v>70</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67</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34</v>
      </c>
      <c r="D20" s="287">
        <f ca="1">PLANTILLA!F6</f>
        <v>76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27</v>
      </c>
      <c r="D21" s="287">
        <f ca="1">PLANTILLA!F11</f>
        <v>86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64</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39</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18.889999999999993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30</v>
      </c>
      <c r="D5" s="287">
        <f ca="1">PLANTILLA!F18</f>
        <v>114</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29</v>
      </c>
      <c r="D6" s="287">
        <f ca="1">PLANTILLA!F15</f>
        <v>111</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29</v>
      </c>
      <c r="E7" s="163">
        <f>PLANTILLA!X20</f>
        <v>0</v>
      </c>
      <c r="F7" s="163">
        <f>PLANTILLA!Y20</f>
        <v>3</v>
      </c>
      <c r="G7" s="163">
        <f>PLANTILLA!Z20</f>
        <v>15.07</v>
      </c>
      <c r="H7" s="163">
        <f>PLANTILLA!AA20</f>
        <v>12.02</v>
      </c>
      <c r="I7" s="163">
        <f>PLANTILLA!AB20</f>
        <v>12</v>
      </c>
      <c r="J7" s="163">
        <f>PLANTILLA!AC20</f>
        <v>8</v>
      </c>
      <c r="K7" s="163">
        <f>PLANTILLA!AD20</f>
        <v>4</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33</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16.944444444444439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30</v>
      </c>
      <c r="D9" s="287">
        <f ca="1">PLANTILLA!F13</f>
        <v>99</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27</v>
      </c>
      <c r="D10" s="287">
        <f ca="1">PLANTILLA!F14</f>
        <v>114</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40</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30</v>
      </c>
      <c r="D12" s="287">
        <f ca="1">PLANTILLA!F22</f>
        <v>108</v>
      </c>
      <c r="E12" s="163">
        <f>PLANTILLA!X22</f>
        <v>0</v>
      </c>
      <c r="F12" s="163">
        <f>PLANTILLA!Y22</f>
        <v>3.02</v>
      </c>
      <c r="G12" s="163">
        <f>PLANTILLA!Z22</f>
        <v>14.277609523809524</v>
      </c>
      <c r="H12" s="163">
        <f>PLANTILLA!AA22</f>
        <v>3.04</v>
      </c>
      <c r="I12" s="163">
        <f>PLANTILLA!AB22</f>
        <v>15.02</v>
      </c>
      <c r="J12" s="163">
        <f>PLANTILLA!AC22</f>
        <v>10</v>
      </c>
      <c r="K12" s="163">
        <f>PLANTILLA!AD22</f>
        <v>10</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27</v>
      </c>
      <c r="D13" s="287">
        <f ca="1">PLANTILLA!F23</f>
        <v>70</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67</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30</v>
      </c>
      <c r="D15" s="287">
        <f ca="1">PLANTILLA!F7</f>
        <v>79</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12</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31</v>
      </c>
      <c r="D17" s="287">
        <f ca="1">PLANTILLA!F9</f>
        <v>78</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16.977777777777774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27</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17.259999999999998</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63</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15.928888888888888</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34</v>
      </c>
      <c r="D20" s="287">
        <f ca="1">PLANTILLA!F6</f>
        <v>76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27</v>
      </c>
      <c r="D21" s="287">
        <f ca="1">PLANTILLA!F11</f>
        <v>86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64</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12</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63</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27</v>
      </c>
      <c r="D6" s="287">
        <f ca="1">PLANTILLA!F14</f>
        <v>114</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15.67</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31</v>
      </c>
      <c r="D7" s="287">
        <f ca="1">PLANTILLA!F9</f>
        <v>78</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40</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30</v>
      </c>
      <c r="D9" s="287">
        <f ca="1">PLANTILLA!F13</f>
        <v>99</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33</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16.944444444444439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29</v>
      </c>
      <c r="D11" s="287">
        <f ca="1">PLANTILLA!F15</f>
        <v>111</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29</v>
      </c>
      <c r="E12" s="163">
        <f>PLANTILLA!X20</f>
        <v>0</v>
      </c>
      <c r="F12" s="163">
        <f>PLANTILLA!Y20</f>
        <v>3</v>
      </c>
      <c r="G12" s="163">
        <f>PLANTILLA!Z20</f>
        <v>15.07</v>
      </c>
      <c r="H12" s="163">
        <f>PLANTILLA!AA20</f>
        <v>12.02</v>
      </c>
      <c r="I12" s="163">
        <f>PLANTILLA!AB20</f>
        <v>12</v>
      </c>
      <c r="J12" s="163">
        <f>PLANTILLA!AC20</f>
        <v>8</v>
      </c>
      <c r="K12" s="163">
        <f>PLANTILLA!AD20</f>
        <v>4</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108</v>
      </c>
      <c r="E13" s="163">
        <f>PLANTILLA!X22</f>
        <v>0</v>
      </c>
      <c r="F13" s="163">
        <f>PLANTILLA!Y22</f>
        <v>3.02</v>
      </c>
      <c r="G13" s="163">
        <f>PLANTILLA!Z22</f>
        <v>14.277609523809524</v>
      </c>
      <c r="H13" s="163">
        <f>PLANTILLA!AA22</f>
        <v>3.04</v>
      </c>
      <c r="I13" s="163">
        <f>PLANTILLA!AB22</f>
        <v>15.02</v>
      </c>
      <c r="J13" s="163">
        <f>PLANTILLA!AC22</f>
        <v>10</v>
      </c>
      <c r="K13" s="163">
        <f>PLANTILLA!AD22</f>
        <v>10</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114</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16.47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30</v>
      </c>
      <c r="D15" s="287">
        <f ca="1">PLANTILLA!F7</f>
        <v>79</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39</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18.889999999999993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27</v>
      </c>
      <c r="D17" s="287">
        <f ca="1">PLANTILLA!F23</f>
        <v>70</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67</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27</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17.259999999999998</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34</v>
      </c>
      <c r="D20" s="287">
        <f ca="1">PLANTILLA!F6</f>
        <v>76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27</v>
      </c>
      <c r="D21" s="287">
        <f ca="1">PLANTILLA!F11</f>
        <v>86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64</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16" sqref="R16"/>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43139</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60</v>
      </c>
      <c r="H3" t="s">
        <v>783</v>
      </c>
      <c r="I3" t="s">
        <v>1</v>
      </c>
      <c r="K3" s="619">
        <v>1</v>
      </c>
      <c r="L3" s="3">
        <v>286</v>
      </c>
      <c r="M3" t="s">
        <v>460</v>
      </c>
      <c r="N3" t="s">
        <v>459</v>
      </c>
      <c r="O3" s="370">
        <f t="shared" ref="O3:O22" si="0">L3/$G$22</f>
        <v>0.87730061349693256</v>
      </c>
      <c r="Q3" s="619">
        <v>1</v>
      </c>
      <c r="R3" s="3">
        <v>200</v>
      </c>
      <c r="S3" t="s">
        <v>447</v>
      </c>
      <c r="T3" t="s">
        <v>212</v>
      </c>
      <c r="U3" s="159">
        <f>R3/L7</f>
        <v>0.8733624454148472</v>
      </c>
      <c r="V3" s="47">
        <f t="shared" ref="V3:V16" si="1">R3/$R$33</f>
        <v>0.18214936247723132</v>
      </c>
    </row>
    <row r="4" spans="1:24" s="291" customFormat="1" ht="18.75" x14ac:dyDescent="0.3">
      <c r="A4" s="291" t="s">
        <v>441</v>
      </c>
      <c r="F4">
        <v>2</v>
      </c>
      <c r="G4" s="3">
        <v>57</v>
      </c>
      <c r="H4" t="s">
        <v>206</v>
      </c>
      <c r="I4" s="290" t="s">
        <v>1</v>
      </c>
      <c r="J4"/>
      <c r="K4" s="619">
        <v>2</v>
      </c>
      <c r="L4" s="3">
        <v>284</v>
      </c>
      <c r="M4" t="s">
        <v>473</v>
      </c>
      <c r="N4" s="290" t="s">
        <v>439</v>
      </c>
      <c r="O4" s="370">
        <f t="shared" si="0"/>
        <v>0.87116564417177911</v>
      </c>
      <c r="P4"/>
      <c r="Q4" s="619">
        <v>2</v>
      </c>
      <c r="R4" s="3">
        <v>95</v>
      </c>
      <c r="S4" t="s">
        <v>547</v>
      </c>
      <c r="T4" t="s">
        <v>65</v>
      </c>
      <c r="U4" s="159">
        <f>R4/L12</f>
        <v>0.49222797927461137</v>
      </c>
      <c r="V4" s="47">
        <f t="shared" si="1"/>
        <v>8.6520947176684876E-2</v>
      </c>
      <c r="W4"/>
      <c r="X4"/>
    </row>
    <row r="5" spans="1:24" x14ac:dyDescent="0.25">
      <c r="A5" s="179" t="s">
        <v>442</v>
      </c>
      <c r="B5" s="491" t="s">
        <v>875</v>
      </c>
      <c r="C5" s="290">
        <v>43066</v>
      </c>
      <c r="D5" t="s">
        <v>876</v>
      </c>
      <c r="F5">
        <v>3</v>
      </c>
      <c r="G5" s="664">
        <v>46</v>
      </c>
      <c r="H5" s="662" t="s">
        <v>204</v>
      </c>
      <c r="I5" s="663" t="s">
        <v>1</v>
      </c>
      <c r="K5" s="631">
        <v>3</v>
      </c>
      <c r="L5" s="3">
        <v>251</v>
      </c>
      <c r="M5" t="s">
        <v>449</v>
      </c>
      <c r="N5" s="290" t="s">
        <v>64</v>
      </c>
      <c r="O5" s="370">
        <f t="shared" si="0"/>
        <v>0.76993865030674846</v>
      </c>
      <c r="Q5" s="619">
        <v>3</v>
      </c>
      <c r="R5" s="3">
        <v>81</v>
      </c>
      <c r="S5" t="s">
        <v>449</v>
      </c>
      <c r="T5" t="s">
        <v>64</v>
      </c>
      <c r="U5" s="159">
        <f>R5/L5</f>
        <v>0.32270916334661354</v>
      </c>
      <c r="V5" s="47">
        <f t="shared" si="1"/>
        <v>7.3770491803278687E-2</v>
      </c>
    </row>
    <row r="6" spans="1:24" ht="18.75" x14ac:dyDescent="0.3">
      <c r="A6" s="179" t="s">
        <v>862</v>
      </c>
      <c r="B6" s="366" t="s">
        <v>868</v>
      </c>
      <c r="C6" s="290">
        <v>43055</v>
      </c>
      <c r="D6" t="s">
        <v>869</v>
      </c>
      <c r="F6">
        <v>4</v>
      </c>
      <c r="G6" s="664">
        <v>2</v>
      </c>
      <c r="H6" s="662" t="s">
        <v>200</v>
      </c>
      <c r="I6" s="662" t="s">
        <v>1</v>
      </c>
      <c r="J6" s="291"/>
      <c r="K6" s="631">
        <v>4</v>
      </c>
      <c r="L6" s="342">
        <v>239</v>
      </c>
      <c r="M6" t="s">
        <v>498</v>
      </c>
      <c r="N6" s="290" t="s">
        <v>64</v>
      </c>
      <c r="O6" s="370">
        <f t="shared" si="0"/>
        <v>0.73312883435582821</v>
      </c>
      <c r="P6" s="291"/>
      <c r="Q6" s="619">
        <v>4</v>
      </c>
      <c r="R6" s="321">
        <v>77</v>
      </c>
      <c r="S6" t="s">
        <v>460</v>
      </c>
      <c r="T6" t="s">
        <v>459</v>
      </c>
      <c r="U6" s="159">
        <f>R6/L3</f>
        <v>0.26923076923076922</v>
      </c>
      <c r="V6" s="47">
        <f t="shared" si="1"/>
        <v>7.0127504553734066E-2</v>
      </c>
      <c r="X6" s="291"/>
    </row>
    <row r="7" spans="1:24" ht="18.75" x14ac:dyDescent="0.3">
      <c r="F7">
        <v>5</v>
      </c>
      <c r="G7" s="3">
        <v>1</v>
      </c>
      <c r="H7" t="s">
        <v>448</v>
      </c>
      <c r="I7" t="s">
        <v>2</v>
      </c>
      <c r="K7" s="631">
        <v>5</v>
      </c>
      <c r="L7" s="342">
        <v>229</v>
      </c>
      <c r="M7" t="s">
        <v>496</v>
      </c>
      <c r="N7" s="290" t="s">
        <v>212</v>
      </c>
      <c r="O7" s="370">
        <f t="shared" si="0"/>
        <v>0.7024539877300614</v>
      </c>
      <c r="Q7" s="619">
        <v>5</v>
      </c>
      <c r="R7" s="380">
        <v>65</v>
      </c>
      <c r="S7" t="s">
        <v>497</v>
      </c>
      <c r="T7" s="290" t="s">
        <v>65</v>
      </c>
      <c r="U7" s="159">
        <f>R7/L10</f>
        <v>0.30092592592592593</v>
      </c>
      <c r="V7" s="47">
        <f t="shared" si="1"/>
        <v>5.9198542805100181E-2</v>
      </c>
      <c r="W7" s="291"/>
    </row>
    <row r="8" spans="1:24" s="291" customFormat="1" ht="18.75" x14ac:dyDescent="0.3">
      <c r="A8" s="702" t="s">
        <v>863</v>
      </c>
      <c r="B8" s="702"/>
      <c r="F8">
        <v>5</v>
      </c>
      <c r="G8" s="664">
        <v>1</v>
      </c>
      <c r="H8" s="662" t="s">
        <v>462</v>
      </c>
      <c r="I8" s="662" t="s">
        <v>439</v>
      </c>
      <c r="J8"/>
      <c r="K8" s="631">
        <v>6</v>
      </c>
      <c r="L8" s="317">
        <v>227</v>
      </c>
      <c r="M8" t="s">
        <v>457</v>
      </c>
      <c r="N8" s="290" t="s">
        <v>64</v>
      </c>
      <c r="O8" s="370">
        <f t="shared" si="0"/>
        <v>0.69631901840490795</v>
      </c>
      <c r="P8"/>
      <c r="Q8" s="619">
        <v>6</v>
      </c>
      <c r="R8" s="317">
        <v>62</v>
      </c>
      <c r="S8" t="s">
        <v>498</v>
      </c>
      <c r="T8" s="290" t="s">
        <v>64</v>
      </c>
      <c r="U8" s="159">
        <f>R8/L6</f>
        <v>0.2594142259414226</v>
      </c>
      <c r="V8" s="47">
        <f t="shared" si="1"/>
        <v>5.6466302367941715E-2</v>
      </c>
      <c r="X8"/>
    </row>
    <row r="9" spans="1:24" x14ac:dyDescent="0.25">
      <c r="A9" s="659" t="s">
        <v>879</v>
      </c>
      <c r="B9" t="s">
        <v>860</v>
      </c>
      <c r="C9" s="290" t="s">
        <v>66</v>
      </c>
      <c r="K9" s="631">
        <v>7</v>
      </c>
      <c r="L9" s="317">
        <v>225</v>
      </c>
      <c r="M9" t="s">
        <v>461</v>
      </c>
      <c r="N9" s="290" t="s">
        <v>439</v>
      </c>
      <c r="O9" s="370">
        <f t="shared" si="0"/>
        <v>0.69018404907975461</v>
      </c>
      <c r="Q9" s="619">
        <v>7</v>
      </c>
      <c r="R9" s="321">
        <v>59</v>
      </c>
      <c r="S9" t="s">
        <v>473</v>
      </c>
      <c r="T9" s="290" t="s">
        <v>439</v>
      </c>
      <c r="U9" s="159">
        <f>R9/L4</f>
        <v>0.20774647887323944</v>
      </c>
      <c r="V9" s="47">
        <f t="shared" si="1"/>
        <v>5.3734061930783242E-2</v>
      </c>
    </row>
    <row r="10" spans="1:24" ht="18.75" x14ac:dyDescent="0.3">
      <c r="A10" s="567" t="s">
        <v>866</v>
      </c>
      <c r="B10" t="s">
        <v>783</v>
      </c>
      <c r="C10" t="s">
        <v>1</v>
      </c>
      <c r="F10" s="291"/>
      <c r="G10" s="702" t="s">
        <v>445</v>
      </c>
      <c r="H10" s="702"/>
      <c r="J10" s="291"/>
      <c r="K10" s="631">
        <v>8</v>
      </c>
      <c r="L10" s="342">
        <v>216</v>
      </c>
      <c r="M10" t="s">
        <v>497</v>
      </c>
      <c r="N10" s="290" t="s">
        <v>65</v>
      </c>
      <c r="O10" s="370">
        <f t="shared" si="0"/>
        <v>0.66257668711656437</v>
      </c>
      <c r="P10" s="291"/>
      <c r="Q10" s="619">
        <v>8</v>
      </c>
      <c r="R10" s="360">
        <v>56</v>
      </c>
      <c r="S10" t="s">
        <v>476</v>
      </c>
      <c r="T10" s="290" t="s">
        <v>64</v>
      </c>
      <c r="U10" s="159">
        <f>R10/L11</f>
        <v>0.28865979381443296</v>
      </c>
      <c r="V10" s="47">
        <f t="shared" si="1"/>
        <v>5.1001821493624776E-2</v>
      </c>
      <c r="X10" s="291"/>
    </row>
    <row r="11" spans="1:24" x14ac:dyDescent="0.25">
      <c r="A11" s="382" t="s">
        <v>866</v>
      </c>
      <c r="B11" t="s">
        <v>460</v>
      </c>
      <c r="C11" t="s">
        <v>459</v>
      </c>
      <c r="F11">
        <v>1</v>
      </c>
      <c r="G11" s="443">
        <v>119</v>
      </c>
      <c r="H11" t="s">
        <v>783</v>
      </c>
      <c r="I11" t="s">
        <v>1</v>
      </c>
      <c r="K11" s="631">
        <v>9</v>
      </c>
      <c r="L11" s="317">
        <v>194</v>
      </c>
      <c r="M11" t="s">
        <v>476</v>
      </c>
      <c r="N11" s="290" t="s">
        <v>64</v>
      </c>
      <c r="O11" s="370">
        <f t="shared" si="0"/>
        <v>0.59509202453987731</v>
      </c>
      <c r="Q11" s="619">
        <v>8</v>
      </c>
      <c r="R11" s="321">
        <v>56</v>
      </c>
      <c r="S11" t="s">
        <v>461</v>
      </c>
      <c r="T11" s="290" t="s">
        <v>439</v>
      </c>
      <c r="U11" s="159">
        <f>R11/L9</f>
        <v>0.24888888888888888</v>
      </c>
      <c r="V11" s="47">
        <f t="shared" si="1"/>
        <v>5.1001821493624776E-2</v>
      </c>
    </row>
    <row r="12" spans="1:24" s="291" customFormat="1" ht="18.75" x14ac:dyDescent="0.3">
      <c r="A12" s="382" t="s">
        <v>866</v>
      </c>
      <c r="B12" t="s">
        <v>498</v>
      </c>
      <c r="C12" s="290" t="s">
        <v>64</v>
      </c>
      <c r="F12">
        <v>2</v>
      </c>
      <c r="G12" s="664">
        <v>88</v>
      </c>
      <c r="H12" s="662" t="s">
        <v>204</v>
      </c>
      <c r="I12" s="663" t="s">
        <v>1</v>
      </c>
      <c r="J12"/>
      <c r="K12" s="631">
        <v>10</v>
      </c>
      <c r="L12" s="443">
        <v>193</v>
      </c>
      <c r="M12" t="s">
        <v>547</v>
      </c>
      <c r="N12" t="s">
        <v>65</v>
      </c>
      <c r="O12" s="370">
        <f>L12/$G$22</f>
        <v>0.59202453987730064</v>
      </c>
      <c r="P12"/>
      <c r="Q12" s="619">
        <v>10</v>
      </c>
      <c r="R12" s="381">
        <v>52</v>
      </c>
      <c r="S12" t="s">
        <v>550</v>
      </c>
      <c r="T12" s="290" t="s">
        <v>212</v>
      </c>
      <c r="U12" s="159">
        <f>R12/L17</f>
        <v>0.46846846846846846</v>
      </c>
      <c r="V12" s="47">
        <f t="shared" si="1"/>
        <v>4.7358834244080147E-2</v>
      </c>
      <c r="W12"/>
      <c r="X12"/>
    </row>
    <row r="13" spans="1:24" x14ac:dyDescent="0.25">
      <c r="A13" s="655" t="s">
        <v>791</v>
      </c>
      <c r="B13" t="s">
        <v>857</v>
      </c>
      <c r="C13" t="s">
        <v>2</v>
      </c>
      <c r="F13">
        <v>3</v>
      </c>
      <c r="G13" s="317">
        <v>71</v>
      </c>
      <c r="H13" t="s">
        <v>473</v>
      </c>
      <c r="I13" s="290" t="s">
        <v>439</v>
      </c>
      <c r="K13" s="631">
        <v>11</v>
      </c>
      <c r="L13" s="321">
        <v>188</v>
      </c>
      <c r="M13" t="s">
        <v>206</v>
      </c>
      <c r="N13" s="290" t="s">
        <v>1</v>
      </c>
      <c r="O13" s="370">
        <f t="shared" si="0"/>
        <v>0.57668711656441718</v>
      </c>
      <c r="Q13" s="619">
        <v>11</v>
      </c>
      <c r="R13" s="317">
        <v>49</v>
      </c>
      <c r="S13" t="s">
        <v>448</v>
      </c>
      <c r="T13" t="s">
        <v>2</v>
      </c>
      <c r="U13" s="159">
        <f>R13/L14</f>
        <v>0.28654970760233917</v>
      </c>
      <c r="V13" s="47">
        <f t="shared" si="1"/>
        <v>4.4626593806921674E-2</v>
      </c>
    </row>
    <row r="14" spans="1:24" x14ac:dyDescent="0.25">
      <c r="A14" s="382" t="s">
        <v>791</v>
      </c>
      <c r="B14" t="s">
        <v>449</v>
      </c>
      <c r="C14" s="290" t="s">
        <v>64</v>
      </c>
      <c r="F14">
        <v>4</v>
      </c>
      <c r="G14" s="661">
        <v>21</v>
      </c>
      <c r="H14" s="662" t="s">
        <v>190</v>
      </c>
      <c r="I14" s="662" t="s">
        <v>65</v>
      </c>
      <c r="K14" s="631">
        <v>12</v>
      </c>
      <c r="L14" s="317">
        <v>171</v>
      </c>
      <c r="M14" t="s">
        <v>448</v>
      </c>
      <c r="N14" s="290" t="s">
        <v>439</v>
      </c>
      <c r="O14" s="370">
        <f t="shared" si="0"/>
        <v>0.52453987730061347</v>
      </c>
      <c r="Q14" s="619">
        <v>12</v>
      </c>
      <c r="R14" s="321">
        <v>41</v>
      </c>
      <c r="S14" t="s">
        <v>457</v>
      </c>
      <c r="T14" t="s">
        <v>64</v>
      </c>
      <c r="U14" s="159">
        <f>R14/L8</f>
        <v>0.18061674008810572</v>
      </c>
      <c r="V14" s="47">
        <f t="shared" si="1"/>
        <v>3.7340619307832425E-2</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0"/>
        <v>0.44785276073619634</v>
      </c>
      <c r="Q15" s="619">
        <v>13</v>
      </c>
      <c r="R15" s="443">
        <v>39</v>
      </c>
      <c r="S15" s="246" t="s">
        <v>860</v>
      </c>
      <c r="T15" s="246" t="s">
        <v>66</v>
      </c>
      <c r="U15" s="159">
        <f>R15/L23</f>
        <v>0.6964285714285714</v>
      </c>
      <c r="V15" s="47">
        <f t="shared" si="1"/>
        <v>3.5519125683060107E-2</v>
      </c>
      <c r="W15">
        <v>115</v>
      </c>
    </row>
    <row r="16" spans="1:24" x14ac:dyDescent="0.25">
      <c r="A16" s="382" t="s">
        <v>819</v>
      </c>
      <c r="B16" t="s">
        <v>497</v>
      </c>
      <c r="C16" s="290" t="s">
        <v>65</v>
      </c>
      <c r="F16">
        <v>6</v>
      </c>
      <c r="G16" s="661">
        <v>6</v>
      </c>
      <c r="H16" s="662" t="s">
        <v>194</v>
      </c>
      <c r="I16" s="663" t="s">
        <v>64</v>
      </c>
      <c r="K16" s="631">
        <v>14</v>
      </c>
      <c r="L16" s="443">
        <v>134</v>
      </c>
      <c r="M16" t="s">
        <v>783</v>
      </c>
      <c r="N16" t="s">
        <v>1</v>
      </c>
      <c r="O16" s="370">
        <f t="shared" si="0"/>
        <v>0.41104294478527609</v>
      </c>
      <c r="Q16" s="619">
        <v>14</v>
      </c>
      <c r="R16" s="317">
        <v>21</v>
      </c>
      <c r="S16" t="s">
        <v>513</v>
      </c>
      <c r="T16" t="s">
        <v>64</v>
      </c>
      <c r="U16" s="159">
        <f>R16/L18</f>
        <v>0.21212121212121213</v>
      </c>
      <c r="V16" s="47">
        <f t="shared" si="1"/>
        <v>1.912568306010929E-2</v>
      </c>
    </row>
    <row r="17" spans="1:23" x14ac:dyDescent="0.25">
      <c r="A17" s="382" t="s">
        <v>819</v>
      </c>
      <c r="B17" t="s">
        <v>476</v>
      </c>
      <c r="C17" s="290" t="s">
        <v>64</v>
      </c>
      <c r="F17">
        <v>7</v>
      </c>
      <c r="G17" s="664">
        <v>5</v>
      </c>
      <c r="H17" s="662" t="s">
        <v>193</v>
      </c>
      <c r="I17" s="663" t="s">
        <v>64</v>
      </c>
      <c r="K17" s="631">
        <v>15</v>
      </c>
      <c r="L17" s="443">
        <v>111</v>
      </c>
      <c r="M17" s="246" t="s">
        <v>627</v>
      </c>
      <c r="N17" s="452" t="s">
        <v>212</v>
      </c>
      <c r="O17" s="370">
        <f t="shared" si="0"/>
        <v>0.34049079754601225</v>
      </c>
      <c r="Q17" s="619">
        <v>15</v>
      </c>
      <c r="R17" s="661">
        <v>19</v>
      </c>
      <c r="S17" s="662" t="s">
        <v>205</v>
      </c>
      <c r="T17" s="663" t="s">
        <v>451</v>
      </c>
      <c r="U17" s="159"/>
      <c r="V17" s="47"/>
    </row>
    <row r="18" spans="1:23" x14ac:dyDescent="0.25">
      <c r="A18" s="382" t="s">
        <v>819</v>
      </c>
      <c r="B18" t="s">
        <v>457</v>
      </c>
      <c r="C18" s="290" t="s">
        <v>64</v>
      </c>
      <c r="F18">
        <v>8</v>
      </c>
      <c r="G18" s="661">
        <v>4</v>
      </c>
      <c r="H18" s="662" t="s">
        <v>387</v>
      </c>
      <c r="I18" s="663" t="s">
        <v>212</v>
      </c>
      <c r="K18" s="631">
        <v>16</v>
      </c>
      <c r="L18" s="443">
        <v>99</v>
      </c>
      <c r="M18" t="s">
        <v>513</v>
      </c>
      <c r="N18" t="s">
        <v>64</v>
      </c>
      <c r="O18" s="370">
        <f t="shared" si="0"/>
        <v>0.30368098159509205</v>
      </c>
      <c r="Q18" s="619">
        <v>16</v>
      </c>
      <c r="R18" s="661">
        <v>15</v>
      </c>
      <c r="S18" s="662" t="s">
        <v>193</v>
      </c>
      <c r="T18" s="663" t="s">
        <v>64</v>
      </c>
      <c r="U18" s="159"/>
      <c r="V18" s="47"/>
    </row>
    <row r="19" spans="1:23" x14ac:dyDescent="0.25">
      <c r="A19" s="380" t="s">
        <v>819</v>
      </c>
      <c r="B19" t="s">
        <v>547</v>
      </c>
      <c r="C19" s="290" t="s">
        <v>65</v>
      </c>
      <c r="F19">
        <v>9</v>
      </c>
      <c r="G19" s="604">
        <v>2</v>
      </c>
      <c r="H19" t="s">
        <v>206</v>
      </c>
      <c r="I19" s="290" t="s">
        <v>1</v>
      </c>
      <c r="K19" s="631">
        <v>17</v>
      </c>
      <c r="L19" s="661">
        <v>89</v>
      </c>
      <c r="M19" s="662" t="s">
        <v>462</v>
      </c>
      <c r="N19" s="663" t="s">
        <v>439</v>
      </c>
      <c r="O19" s="665">
        <f t="shared" si="0"/>
        <v>0.27300613496932513</v>
      </c>
      <c r="Q19" s="619">
        <v>17</v>
      </c>
      <c r="R19" s="661">
        <v>12</v>
      </c>
      <c r="S19" s="662" t="s">
        <v>533</v>
      </c>
      <c r="T19" s="663" t="s">
        <v>212</v>
      </c>
      <c r="U19" s="159"/>
      <c r="V19" s="47"/>
    </row>
    <row r="20" spans="1:23" x14ac:dyDescent="0.25">
      <c r="A20" s="380" t="s">
        <v>819</v>
      </c>
      <c r="B20" t="s">
        <v>496</v>
      </c>
      <c r="C20" s="290" t="s">
        <v>212</v>
      </c>
      <c r="F20">
        <v>10</v>
      </c>
      <c r="G20" s="664">
        <v>1</v>
      </c>
      <c r="H20" s="662" t="s">
        <v>205</v>
      </c>
      <c r="I20" s="663" t="s">
        <v>451</v>
      </c>
      <c r="K20" s="631">
        <v>18</v>
      </c>
      <c r="L20" s="443">
        <v>82</v>
      </c>
      <c r="M20" t="s">
        <v>857</v>
      </c>
      <c r="N20" t="s">
        <v>2</v>
      </c>
      <c r="O20" s="370">
        <f t="shared" si="0"/>
        <v>0.25153374233128833</v>
      </c>
      <c r="Q20" s="619">
        <v>18</v>
      </c>
      <c r="R20" s="317">
        <v>12</v>
      </c>
      <c r="S20" t="s">
        <v>630</v>
      </c>
      <c r="T20" t="s">
        <v>2</v>
      </c>
      <c r="U20" s="159">
        <f>R20/L21</f>
        <v>0.17910447761194029</v>
      </c>
      <c r="V20" s="47">
        <f>R20/$R$33</f>
        <v>1.092896174863388E-2</v>
      </c>
    </row>
    <row r="21" spans="1:23" x14ac:dyDescent="0.25">
      <c r="A21" s="382" t="s">
        <v>713</v>
      </c>
      <c r="B21" t="s">
        <v>550</v>
      </c>
      <c r="C21" s="290" t="s">
        <v>212</v>
      </c>
      <c r="F21">
        <v>10</v>
      </c>
      <c r="G21" s="3">
        <v>1</v>
      </c>
      <c r="H21" t="s">
        <v>448</v>
      </c>
      <c r="I21" t="s">
        <v>2</v>
      </c>
      <c r="K21" s="631">
        <v>19</v>
      </c>
      <c r="L21" s="604">
        <v>67</v>
      </c>
      <c r="M21" t="s">
        <v>630</v>
      </c>
      <c r="N21" t="s">
        <v>439</v>
      </c>
      <c r="O21" s="370">
        <f t="shared" si="0"/>
        <v>0.20552147239263804</v>
      </c>
      <c r="Q21" s="619">
        <v>19</v>
      </c>
      <c r="R21" s="593">
        <v>12</v>
      </c>
      <c r="S21" t="s">
        <v>857</v>
      </c>
      <c r="T21" t="s">
        <v>2</v>
      </c>
      <c r="U21" s="159">
        <f>R21/L23</f>
        <v>0.21428571428571427</v>
      </c>
      <c r="V21" s="47">
        <f>R21/$R$33</f>
        <v>1.092896174863388E-2</v>
      </c>
      <c r="W21">
        <v>58</v>
      </c>
    </row>
    <row r="22" spans="1:23" x14ac:dyDescent="0.25">
      <c r="A22" s="326" t="s">
        <v>867</v>
      </c>
      <c r="B22" t="s">
        <v>461</v>
      </c>
      <c r="C22" s="290" t="s">
        <v>439</v>
      </c>
      <c r="G22" s="666">
        <f>SUM(G11:G21)</f>
        <v>326</v>
      </c>
      <c r="K22" s="631">
        <v>20</v>
      </c>
      <c r="L22" s="661">
        <v>55</v>
      </c>
      <c r="M22" s="662" t="s">
        <v>205</v>
      </c>
      <c r="N22" s="663" t="s">
        <v>451</v>
      </c>
      <c r="O22" s="665">
        <f t="shared" si="0"/>
        <v>0.16871165644171779</v>
      </c>
      <c r="Q22" s="619">
        <v>20</v>
      </c>
      <c r="R22" s="321">
        <v>11</v>
      </c>
      <c r="S22" t="s">
        <v>206</v>
      </c>
      <c r="T22" s="290" t="s">
        <v>1</v>
      </c>
      <c r="U22" s="159">
        <f>R22/L13</f>
        <v>5.8510638297872342E-2</v>
      </c>
      <c r="V22" s="47">
        <f>R22/$R$33</f>
        <v>1.0018214936247723E-2</v>
      </c>
    </row>
    <row r="23" spans="1:23" x14ac:dyDescent="0.25">
      <c r="A23" s="679" t="s">
        <v>867</v>
      </c>
      <c r="B23" s="246" t="s">
        <v>877</v>
      </c>
      <c r="C23" s="246" t="s">
        <v>66</v>
      </c>
      <c r="K23" s="631">
        <v>21</v>
      </c>
      <c r="L23" s="443">
        <v>56</v>
      </c>
      <c r="M23" t="s">
        <v>860</v>
      </c>
      <c r="N23" t="s">
        <v>66</v>
      </c>
      <c r="O23" s="370">
        <f t="shared" ref="O23" si="2">L23/$G$22</f>
        <v>0.17177914110429449</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10</v>
      </c>
      <c r="M25" s="246" t="s">
        <v>877</v>
      </c>
      <c r="N25" s="246" t="s">
        <v>66</v>
      </c>
      <c r="O25" s="370">
        <f>L25/$G$22</f>
        <v>3.0674846625766871E-2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4</v>
      </c>
      <c r="S29" s="246" t="s">
        <v>877</v>
      </c>
      <c r="T29" s="246" t="s">
        <v>66</v>
      </c>
      <c r="U29" s="675"/>
      <c r="V29" s="676"/>
      <c r="W29" s="246">
        <v>61</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1098</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2"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3"/>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4">
        <f>C13</f>
        <v>1504841</v>
      </c>
      <c r="AA14" s="715"/>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6" t="s">
        <v>93</v>
      </c>
      <c r="B26" s="71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7" t="s">
        <v>94</v>
      </c>
      <c r="B27" s="70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8" t="s">
        <v>95</v>
      </c>
      <c r="B28" s="70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6" t="s">
        <v>96</v>
      </c>
      <c r="B29" s="71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7" t="s">
        <v>97</v>
      </c>
      <c r="B30" s="70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8" t="s">
        <v>98</v>
      </c>
      <c r="B31" s="70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7"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9">
        <f>C23</f>
        <v>1482625</v>
      </c>
      <c r="AA33" s="710"/>
    </row>
    <row r="34" spans="1:27" x14ac:dyDescent="0.25">
      <c r="A34" s="57"/>
      <c r="B34" s="717"/>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7"/>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7"/>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7"/>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7"/>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1"/>
      <c r="I40" s="711"/>
      <c r="J40" s="711"/>
      <c r="K40" s="71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6"/>
      <c r="I49" s="706"/>
      <c r="J49" s="706"/>
      <c r="K49" s="706"/>
    </row>
    <row r="50" spans="8:11" x14ac:dyDescent="0.25">
      <c r="H50" s="103"/>
      <c r="I50" s="103"/>
      <c r="J50" s="103"/>
      <c r="K50" s="103"/>
    </row>
    <row r="51" spans="8:11" x14ac:dyDescent="0.25">
      <c r="H51" s="706"/>
      <c r="I51" s="706"/>
      <c r="J51" s="706"/>
      <c r="K51" s="706"/>
    </row>
    <row r="52" spans="8:11" ht="15" customHeight="1" x14ac:dyDescent="0.25">
      <c r="H52" s="706"/>
      <c r="I52" s="706"/>
      <c r="J52" s="706"/>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4">
        <f>C13</f>
        <v>2257672</v>
      </c>
      <c r="Z14" s="715"/>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6" t="s">
        <v>93</v>
      </c>
      <c r="B26" s="71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7" t="s">
        <v>94</v>
      </c>
      <c r="B27" s="70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8" t="s">
        <v>95</v>
      </c>
      <c r="B28" s="70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6" t="s">
        <v>96</v>
      </c>
      <c r="B29" s="71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7" t="s">
        <v>97</v>
      </c>
      <c r="B30" s="70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8" t="s">
        <v>98</v>
      </c>
      <c r="B31" s="70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v>49820</v>
      </c>
      <c r="Y33" s="709">
        <f>C23</f>
        <v>2470257</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7"/>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7"/>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7"/>
      <c r="C37" s="173" t="s">
        <v>211</v>
      </c>
      <c r="D37" s="176"/>
      <c r="E37" s="176"/>
      <c r="F37" s="176"/>
      <c r="G37" s="176"/>
      <c r="H37" s="176"/>
      <c r="I37" s="176"/>
      <c r="J37" s="176"/>
      <c r="K37" s="176"/>
      <c r="L37" s="176"/>
      <c r="M37" s="176"/>
      <c r="N37" s="176"/>
      <c r="O37" s="176"/>
      <c r="P37" s="176"/>
      <c r="Q37" s="176"/>
      <c r="R37" s="176"/>
      <c r="S37" s="176" t="s">
        <v>393</v>
      </c>
    </row>
    <row r="38" spans="1:26" x14ac:dyDescent="0.25">
      <c r="B38" s="717"/>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1"/>
      <c r="H40" s="711"/>
      <c r="I40" s="711"/>
      <c r="J40" s="711"/>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6"/>
      <c r="H49" s="706"/>
      <c r="I49" s="706"/>
      <c r="J49" s="706"/>
    </row>
    <row r="50" spans="7:10" x14ac:dyDescent="0.25">
      <c r="G50" s="216"/>
      <c r="H50" s="216"/>
      <c r="I50" s="216"/>
      <c r="J50" s="216"/>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3"/>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4">
        <f>C13</f>
        <v>3165941</v>
      </c>
      <c r="Z14" s="715"/>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6" t="s">
        <v>93</v>
      </c>
      <c r="B26" s="71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7" t="s">
        <v>94</v>
      </c>
      <c r="B27" s="70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8" t="s">
        <v>95</v>
      </c>
      <c r="B28" s="70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6" t="s">
        <v>96</v>
      </c>
      <c r="B29" s="71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7" t="s">
        <v>97</v>
      </c>
      <c r="B30" s="70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8" t="s">
        <v>98</v>
      </c>
      <c r="B31" s="70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c r="Y33" s="709">
        <f>C23</f>
        <v>1505104</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row>
    <row r="35" spans="1:26" x14ac:dyDescent="0.25">
      <c r="A35" s="57"/>
      <c r="B35" s="717"/>
      <c r="C35" s="173" t="s">
        <v>61</v>
      </c>
      <c r="D35" s="175"/>
      <c r="E35" s="175"/>
      <c r="F35" s="175"/>
      <c r="G35" s="175"/>
      <c r="H35" s="175"/>
      <c r="I35" s="175"/>
      <c r="J35" s="175"/>
      <c r="K35" s="175"/>
      <c r="L35" s="175"/>
      <c r="M35" s="175"/>
      <c r="N35" s="175"/>
      <c r="O35" s="175"/>
      <c r="P35" s="175"/>
      <c r="Q35" s="175"/>
      <c r="R35" s="175"/>
      <c r="S35" s="175"/>
    </row>
    <row r="36" spans="1:26" x14ac:dyDescent="0.25">
      <c r="A36" s="57"/>
      <c r="B36" s="717"/>
      <c r="C36" s="173" t="s">
        <v>210</v>
      </c>
      <c r="D36" s="176"/>
      <c r="E36" s="176"/>
      <c r="F36" s="176"/>
      <c r="G36" s="176"/>
      <c r="H36" s="176"/>
      <c r="I36" s="176"/>
      <c r="J36" s="176"/>
      <c r="K36" s="176"/>
      <c r="L36" s="176"/>
      <c r="M36" s="176"/>
      <c r="N36" s="176"/>
      <c r="O36" s="176"/>
      <c r="P36" s="176"/>
      <c r="Q36" s="176"/>
      <c r="R36" s="176"/>
      <c r="S36" s="176"/>
    </row>
    <row r="37" spans="1:26" x14ac:dyDescent="0.25">
      <c r="B37" s="717"/>
      <c r="C37" s="173" t="s">
        <v>211</v>
      </c>
      <c r="D37" s="176"/>
      <c r="E37" s="176"/>
      <c r="F37" s="176"/>
      <c r="G37" s="176"/>
      <c r="H37" s="176"/>
      <c r="I37" s="176"/>
      <c r="J37" s="176"/>
      <c r="K37" s="176"/>
      <c r="L37" s="176"/>
      <c r="M37" s="176"/>
      <c r="N37" s="176"/>
      <c r="O37" s="176"/>
      <c r="P37" s="176"/>
      <c r="Q37" s="176"/>
      <c r="R37" s="176"/>
      <c r="S37" s="176"/>
    </row>
    <row r="38" spans="1:26" x14ac:dyDescent="0.25">
      <c r="B38" s="717"/>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1"/>
      <c r="H40" s="711"/>
      <c r="I40" s="711"/>
      <c r="J40" s="711"/>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6"/>
      <c r="H49" s="706"/>
      <c r="I49" s="706"/>
      <c r="J49" s="706"/>
    </row>
    <row r="50" spans="7:10" x14ac:dyDescent="0.25">
      <c r="G50" s="243"/>
      <c r="H50" s="243"/>
      <c r="I50" s="243"/>
      <c r="J50" s="243"/>
    </row>
    <row r="51" spans="7:10" x14ac:dyDescent="0.25">
      <c r="G51" s="706"/>
      <c r="H51" s="706"/>
      <c r="I51" s="706"/>
      <c r="J51" s="706"/>
    </row>
    <row r="52" spans="7:10" ht="15" customHeight="1" x14ac:dyDescent="0.25">
      <c r="G52" s="706"/>
      <c r="H52" s="706"/>
      <c r="I52" s="706"/>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2"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4">
        <f>C13</f>
        <v>3470401</v>
      </c>
      <c r="Z14" s="715"/>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6" t="s">
        <v>93</v>
      </c>
      <c r="B26" s="71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7" t="s">
        <v>94</v>
      </c>
      <c r="B27" s="70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8" t="s">
        <v>95</v>
      </c>
      <c r="B28" s="70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6" t="s">
        <v>96</v>
      </c>
      <c r="B29" s="71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7" t="s">
        <v>97</v>
      </c>
      <c r="B30" s="70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8" t="s">
        <v>98</v>
      </c>
      <c r="B31" s="70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9">
        <f>C23</f>
        <v>4347517</v>
      </c>
      <c r="Z33" s="710"/>
    </row>
    <row r="34" spans="1:26" x14ac:dyDescent="0.25">
      <c r="A34" s="57"/>
      <c r="B34" s="717"/>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7"/>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7"/>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7"/>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7"/>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1"/>
      <c r="H40" s="711"/>
      <c r="I40" s="711"/>
      <c r="J40" s="711"/>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6"/>
      <c r="H49" s="706"/>
      <c r="I49" s="706"/>
      <c r="J49" s="706"/>
    </row>
    <row r="50" spans="7:10" x14ac:dyDescent="0.25">
      <c r="G50" s="258"/>
      <c r="H50" s="258"/>
      <c r="I50" s="258"/>
      <c r="J50" s="258"/>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2"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3"/>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4">
        <f>C13</f>
        <v>3901063</v>
      </c>
      <c r="Z14" s="715"/>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6" t="s">
        <v>93</v>
      </c>
      <c r="B26" s="71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7" t="s">
        <v>94</v>
      </c>
      <c r="B27" s="70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8" t="s">
        <v>95</v>
      </c>
      <c r="B28" s="70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6" t="s">
        <v>96</v>
      </c>
      <c r="B29" s="71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7" t="s">
        <v>97</v>
      </c>
      <c r="B30" s="70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8" t="s">
        <v>98</v>
      </c>
      <c r="B31" s="70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7"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9">
        <f>C23</f>
        <v>2535782</v>
      </c>
      <c r="Z34" s="710"/>
    </row>
    <row r="35" spans="1:26" x14ac:dyDescent="0.25">
      <c r="A35" s="57"/>
      <c r="B35" s="717"/>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7"/>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7"/>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7"/>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7"/>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1"/>
      <c r="H41" s="711"/>
      <c r="I41" s="711"/>
      <c r="J41" s="711"/>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6"/>
      <c r="H46" s="706"/>
      <c r="I46" s="706"/>
      <c r="J46" s="706"/>
    </row>
    <row r="47" spans="1:26" x14ac:dyDescent="0.25">
      <c r="G47" s="329"/>
      <c r="H47" s="329"/>
      <c r="I47" s="329"/>
      <c r="J47" s="329"/>
    </row>
    <row r="48" spans="1:26" x14ac:dyDescent="0.25">
      <c r="G48" s="706"/>
      <c r="H48" s="706"/>
      <c r="I48" s="706"/>
      <c r="J48" s="706"/>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(C3*2+B3)/8</f>
        <v>4.708397000164144</v>
      </c>
      <c r="E3" s="159">
        <f>D3*PLANTILLA!R16</f>
        <v>3.9793217576397102</v>
      </c>
      <c r="F3" s="159">
        <f>E3*PLANTILLA!S16</f>
        <v>3.6810646730151415</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4.4699470701437862</v>
      </c>
      <c r="K5" s="159">
        <f t="shared" si="13"/>
        <v>4.4667531097001261</v>
      </c>
      <c r="M5" s="159" t="str">
        <f>H5</f>
        <v>B. Bartolache</v>
      </c>
      <c r="N5" s="159">
        <f t="shared" ref="N5:P5" si="14">I5</f>
        <v>4.8280946495349681</v>
      </c>
      <c r="O5" s="159">
        <f t="shared" si="14"/>
        <v>4.4699470701437862</v>
      </c>
      <c r="P5" s="159">
        <f t="shared" si="14"/>
        <v>4.4667531097001261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5"/>
      <c r="O6" s="405"/>
      <c r="P6" s="405"/>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2">
        <f>SUM(I2:I6)</f>
        <v>25.239984364562186</v>
      </c>
      <c r="J7" s="422">
        <f t="shared" ref="J7:K7" si="17">SUM(J2:J6)</f>
        <v>24.114088707291057</v>
      </c>
      <c r="K7" s="422">
        <f t="shared" si="17"/>
        <v>24.104047968780062</v>
      </c>
      <c r="L7" s="422"/>
      <c r="M7" s="422"/>
      <c r="N7" s="422">
        <f>SUM(N2:N6)</f>
        <v>20.5423157522096</v>
      </c>
      <c r="O7" s="422">
        <f t="shared" ref="O7:P7" si="18">SUM(O2:O6)</f>
        <v>19.41642009493847</v>
      </c>
      <c r="P7" s="422">
        <f t="shared" si="18"/>
        <v>19.406379356427475</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4.4699470701437862</v>
      </c>
      <c r="F12" s="159">
        <f>E12*PLANTILLA!S10</f>
        <v>4.4667531097001261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3.0331266982260816</v>
      </c>
      <c r="F17" s="159">
        <f>E17*PLANTILLA!S18</f>
        <v>2.5608951911889926</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2.756710111684642</v>
      </c>
      <c r="F20" s="159">
        <f>E20*PLANTILLA!S5</f>
        <v>2.7547403292882984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2"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3"/>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4">
        <f>C13</f>
        <v>5218072</v>
      </c>
      <c r="Z14" s="715"/>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6" t="s">
        <v>93</v>
      </c>
      <c r="B26" s="71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7" t="s">
        <v>94</v>
      </c>
      <c r="B27" s="70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8" t="s">
        <v>95</v>
      </c>
      <c r="B28" s="70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6" t="s">
        <v>96</v>
      </c>
      <c r="B29" s="71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7" t="s">
        <v>97</v>
      </c>
      <c r="B30" s="70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8" t="s">
        <v>98</v>
      </c>
      <c r="B31" s="70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7"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9">
        <f>C23</f>
        <v>4415274</v>
      </c>
      <c r="Z34" s="710"/>
    </row>
    <row r="35" spans="1:26" x14ac:dyDescent="0.25">
      <c r="A35" s="57"/>
      <c r="B35" s="717"/>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7"/>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7"/>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7"/>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7"/>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1"/>
      <c r="H41" s="711"/>
      <c r="I41" s="711"/>
      <c r="J41" s="711"/>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63"/>
      <c r="H47" s="363"/>
      <c r="I47" s="363"/>
      <c r="J47" s="363"/>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2"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3"/>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4">
        <f>C13</f>
        <v>6564204.3711659508</v>
      </c>
      <c r="Z14" s="715"/>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6" t="s">
        <v>93</v>
      </c>
      <c r="B26" s="71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7" t="s">
        <v>94</v>
      </c>
      <c r="B27" s="70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8" t="s">
        <v>95</v>
      </c>
      <c r="B28" s="70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6" t="s">
        <v>96</v>
      </c>
      <c r="B29" s="71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7" t="s">
        <v>97</v>
      </c>
      <c r="B30" s="70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8" t="s">
        <v>98</v>
      </c>
      <c r="B31" s="70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7"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9">
        <f>C23</f>
        <v>4502296</v>
      </c>
      <c r="Z34" s="710"/>
    </row>
    <row r="35" spans="1:26" x14ac:dyDescent="0.25">
      <c r="A35" s="57"/>
      <c r="B35" s="717"/>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7"/>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7"/>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7"/>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7"/>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1"/>
      <c r="H41" s="711"/>
      <c r="I41" s="711"/>
      <c r="J41" s="711"/>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92"/>
      <c r="H47" s="392"/>
      <c r="I47" s="392"/>
      <c r="J47" s="392"/>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2"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3"/>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4">
        <f>C13</f>
        <v>6907309.643589247</v>
      </c>
      <c r="Z14" s="715"/>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6" t="s">
        <v>93</v>
      </c>
      <c r="B26" s="71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7" t="s">
        <v>94</v>
      </c>
      <c r="B27" s="70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8" t="s">
        <v>95</v>
      </c>
      <c r="B28" s="70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6" t="s">
        <v>96</v>
      </c>
      <c r="B29" s="71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7" t="s">
        <v>97</v>
      </c>
      <c r="B30" s="70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8" t="s">
        <v>98</v>
      </c>
      <c r="B31" s="70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7"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9">
        <f>C23</f>
        <v>4106107</v>
      </c>
      <c r="Z34" s="710"/>
    </row>
    <row r="35" spans="1:26" x14ac:dyDescent="0.25">
      <c r="A35" s="57"/>
      <c r="B35" s="717"/>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7"/>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7"/>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7"/>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7"/>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1"/>
      <c r="H41" s="711"/>
      <c r="I41" s="711"/>
      <c r="J41" s="711"/>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450"/>
      <c r="H47" s="450"/>
      <c r="I47" s="450"/>
      <c r="J47" s="450"/>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2"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3"/>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4">
        <f>C13</f>
        <v>7216225</v>
      </c>
      <c r="Z14" s="715"/>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6" t="s">
        <v>93</v>
      </c>
      <c r="B26" s="71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7" t="s">
        <v>94</v>
      </c>
      <c r="B27" s="70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8" t="s">
        <v>95</v>
      </c>
      <c r="B28" s="70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6" t="s">
        <v>96</v>
      </c>
      <c r="B29" s="71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7" t="s">
        <v>97</v>
      </c>
      <c r="B30" s="70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8" t="s">
        <v>98</v>
      </c>
      <c r="B31" s="70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7"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9">
        <f>C23</f>
        <v>5755973</v>
      </c>
      <c r="Z34" s="710"/>
    </row>
    <row r="35" spans="1:26" x14ac:dyDescent="0.25">
      <c r="A35" s="57"/>
      <c r="B35" s="717"/>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7"/>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7"/>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7"/>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7"/>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7"/>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7"/>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1"/>
      <c r="H43" s="711"/>
      <c r="I43" s="711"/>
      <c r="J43" s="711"/>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6"/>
      <c r="H48" s="706"/>
      <c r="I48" s="706"/>
      <c r="J48" s="706"/>
      <c r="M48" s="383"/>
    </row>
    <row r="49" spans="5:16" x14ac:dyDescent="0.25">
      <c r="E49" s="106"/>
      <c r="G49" s="465"/>
      <c r="H49" s="465"/>
      <c r="I49" s="465"/>
      <c r="J49" s="465"/>
    </row>
    <row r="50" spans="5:16" x14ac:dyDescent="0.25">
      <c r="G50" s="706"/>
      <c r="H50" s="706"/>
      <c r="I50" s="706"/>
      <c r="J50" s="706"/>
      <c r="P50" s="383"/>
    </row>
    <row r="51" spans="5:16" ht="15" customHeight="1" x14ac:dyDescent="0.25">
      <c r="G51" s="706"/>
      <c r="H51" s="706"/>
      <c r="I51" s="706"/>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2"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3"/>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4">
        <f>C13</f>
        <v>9688435</v>
      </c>
      <c r="Z14" s="715"/>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6" t="s">
        <v>93</v>
      </c>
      <c r="B26" s="71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7" t="s">
        <v>94</v>
      </c>
      <c r="B27" s="70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8" t="s">
        <v>95</v>
      </c>
      <c r="B28" s="70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6" t="s">
        <v>96</v>
      </c>
      <c r="B29" s="71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7" t="s">
        <v>97</v>
      </c>
      <c r="B30" s="70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8" t="s">
        <v>98</v>
      </c>
      <c r="B31" s="70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7"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9">
        <f>C23</f>
        <v>16032490</v>
      </c>
      <c r="Z34" s="710"/>
    </row>
    <row r="35" spans="1:26" x14ac:dyDescent="0.25">
      <c r="A35" s="57"/>
      <c r="B35" s="717"/>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7"/>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7"/>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7"/>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7"/>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7"/>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7"/>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60"/>
      <c r="H47" s="560"/>
      <c r="I47" s="560"/>
      <c r="J47" s="560"/>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1.4041045913112262</v>
      </c>
      <c r="C2" s="265">
        <f>PLANTILLA!AC21</f>
        <v>8.5625000000000018</v>
      </c>
      <c r="D2" s="265">
        <f>PLANTILLA!AD21</f>
        <v>18.889999999999993</v>
      </c>
      <c r="E2" s="159">
        <f>PLANTILLA!AI21</f>
        <v>23.421321146797808</v>
      </c>
      <c r="F2" s="159">
        <f>PLANTILLA!AJ21</f>
        <v>18.695854591311221</v>
      </c>
      <c r="G2" s="159">
        <f>PLANTILLA!AK21</f>
        <v>1.227153367304898</v>
      </c>
      <c r="H2" s="159">
        <f>PLANTILLA!AL21</f>
        <v>1.0434920832965475</v>
      </c>
      <c r="K2" t="str">
        <f>A4</f>
        <v>L. Calosso</v>
      </c>
      <c r="L2" s="405">
        <f>B2</f>
        <v>1.4041045913112262</v>
      </c>
      <c r="M2" s="405">
        <f t="shared" ref="M2:N2" si="0">C2</f>
        <v>8.5625000000000018</v>
      </c>
      <c r="N2" s="405">
        <f t="shared" si="0"/>
        <v>18.889999999999993</v>
      </c>
      <c r="O2" s="405"/>
    </row>
    <row r="3" spans="1:15" x14ac:dyDescent="0.25">
      <c r="A3" t="str">
        <f>PLANTILLA!D12</f>
        <v>E. Romweber</v>
      </c>
      <c r="B3" s="159">
        <f>PLANTILLA!J12</f>
        <v>1.5113852111602899</v>
      </c>
      <c r="C3" s="265">
        <f>PLANTILLA!AC12</f>
        <v>7.7700000000000005</v>
      </c>
      <c r="D3" s="265">
        <f>PLANTILLA!AD12</f>
        <v>17.329999999999998</v>
      </c>
      <c r="E3" s="159">
        <f>PLANTILLA!AI12</f>
        <v>21.484861316664237</v>
      </c>
      <c r="F3" s="159">
        <f>PLANTILLA!AJ12</f>
        <v>17.473385211160288</v>
      </c>
      <c r="G3" s="159">
        <f>PLANTILLA!AK12</f>
        <v>1.149310816892823</v>
      </c>
      <c r="H3" s="159">
        <f>PLANTILLA!AL12</f>
        <v>1.2131414092256647</v>
      </c>
      <c r="K3" t="str">
        <f>A5</f>
        <v>L. Bauman</v>
      </c>
      <c r="L3" s="405">
        <f t="shared" ref="L3:L11" si="1">B3</f>
        <v>1.5113852111602899</v>
      </c>
      <c r="M3" s="405">
        <f t="shared" ref="M3:M11" si="2">C3</f>
        <v>7.7700000000000005</v>
      </c>
      <c r="N3" s="405">
        <f t="shared" ref="N3:N11" si="3">D3</f>
        <v>17.329999999999998</v>
      </c>
      <c r="O3" s="405"/>
    </row>
    <row r="4" spans="1:15" x14ac:dyDescent="0.25">
      <c r="A4" t="str">
        <f>PLANTILLA!D22</f>
        <v>L. Calosso</v>
      </c>
      <c r="B4" s="159">
        <f>PLANTILLA!J22</f>
        <v>1.4142637871381487</v>
      </c>
      <c r="C4" s="265">
        <f>PLANTILLA!AC22</f>
        <v>10</v>
      </c>
      <c r="D4" s="265">
        <f>PLANTILLA!AD22</f>
        <v>10</v>
      </c>
      <c r="E4" s="159">
        <f ca="1">PLANTILLA!AI22</f>
        <v>18.122092597318584</v>
      </c>
      <c r="F4" s="159">
        <f ca="1">PLANTILLA!AJ22</f>
        <v>11.38385762696379</v>
      </c>
      <c r="G4" s="159">
        <f ca="1">PLANTILLA!AK22</f>
        <v>0.98367772570593282</v>
      </c>
      <c r="H4" s="159">
        <f ca="1">PLANTILLA!AL22</f>
        <v>0.58151800999269132</v>
      </c>
      <c r="K4" t="str">
        <f>A6</f>
        <v>P .Trivadi</v>
      </c>
      <c r="L4" s="405">
        <f t="shared" si="1"/>
        <v>1.4142637871381487</v>
      </c>
      <c r="M4" s="405">
        <f t="shared" si="2"/>
        <v>10</v>
      </c>
      <c r="N4" s="405">
        <f t="shared" si="3"/>
        <v>10</v>
      </c>
      <c r="O4" s="405"/>
    </row>
    <row r="5" spans="1:15" x14ac:dyDescent="0.25">
      <c r="A5" t="str">
        <f>PLANTILLA!D18</f>
        <v>L. Bauman</v>
      </c>
      <c r="B5" s="159">
        <f>PLANTILLA!J18</f>
        <v>1.2850504364607402</v>
      </c>
      <c r="C5" s="265">
        <f>PLANTILLA!AC18</f>
        <v>7.4318888888888894</v>
      </c>
      <c r="D5" s="265">
        <f>PLANTILLA!AD18</f>
        <v>16.47</v>
      </c>
      <c r="E5" s="159">
        <f>PLANTILLA!AI18</f>
        <v>15.081082592079451</v>
      </c>
      <c r="F5" s="159">
        <f>PLANTILLA!AJ18</f>
        <v>12.505799040099976</v>
      </c>
      <c r="G5" s="159">
        <f>PLANTILLA!AK18</f>
        <v>1.0884984793613035</v>
      </c>
      <c r="H5" s="159">
        <f>PLANTILLA!AL18</f>
        <v>0.90763130833002958</v>
      </c>
      <c r="K5" t="str">
        <f>A14</f>
        <v>D. Toh</v>
      </c>
      <c r="L5" s="405">
        <f t="shared" si="1"/>
        <v>1.2850504364607402</v>
      </c>
      <c r="M5" s="405">
        <f t="shared" si="2"/>
        <v>7.4318888888888894</v>
      </c>
      <c r="N5" s="405">
        <f t="shared" si="3"/>
        <v>16.47</v>
      </c>
      <c r="O5" s="405"/>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5">
        <f t="shared" si="1"/>
        <v>1.0838844755238075</v>
      </c>
      <c r="M6" s="405">
        <f t="shared" si="2"/>
        <v>8.384500000000001</v>
      </c>
      <c r="N6" s="405">
        <f t="shared" si="3"/>
        <v>13.566666666666668</v>
      </c>
      <c r="O6" s="405"/>
    </row>
    <row r="7" spans="1:15" x14ac:dyDescent="0.25">
      <c r="A7" t="str">
        <f>PLANTILLA!D14</f>
        <v>S. Zobbe</v>
      </c>
      <c r="B7" s="159">
        <f>PLANTILLA!J14</f>
        <v>1.3333333333333333</v>
      </c>
      <c r="C7" s="265">
        <f>PLANTILLA!AC14</f>
        <v>7.4766666666666666</v>
      </c>
      <c r="D7" s="265">
        <f>PLANTILLA!AD14</f>
        <v>15.67</v>
      </c>
      <c r="E7" s="159">
        <f>PLANTILLA!AI14</f>
        <v>18.230724773331215</v>
      </c>
      <c r="F7" s="159">
        <f>PLANTILLA!AJ14</f>
        <v>14.85509210755051</v>
      </c>
      <c r="G7" s="159">
        <f>PLANTILLA!AK14</f>
        <v>1.0706</v>
      </c>
      <c r="H7" s="159">
        <f>PLANTILLA!AL14</f>
        <v>1.0028333333333332</v>
      </c>
      <c r="K7" t="str">
        <f>A13</f>
        <v>E. Toney</v>
      </c>
      <c r="L7" s="405">
        <f t="shared" si="1"/>
        <v>1.3333333333333333</v>
      </c>
      <c r="M7" s="405">
        <f t="shared" si="2"/>
        <v>7.4766666666666666</v>
      </c>
      <c r="N7" s="405">
        <f t="shared" si="3"/>
        <v>15.67</v>
      </c>
      <c r="O7" s="405"/>
    </row>
    <row r="8" spans="1:15" x14ac:dyDescent="0.25">
      <c r="A8" t="str">
        <f>PLANTILLA!D13</f>
        <v>K. Helms</v>
      </c>
      <c r="B8" s="159">
        <f>PLANTILLA!J13</f>
        <v>1.4092064684486303</v>
      </c>
      <c r="C8" s="265">
        <f>PLANTILLA!AC13</f>
        <v>5.4050000000000002</v>
      </c>
      <c r="D8" s="265">
        <f>PLANTILLA!AD13</f>
        <v>17.568888888888893</v>
      </c>
      <c r="E8" s="159">
        <f>PLANTILLA!AI13</f>
        <v>14.760226217749013</v>
      </c>
      <c r="F8" s="159">
        <f>PLANTILLA!AJ13</f>
        <v>14.223040685443275</v>
      </c>
      <c r="G8" s="159">
        <f>PLANTILLA!AK13</f>
        <v>1.0300531841425573</v>
      </c>
      <c r="H8" s="159">
        <f>PLANTILLA!AL13</f>
        <v>1.020723240670192</v>
      </c>
      <c r="K8" t="str">
        <f>A14</f>
        <v>D. Toh</v>
      </c>
      <c r="L8" s="405">
        <f t="shared" si="1"/>
        <v>1.4092064684486303</v>
      </c>
      <c r="M8" s="405">
        <f t="shared" si="2"/>
        <v>5.4050000000000002</v>
      </c>
      <c r="N8" s="405">
        <f t="shared" si="3"/>
        <v>17.568888888888893</v>
      </c>
      <c r="O8" s="405"/>
    </row>
    <row r="9" spans="1:15" x14ac:dyDescent="0.25">
      <c r="A9" t="str">
        <f>PLANTILLA!D15</f>
        <v>S. Buschelman</v>
      </c>
      <c r="B9" s="159">
        <f>PLANTILLA!J15</f>
        <v>1.4291760097415007</v>
      </c>
      <c r="C9" s="265">
        <f>PLANTILLA!AC15</f>
        <v>5.0296666666666656</v>
      </c>
      <c r="D9" s="265">
        <f>PLANTILLA!AD15</f>
        <v>15.588888888888887</v>
      </c>
      <c r="E9" s="159">
        <f>PLANTILLA!AI15</f>
        <v>15.796614537084269</v>
      </c>
      <c r="F9" s="159">
        <f>PLANTILLA!AJ15</f>
        <v>15.350298231963722</v>
      </c>
      <c r="G9" s="159">
        <f>PLANTILLA!AK15</f>
        <v>0.95348408077932001</v>
      </c>
      <c r="H9" s="159">
        <f>PLANTILLA!AL15</f>
        <v>1.0448556540152383</v>
      </c>
      <c r="K9" t="str">
        <f>A9</f>
        <v>S. Buschelman</v>
      </c>
      <c r="L9" s="405">
        <f t="shared" si="1"/>
        <v>1.4291760097415007</v>
      </c>
      <c r="M9" s="405">
        <f t="shared" si="2"/>
        <v>5.0296666666666656</v>
      </c>
      <c r="N9" s="405">
        <f t="shared" si="3"/>
        <v>15.588888888888887</v>
      </c>
      <c r="O9" s="405"/>
    </row>
    <row r="10" spans="1:15" x14ac:dyDescent="0.25">
      <c r="A10" t="str">
        <f>PLANTILLA!D16</f>
        <v>C. Rojas</v>
      </c>
      <c r="B10" s="159">
        <f>PLANTILLA!J16</f>
        <v>1.4532068152525308</v>
      </c>
      <c r="C10" s="265">
        <f>PLANTILLA!AC16</f>
        <v>4.3999999999999995</v>
      </c>
      <c r="D10" s="265">
        <f>PLANTILLA!AD16</f>
        <v>16.944444444444439</v>
      </c>
      <c r="E10" s="159">
        <f>PLANTILLA!AI16</f>
        <v>13.142175288587296</v>
      </c>
      <c r="F10" s="159">
        <f>PLANTILLA!AJ16</f>
        <v>13.635987442608807</v>
      </c>
      <c r="G10" s="159">
        <f>PLANTILLA!AK16</f>
        <v>0.96458987855353562</v>
      </c>
      <c r="H10" s="159">
        <f>PLANTILLA!AL16</f>
        <v>1.0601600326232326</v>
      </c>
      <c r="K10" t="str">
        <f>A11</f>
        <v>B. Bartolache</v>
      </c>
      <c r="L10" s="405">
        <f t="shared" si="1"/>
        <v>1.4532068152525308</v>
      </c>
      <c r="M10" s="405">
        <f t="shared" si="2"/>
        <v>4.3999999999999995</v>
      </c>
      <c r="N10" s="405">
        <f t="shared" si="3"/>
        <v>16.944444444444439</v>
      </c>
      <c r="O10" s="405"/>
    </row>
    <row r="11" spans="1:15" x14ac:dyDescent="0.25">
      <c r="A11" t="str">
        <f>PLANTILLA!D10</f>
        <v>B. Bartolache</v>
      </c>
      <c r="B11" s="159">
        <f>PLANTILLA!J10</f>
        <v>1.3615857320932507</v>
      </c>
      <c r="C11" s="265">
        <f>PLANTILLA!AC10</f>
        <v>4.6199999999999966</v>
      </c>
      <c r="D11" s="265">
        <f>PLANTILLA!AD10</f>
        <v>15.928888888888888</v>
      </c>
      <c r="E11" s="159">
        <f>PLANTILLA!AI10</f>
        <v>14.030056805578967</v>
      </c>
      <c r="F11" s="159">
        <f>PLANTILLA!AJ10</f>
        <v>14.255600096542935</v>
      </c>
      <c r="G11" s="159">
        <f>PLANTILLA!AK10</f>
        <v>0.93779352523412651</v>
      </c>
      <c r="H11" s="159">
        <f>PLANTILLA!AL10</f>
        <v>1.1581776679131941</v>
      </c>
      <c r="K11" t="str">
        <f>A12</f>
        <v>T. Hammond</v>
      </c>
      <c r="L11" s="405">
        <f t="shared" si="1"/>
        <v>1.3615857320932507</v>
      </c>
      <c r="M11" s="405">
        <f t="shared" si="2"/>
        <v>4.6199999999999966</v>
      </c>
      <c r="N11" s="405">
        <f t="shared" si="3"/>
        <v>15.928888888888888</v>
      </c>
      <c r="O11" s="405"/>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6">
        <f>AVERAGE(M2:M11)</f>
        <v>6.9080222222222218</v>
      </c>
      <c r="N12" s="586">
        <f>AVERAGE(N2:N11)</f>
        <v>15.795777777777776</v>
      </c>
      <c r="O12" s="587">
        <f>1.66*(M12+1.5)+0.55*(N12+1.5)-7.6</f>
        <v>15.869994666666665</v>
      </c>
    </row>
    <row r="13" spans="1:15" x14ac:dyDescent="0.25">
      <c r="A13" t="str">
        <f>PLANTILLA!D9</f>
        <v>E. Toney</v>
      </c>
      <c r="B13" s="159">
        <f>PLANTILLA!J9</f>
        <v>1.5028063978197437</v>
      </c>
      <c r="C13" s="265">
        <f>PLANTILLA!AC9</f>
        <v>3.6816666666666658</v>
      </c>
      <c r="D13" s="265">
        <f>PLANTILLA!AD9</f>
        <v>16.977777777777774</v>
      </c>
      <c r="E13" s="159">
        <f>PLANTILLA!AI9</f>
        <v>13.411010183312635</v>
      </c>
      <c r="F13" s="159">
        <f>PLANTILLA!AJ9</f>
        <v>14.805484360322811</v>
      </c>
      <c r="G13" s="159">
        <f>PLANTILLA!AK9</f>
        <v>0.93364117849224593</v>
      </c>
      <c r="H13" s="159">
        <f>PLANTILLA!AL9</f>
        <v>1.2075297811807153</v>
      </c>
    </row>
    <row r="14" spans="1:15" x14ac:dyDescent="0.25">
      <c r="A14" t="str">
        <f>PLANTILLA!D8</f>
        <v>D. Toh</v>
      </c>
      <c r="B14" s="159">
        <f>PLANTILLA!J8</f>
        <v>1.2459979349914236</v>
      </c>
      <c r="C14" s="265">
        <f>PLANTILLA!AC8</f>
        <v>3.9933333333333318</v>
      </c>
      <c r="D14" s="265">
        <f>PLANTILLA!AD8</f>
        <v>15.587777777777776</v>
      </c>
      <c r="E14" s="159">
        <f>PLANTILLA!AI8</f>
        <v>11.553991028396482</v>
      </c>
      <c r="F14" s="159">
        <f>PLANTILLA!AJ8</f>
        <v>12.55514033285454</v>
      </c>
      <c r="G14" s="159">
        <f>PLANTILLA!AK8</f>
        <v>0.88697983479931364</v>
      </c>
      <c r="H14" s="159">
        <f>PLANTILLA!AL8</f>
        <v>1.1029465221160664</v>
      </c>
    </row>
    <row r="15" spans="1:15" x14ac:dyDescent="0.25">
      <c r="A15" t="str">
        <f>PLANTILLA!D17</f>
        <v>E. Gross</v>
      </c>
      <c r="B15" s="159">
        <f>PLANTILLA!J17</f>
        <v>1.3504496329402296</v>
      </c>
      <c r="C15" s="265">
        <f>PLANTILLA!AC17</f>
        <v>2.98</v>
      </c>
      <c r="D15" s="265">
        <f>PLANTILLA!AD17</f>
        <v>17.259999999999998</v>
      </c>
      <c r="E15" s="159">
        <f>PLANTILLA!AI17</f>
        <v>13.139293688797908</v>
      </c>
      <c r="F15" s="159">
        <f>PLANTILLA!AJ17</f>
        <v>15.826449632940227</v>
      </c>
      <c r="G15" s="159">
        <f>PLANTILLA!AK17</f>
        <v>0.89483597063521825</v>
      </c>
      <c r="H15" s="159">
        <f>PLANTILLA!AL17</f>
        <v>1.1393314743058158</v>
      </c>
    </row>
    <row r="16" spans="1:15" x14ac:dyDescent="0.25">
      <c r="A16" t="str">
        <f>PLANTILLA!D11</f>
        <v>F. Lasprilla</v>
      </c>
      <c r="B16" s="159">
        <f>PLANTILLA!J11</f>
        <v>1.0278026821895256</v>
      </c>
      <c r="C16" s="265">
        <f>PLANTILLA!AC11</f>
        <v>3.2566666666666673</v>
      </c>
      <c r="D16" s="265">
        <f>PLANTILLA!AD11</f>
        <v>13.33611111111111</v>
      </c>
      <c r="E16" s="159">
        <f>PLANTILLA!AI11</f>
        <v>9.9316163426060715</v>
      </c>
      <c r="F16" s="159">
        <f>PLANTILLA!AJ11</f>
        <v>11.887604572534515</v>
      </c>
      <c r="G16" s="159">
        <f>PLANTILLA!AK11</f>
        <v>0.76514088124182877</v>
      </c>
      <c r="H16" s="159">
        <f>PLANTILLA!AL11</f>
        <v>0.96121618775326678</v>
      </c>
    </row>
    <row r="17" spans="1:8" x14ac:dyDescent="0.25">
      <c r="A17" t="str">
        <f>PLANTILLA!D19</f>
        <v>W. Gelifini</v>
      </c>
      <c r="B17" s="159">
        <f>PLANTILLA!J19</f>
        <v>0.93196000578135851</v>
      </c>
      <c r="C17" s="265">
        <f>PLANTILLA!AC19</f>
        <v>3.5417777777777766</v>
      </c>
      <c r="D17" s="265">
        <f>PLANTILLA!AD19</f>
        <v>12.65</v>
      </c>
      <c r="E17" s="159">
        <f>PLANTILLA!AI19</f>
        <v>8.0215269511616274</v>
      </c>
      <c r="F17" s="159">
        <f>PLANTILLA!AJ19</f>
        <v>9.3353394836988919</v>
      </c>
      <c r="G17" s="159">
        <f>PLANTILLA!AK19</f>
        <v>0.75114568935139747</v>
      </c>
      <c r="H17" s="159">
        <f>PLANTILLA!AL19</f>
        <v>0.77579942262691703</v>
      </c>
    </row>
    <row r="18" spans="1:8" x14ac:dyDescent="0.25">
      <c r="A18" t="str">
        <f>PLANTILLA!D5</f>
        <v>D. Gehmacher</v>
      </c>
      <c r="B18" s="159">
        <f>PLANTILLA!J5</f>
        <v>1.7200461484833574</v>
      </c>
      <c r="C18" s="265">
        <f>PLANTILLA!AC5</f>
        <v>0.14055555555555557</v>
      </c>
      <c r="D18" s="265">
        <f>PLANTILLA!AD5</f>
        <v>18</v>
      </c>
      <c r="E18" s="159">
        <f ca="1">PLANTILLA!AI5</f>
        <v>7.9107848389641244</v>
      </c>
      <c r="F18" s="159">
        <f ca="1">PLANTILLA!AJ5</f>
        <v>14.222645401249363</v>
      </c>
      <c r="G18" s="159">
        <f ca="1">PLANTILLA!AK5</f>
        <v>0.76463146965644646</v>
      </c>
      <c r="H18" s="159">
        <f ca="1">PLANTILLA!AL5</f>
        <v>1.2136256080162127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10</v>
      </c>
      <c r="E20" s="159">
        <f ca="1">PLANTILLA!AI7</f>
        <v>5.0979085608782952</v>
      </c>
      <c r="F20" s="159">
        <f ca="1">PLANTILLA!AJ7</f>
        <v>9.1898922353838568</v>
      </c>
      <c r="G20" s="159">
        <f ca="1">PLANTILLA!AK7</f>
        <v>0.56381173403207985</v>
      </c>
      <c r="H20" s="159">
        <f ca="1">PLANTILLA!AL7</f>
        <v>1.0528352672780701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2"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3"/>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4">
        <f>C13</f>
        <v>10943703</v>
      </c>
      <c r="Z14" s="715"/>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6" t="s">
        <v>93</v>
      </c>
      <c r="B26" s="71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7" t="s">
        <v>94</v>
      </c>
      <c r="B27" s="70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8" t="s">
        <v>95</v>
      </c>
      <c r="B28" s="70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6" t="s">
        <v>96</v>
      </c>
      <c r="B29" s="71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7" t="s">
        <v>97</v>
      </c>
      <c r="B30" s="70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8" t="s">
        <v>98</v>
      </c>
      <c r="B31" s="70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7"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9">
        <f>C23</f>
        <v>7143175</v>
      </c>
      <c r="Z34" s="710"/>
    </row>
    <row r="35" spans="1:26" x14ac:dyDescent="0.25">
      <c r="A35" s="57"/>
      <c r="B35" s="717"/>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7"/>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7"/>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7"/>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7"/>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7"/>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7"/>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89"/>
      <c r="H47" s="589"/>
      <c r="I47" s="589"/>
      <c r="J47" s="589"/>
    </row>
    <row r="48" spans="1:26" x14ac:dyDescent="0.25">
      <c r="G48" s="706"/>
      <c r="H48" s="706"/>
      <c r="I48" s="706"/>
      <c r="J48" s="706"/>
      <c r="P48" s="383"/>
    </row>
    <row r="49" spans="7:10" ht="15" customHeight="1" x14ac:dyDescent="0.25">
      <c r="G49" s="706"/>
      <c r="H49" s="706"/>
      <c r="I49" s="706"/>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1">
        <f>P17+P20</f>
        <v>10.624570302414639</v>
      </c>
      <c r="Q21" s="671">
        <f>Q17+Q20</f>
        <v>11.341610315779839</v>
      </c>
      <c r="V21" s="179" t="s">
        <v>530</v>
      </c>
      <c r="W21" s="671">
        <f>W17+W20</f>
        <v>10.112701507467294</v>
      </c>
      <c r="X21" s="671">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60600</v>
      </c>
      <c r="S2" s="228">
        <v>2068800</v>
      </c>
      <c r="T2" s="228">
        <f ca="1">S2+Q2+P2+R2</f>
        <v>2908042.8571428573</v>
      </c>
      <c r="U2" s="233">
        <f ca="1">T2/((O2-N2)/112)</f>
        <v>567422.99651567952</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36000</v>
      </c>
      <c r="S4" s="228">
        <v>2059800</v>
      </c>
      <c r="T4" s="228">
        <f>S4+Q4+P4</f>
        <v>3126540</v>
      </c>
      <c r="U4" s="233">
        <f>T4/((O4-N4)/112)</f>
        <v>580717.21393034828</v>
      </c>
      <c r="V4" s="163">
        <f ca="1">(A7-N4)/112</f>
        <v>7.5</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43145</v>
      </c>
    </row>
    <row r="8" spans="1:22" x14ac:dyDescent="0.25">
      <c r="A8" s="177">
        <v>41757</v>
      </c>
    </row>
    <row r="9" spans="1:22" x14ac:dyDescent="0.25">
      <c r="A9" s="179">
        <f ca="1">A7-A8</f>
        <v>1388</v>
      </c>
    </row>
    <row r="10" spans="1:22" x14ac:dyDescent="0.25">
      <c r="A10" s="416">
        <f ca="1">A9/112</f>
        <v>12.392857142857142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43145</v>
      </c>
      <c r="P13" s="622">
        <v>1800000</v>
      </c>
      <c r="Q13" s="228">
        <v>372</v>
      </c>
      <c r="R13" s="228">
        <f t="shared" ref="R13" ca="1" si="4">((TODAY()-N13)/7)*L13</f>
        <v>29252.571428571428</v>
      </c>
      <c r="S13" s="622">
        <v>2553000</v>
      </c>
      <c r="T13" s="228">
        <f t="shared" ref="T13" si="5">S13+Q13+P13</f>
        <v>4353372</v>
      </c>
      <c r="U13" s="233">
        <f t="shared" ref="U13" ca="1" si="6">T13/((O13-N13)/112)</f>
        <v>2057289.7215189876</v>
      </c>
      <c r="V13" s="163">
        <v>7</v>
      </c>
    </row>
    <row r="16" spans="1:22" x14ac:dyDescent="0.25">
      <c r="N16" s="681"/>
    </row>
    <row r="17" spans="1:22" ht="18" x14ac:dyDescent="0.25">
      <c r="A17" s="607">
        <v>42908</v>
      </c>
      <c r="B17" s="290"/>
      <c r="C17">
        <v>112</v>
      </c>
      <c r="D17">
        <v>0</v>
      </c>
    </row>
    <row r="18" spans="1:22" x14ac:dyDescent="0.25">
      <c r="A18" s="290">
        <f ca="1">TODAY()</f>
        <v>43145</v>
      </c>
      <c r="B18" s="290"/>
      <c r="C18">
        <v>400</v>
      </c>
      <c r="D18">
        <v>1</v>
      </c>
    </row>
    <row r="19" spans="1:22" x14ac:dyDescent="0.25">
      <c r="A19">
        <f ca="1">A18-A17</f>
        <v>237</v>
      </c>
      <c r="C19">
        <f>C18-C17</f>
        <v>288</v>
      </c>
      <c r="D19" s="608">
        <f ca="1">(A19-C17)/C19</f>
        <v>0.43402777777777779</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J9" sqref="AJ9"/>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3.594642857142857</v>
      </c>
      <c r="D1" s="345">
        <f ca="1">TODAY()</f>
        <v>43145</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7.3315789473684188</v>
      </c>
      <c r="N2" s="297"/>
      <c r="O2" s="297"/>
      <c r="P2" s="297"/>
      <c r="Q2" s="347">
        <f>AVERAGE(Q5:Q23)</f>
        <v>5.7368421052631575</v>
      </c>
      <c r="R2" s="501">
        <f>AVERAGE(R5:R23)</f>
        <v>0.90187528948388807</v>
      </c>
      <c r="S2" s="501">
        <f>AVERAGE(S5:S23)</f>
        <v>0.96324420775263697</v>
      </c>
      <c r="T2" s="348">
        <f>AVERAGE(T5:T23)</f>
        <v>112844.73684210527</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14.818333333333332</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3.4017857142857144</v>
      </c>
      <c r="D5" s="657" t="s">
        <v>782</v>
      </c>
      <c r="E5" s="387">
        <v>30</v>
      </c>
      <c r="F5" s="394">
        <f ca="1">-42406+$D$1-112-112-112-112-112-112</f>
        <v>67</v>
      </c>
      <c r="G5" s="388"/>
      <c r="H5" s="402">
        <v>6</v>
      </c>
      <c r="I5" s="308">
        <v>18.5</v>
      </c>
      <c r="J5" s="486">
        <f>LOG(I5+1)*4/3</f>
        <v>1.7200461484833574</v>
      </c>
      <c r="K5" s="303">
        <f t="shared" ref="K5" si="0">(H5)*(H5)*(I5)</f>
        <v>666</v>
      </c>
      <c r="L5" s="303">
        <f t="shared" ref="L5" si="1">(H5+1)*(H5+1)*I5</f>
        <v>906.5</v>
      </c>
      <c r="M5" s="389">
        <v>7.6</v>
      </c>
      <c r="N5" s="445">
        <f>M5*10+19</f>
        <v>95</v>
      </c>
      <c r="O5" s="677">
        <v>42468</v>
      </c>
      <c r="P5" s="678">
        <f ca="1">IF((TODAY()-O5)&gt;335,1,((TODAY()-O5)^0.64)/(336^0.64))</f>
        <v>1</v>
      </c>
      <c r="Q5" s="445">
        <v>6</v>
      </c>
      <c r="R5" s="500">
        <f>(Q5/7)^0.5</f>
        <v>0.92582009977255142</v>
      </c>
      <c r="S5" s="500">
        <f>IF(Q5=7,1,((Q5+0.99)/7)^0.5)</f>
        <v>0.99928545900129484</v>
      </c>
      <c r="T5" s="324">
        <v>95150</v>
      </c>
      <c r="U5" s="626">
        <f t="shared" ref="U5:U23" si="2">T5-AR5</f>
        <v>3250</v>
      </c>
      <c r="V5" s="324">
        <v>39696</v>
      </c>
      <c r="W5" s="316">
        <f t="shared" ref="W5:W24" si="3">T5/V5</f>
        <v>2.3969669488109635</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v>18</v>
      </c>
      <c r="AE5" s="324">
        <v>1503</v>
      </c>
      <c r="AF5" s="603">
        <f ca="1">(Z5+P5+J5)*(Q5/7)^0.5</f>
        <v>4.4347210031039861</v>
      </c>
      <c r="AG5" s="603">
        <f ca="1">(Z5+P5+J5)*(IF(Q5=7, (Q5/7)^0.5, ((Q5+1)/7)^0.5))</f>
        <v>4.7900461484833556</v>
      </c>
      <c r="AH5" s="316">
        <f ca="1">(((Y5+P5+J5)+(AB5+P5+J5)*2)/8)*(Q5/7)^0.5</f>
        <v>2.5831188429772882</v>
      </c>
      <c r="AI5" s="316">
        <f ca="1">(1.66*(AC5+J5+P5)+0.55*(AD5+J5+P5)-7.6)*(Q5/7)^0.5</f>
        <v>7.9107848389641244</v>
      </c>
      <c r="AJ5" s="316">
        <f ca="1">((AD5+J5+P5)*0.7+(AC5+J5+P5)*0.3)*(Q5/7)^0.5</f>
        <v>14.222645401249363</v>
      </c>
      <c r="AK5" s="316">
        <f ca="1">(0.5*(AC5+P5+J5)+ 0.3*(AD5+P5+J5))/10</f>
        <v>0.76463146965644646</v>
      </c>
      <c r="AL5" s="316">
        <f ca="1">(0.4*(Y5+P5+J5)+0.3*(AD5+P5+J5))/10</f>
        <v>1.2136256080162127</v>
      </c>
      <c r="AM5" s="311">
        <f ca="1">(AD5+P5+(LOG(I5)*4/3))*(Q5/7)^0.5</f>
        <v>19.154812637037189</v>
      </c>
      <c r="AN5" s="311">
        <f ca="1">(AD5+P5+(LOG(I5)*4/3))*(IF(Q5=7, (Q5/7)^0.5, ((Q5+1)/7)^0.5))</f>
        <v>20.68956230453735</v>
      </c>
      <c r="AO5" s="445">
        <v>2</v>
      </c>
      <c r="AP5" s="445">
        <v>2</v>
      </c>
      <c r="AQ5" s="590">
        <f>IF(AO5=4,IF(AP5=0,0.137+0.0697,0.137+0.02),IF(AO5=3,IF(AP5=0,0.0958+0.0697,0.0958+0.02),IF(AO5=2,IF(AP5=0,0.0415+0.0697,0.0415+0.02),IF(AO5=1,IF(AP5=0,0.0294+0.0697,0.0294+0.02),IF(AO5=0,IF(AP5=0,0.0063+0.0697,0.0063+0.02))))))</f>
        <v>6.1499999999999999E-2</v>
      </c>
      <c r="AR5">
        <v>91900</v>
      </c>
      <c r="AS5">
        <v>86720</v>
      </c>
      <c r="AT5" s="390">
        <f>AS5-T5</f>
        <v>-8430</v>
      </c>
    </row>
    <row r="6" spans="1:46" s="263" customFormat="1" x14ac:dyDescent="0.25">
      <c r="A6" s="384" t="s">
        <v>484</v>
      </c>
      <c r="B6" s="384" t="s">
        <v>1</v>
      </c>
      <c r="C6" s="385">
        <f t="shared" ref="C6:C23" ca="1" si="4">((34*112)-(E6*112)-(F6))/112</f>
        <v>-0.6785714285714286</v>
      </c>
      <c r="D6" s="657" t="s">
        <v>267</v>
      </c>
      <c r="E6" s="387">
        <v>34</v>
      </c>
      <c r="F6" s="394">
        <f ca="1">82-41471+$D$1-112-112-112-112-112-112-112-112-112-112-112-112-112-112-112</f>
        <v>76</v>
      </c>
      <c r="G6" s="388" t="s">
        <v>502</v>
      </c>
      <c r="H6" s="371">
        <v>3</v>
      </c>
      <c r="I6" s="308">
        <v>7.9</v>
      </c>
      <c r="J6" s="486">
        <f t="shared" ref="J6:J23" si="5">LOG(I6+1)*4/3</f>
        <v>1.265853342193217</v>
      </c>
      <c r="K6" s="303">
        <f t="shared" ref="K6:K23" si="6">(H6)*(H6)*(I6)</f>
        <v>71.100000000000009</v>
      </c>
      <c r="L6" s="303">
        <f t="shared" ref="L6:L23" si="7">(H6+1)*(H6+1)*I6</f>
        <v>126.4</v>
      </c>
      <c r="M6" s="389">
        <v>5.7</v>
      </c>
      <c r="N6" s="445">
        <f t="shared" ref="N6:N23" si="8">M6*10+19</f>
        <v>76</v>
      </c>
      <c r="O6" s="445" t="s">
        <v>557</v>
      </c>
      <c r="P6" s="678">
        <v>1.5</v>
      </c>
      <c r="Q6" s="445">
        <v>6</v>
      </c>
      <c r="R6" s="500">
        <f t="shared" ref="R6:R23" si="9">(Q6/7)^0.5</f>
        <v>0.92582009977255142</v>
      </c>
      <c r="S6" s="500">
        <f t="shared" ref="S6:S23" si="10">IF(Q6=7,1,((Q6+0.99)/7)^0.5)</f>
        <v>0.99928545900129484</v>
      </c>
      <c r="T6" s="324">
        <v>1690</v>
      </c>
      <c r="U6" s="626">
        <f t="shared" si="2"/>
        <v>-30</v>
      </c>
      <c r="V6" s="324">
        <v>2770</v>
      </c>
      <c r="W6" s="316">
        <f t="shared" si="3"/>
        <v>0.61010830324909748</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6.2547048153180489</v>
      </c>
      <c r="AG6" s="603">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5">
        <v>4</v>
      </c>
      <c r="AP6" s="445">
        <v>3</v>
      </c>
      <c r="AQ6" s="590">
        <f t="shared" ref="AQ6:AQ23" si="20">IF(AO6=4,IF(AP6=0,0.137+0.0697,0.137+0.02),IF(AO6=3,IF(AP6=0,0.0958+0.0697,0.0958+0.02),IF(AO6=2,IF(AP6=0,0.0415+0.0697,0.0415+0.02),IF(AO6=1,IF(AP6=0,0.0294+0.0697,0.0294+0.02),IF(AO6=0,IF(AP6=0,0.0063+0.0697,0.0063+0.02))))))</f>
        <v>0.157</v>
      </c>
      <c r="AR6" s="263">
        <v>1720</v>
      </c>
      <c r="AS6" s="263">
        <v>1750</v>
      </c>
      <c r="AT6" s="390">
        <f t="shared" ref="AT6:AT22" si="21">AS6-T6</f>
        <v>60</v>
      </c>
    </row>
    <row r="7" spans="1:46" s="248" customFormat="1" x14ac:dyDescent="0.25">
      <c r="A7" s="384" t="s">
        <v>582</v>
      </c>
      <c r="B7" s="384" t="s">
        <v>2</v>
      </c>
      <c r="C7" s="385">
        <f t="shared" ca="1" si="4"/>
        <v>3.2946428571428572</v>
      </c>
      <c r="D7" s="657" t="s">
        <v>856</v>
      </c>
      <c r="E7" s="387">
        <v>30</v>
      </c>
      <c r="F7" s="394">
        <f ca="1">82-41471+$D$1-112-112-112-112-112-112-112-112-112-112-112+3-112-112-112-112</f>
        <v>79</v>
      </c>
      <c r="G7" s="388" t="s">
        <v>502</v>
      </c>
      <c r="H7" s="393">
        <v>2</v>
      </c>
      <c r="I7" s="308">
        <v>14.4</v>
      </c>
      <c r="J7" s="486">
        <f t="shared" si="5"/>
        <v>1.5833609611152841</v>
      </c>
      <c r="K7" s="303">
        <f>(H7)*(H7)*(I7)</f>
        <v>57.6</v>
      </c>
      <c r="L7" s="303">
        <f>(H7+1)*(H7+1)*I7</f>
        <v>129.6</v>
      </c>
      <c r="M7" s="389">
        <v>7.5</v>
      </c>
      <c r="N7" s="445">
        <f>M7*10+19</f>
        <v>94</v>
      </c>
      <c r="O7" s="677">
        <v>42716</v>
      </c>
      <c r="P7" s="678">
        <f ca="1">IF((TODAY()-O7)&gt;335,1,((TODAY()-O7)^0.64)/(336^0.64))</f>
        <v>1</v>
      </c>
      <c r="Q7" s="445">
        <v>6</v>
      </c>
      <c r="R7" s="500">
        <f>(Q7/7)^0.5</f>
        <v>0.92582009977255142</v>
      </c>
      <c r="S7" s="500">
        <f>IF(Q7=7,1,((Q7+0.99)/7)^0.5)</f>
        <v>0.99928545900129484</v>
      </c>
      <c r="T7" s="324">
        <v>251980</v>
      </c>
      <c r="U7" s="626">
        <f t="shared" si="2"/>
        <v>-1350</v>
      </c>
      <c r="V7" s="324">
        <v>29520</v>
      </c>
      <c r="W7" s="316">
        <f>T7/V7</f>
        <v>8.5359078590785913</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10</v>
      </c>
      <c r="AE7" s="324">
        <v>1914</v>
      </c>
      <c r="AF7" s="603">
        <f t="shared" ca="1" si="11"/>
        <v>11.075302825234953</v>
      </c>
      <c r="AG7" s="603">
        <f t="shared" ca="1" si="12"/>
        <v>11.962694294448619</v>
      </c>
      <c r="AH7" s="316">
        <f t="shared" ca="1" si="13"/>
        <v>4.7321075768458947</v>
      </c>
      <c r="AI7" s="316">
        <f t="shared" ca="1" si="14"/>
        <v>5.0979085608782952</v>
      </c>
      <c r="AJ7" s="316">
        <f t="shared" ca="1" si="15"/>
        <v>9.1898922353838568</v>
      </c>
      <c r="AK7" s="316">
        <f t="shared" ca="1" si="16"/>
        <v>0.56381173403207985</v>
      </c>
      <c r="AL7" s="316">
        <f t="shared" ca="1" si="17"/>
        <v>1.0528352672780701</v>
      </c>
      <c r="AM7" s="311">
        <f t="shared" ca="1" si="18"/>
        <v>11.613934801503941</v>
      </c>
      <c r="AN7" s="311">
        <f t="shared" ca="1" si="19"/>
        <v>12.544483322793667</v>
      </c>
      <c r="AO7" s="445">
        <v>1</v>
      </c>
      <c r="AP7" s="445">
        <v>2</v>
      </c>
      <c r="AQ7" s="590">
        <f>IF(AO7=4,IF(AP7=0,0.137+0.0697,0.137+0.02),IF(AO7=3,IF(AP7=0,0.0958+0.0697,0.0958+0.02),IF(AO7=2,IF(AP7=0,0.0415+0.0697,0.0415+0.02),IF(AO7=1,IF(AP7=0,0.0294+0.0697,0.0294+0.02),IF(AO7=0,IF(AP7=0,0.0063+0.0697,0.0063+0.02))))))</f>
        <v>4.9399999999999999E-2</v>
      </c>
      <c r="AR7" s="248">
        <v>253330</v>
      </c>
      <c r="AS7" s="248">
        <v>255190</v>
      </c>
      <c r="AT7" s="390">
        <f t="shared" si="21"/>
        <v>3210</v>
      </c>
    </row>
    <row r="8" spans="1:46" s="254" customFormat="1" x14ac:dyDescent="0.25">
      <c r="A8" s="305" t="s">
        <v>412</v>
      </c>
      <c r="B8" s="260" t="s">
        <v>2</v>
      </c>
      <c r="C8" s="385">
        <f t="shared" ca="1" si="4"/>
        <v>1.8928571428571428</v>
      </c>
      <c r="D8" s="658" t="s">
        <v>275</v>
      </c>
      <c r="E8" s="210">
        <v>32</v>
      </c>
      <c r="F8" s="211">
        <f ca="1">18-41471+$D$1-112-112-112-112-112-112-112-112-112-112-112-112-112-112-112</f>
        <v>12</v>
      </c>
      <c r="G8" s="262" t="s">
        <v>502</v>
      </c>
      <c r="H8" s="393">
        <v>4</v>
      </c>
      <c r="I8" s="214">
        <v>7.6</v>
      </c>
      <c r="J8" s="486">
        <f t="shared" si="5"/>
        <v>1.2459979349914236</v>
      </c>
      <c r="K8" s="303">
        <f t="shared" si="6"/>
        <v>121.6</v>
      </c>
      <c r="L8" s="303">
        <f t="shared" si="7"/>
        <v>190</v>
      </c>
      <c r="M8" s="296">
        <v>6.9</v>
      </c>
      <c r="N8" s="445">
        <f t="shared" si="8"/>
        <v>88</v>
      </c>
      <c r="O8" s="445" t="s">
        <v>557</v>
      </c>
      <c r="P8" s="678">
        <v>1.5</v>
      </c>
      <c r="Q8" s="446">
        <v>5</v>
      </c>
      <c r="R8" s="500">
        <f t="shared" si="9"/>
        <v>0.84515425472851657</v>
      </c>
      <c r="S8" s="500">
        <f t="shared" si="10"/>
        <v>0.92504826128926143</v>
      </c>
      <c r="T8" s="627">
        <v>13400</v>
      </c>
      <c r="U8" s="626">
        <f t="shared" si="2"/>
        <v>-370</v>
      </c>
      <c r="V8" s="627">
        <v>3510</v>
      </c>
      <c r="W8" s="316">
        <f t="shared" si="3"/>
        <v>3.8176638176638176</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7.5771817725035753</v>
      </c>
      <c r="AG8" s="603">
        <f t="shared" si="12"/>
        <v>8.3003867582343727</v>
      </c>
      <c r="AH8" s="316">
        <f t="shared" si="13"/>
        <v>3.6722884883546643</v>
      </c>
      <c r="AI8" s="316">
        <f t="shared" si="14"/>
        <v>11.553991028396482</v>
      </c>
      <c r="AJ8" s="316">
        <f t="shared" si="15"/>
        <v>12.55514033285454</v>
      </c>
      <c r="AK8" s="316">
        <f t="shared" si="16"/>
        <v>0.88697983479931364</v>
      </c>
      <c r="AL8" s="316">
        <f t="shared" si="17"/>
        <v>1.1029465221160664</v>
      </c>
      <c r="AM8" s="311">
        <f t="shared" si="18"/>
        <v>15.434372566262708</v>
      </c>
      <c r="AN8" s="311">
        <f t="shared" si="19"/>
        <v>16.907508030961967</v>
      </c>
      <c r="AO8" s="446">
        <v>2</v>
      </c>
      <c r="AP8" s="446">
        <v>3</v>
      </c>
      <c r="AQ8" s="590">
        <f t="shared" si="20"/>
        <v>6.1499999999999999E-2</v>
      </c>
      <c r="AR8" s="254">
        <v>13770</v>
      </c>
      <c r="AS8" s="254">
        <v>19160</v>
      </c>
      <c r="AT8" s="390">
        <f t="shared" si="21"/>
        <v>5760</v>
      </c>
    </row>
    <row r="9" spans="1:46" s="246" customFormat="1" x14ac:dyDescent="0.25">
      <c r="A9" s="384" t="s">
        <v>504</v>
      </c>
      <c r="B9" s="384" t="s">
        <v>2</v>
      </c>
      <c r="C9" s="385">
        <f t="shared" ca="1" si="4"/>
        <v>2.3035714285714284</v>
      </c>
      <c r="D9" s="657" t="s">
        <v>269</v>
      </c>
      <c r="E9" s="387">
        <v>31</v>
      </c>
      <c r="F9" s="394">
        <f ca="1">84-41471+$D$1-112-112-112-112-112-112-112-112-112-112-112-112-112-112-112</f>
        <v>78</v>
      </c>
      <c r="G9" s="388"/>
      <c r="H9" s="393">
        <v>4</v>
      </c>
      <c r="I9" s="308">
        <v>12.4</v>
      </c>
      <c r="J9" s="486">
        <f t="shared" si="5"/>
        <v>1.5028063978197437</v>
      </c>
      <c r="K9" s="303">
        <f t="shared" si="6"/>
        <v>198.4</v>
      </c>
      <c r="L9" s="303">
        <f t="shared" si="7"/>
        <v>310</v>
      </c>
      <c r="M9" s="389">
        <v>7.2</v>
      </c>
      <c r="N9" s="445">
        <f t="shared" si="8"/>
        <v>91</v>
      </c>
      <c r="O9" s="445" t="s">
        <v>557</v>
      </c>
      <c r="P9" s="678">
        <v>1.5</v>
      </c>
      <c r="Q9" s="445">
        <v>6</v>
      </c>
      <c r="R9" s="500">
        <f t="shared" si="9"/>
        <v>0.92582009977255142</v>
      </c>
      <c r="S9" s="500">
        <f t="shared" si="10"/>
        <v>0.99928545900129484</v>
      </c>
      <c r="T9" s="324">
        <v>123360</v>
      </c>
      <c r="U9" s="626">
        <f t="shared" si="2"/>
        <v>4140</v>
      </c>
      <c r="V9" s="324">
        <v>14670</v>
      </c>
      <c r="W9" s="316">
        <f t="shared" si="3"/>
        <v>8.408997955010225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f>
        <v>16.977777777777774</v>
      </c>
      <c r="AE9" s="324">
        <v>1858</v>
      </c>
      <c r="AF9" s="603">
        <f t="shared" si="11"/>
        <v>15.057873206410806</v>
      </c>
      <c r="AG9" s="603">
        <f t="shared" si="12"/>
        <v>16.264361953375296</v>
      </c>
      <c r="AH9" s="316">
        <f t="shared" si="13"/>
        <v>4.6763658361674381</v>
      </c>
      <c r="AI9" s="316">
        <f t="shared" si="14"/>
        <v>13.411010183312635</v>
      </c>
      <c r="AJ9" s="316">
        <f t="shared" si="15"/>
        <v>14.805484360322811</v>
      </c>
      <c r="AK9" s="316">
        <f t="shared" si="16"/>
        <v>0.93364117849224593</v>
      </c>
      <c r="AL9" s="316">
        <f t="shared" si="17"/>
        <v>1.2075297811807153</v>
      </c>
      <c r="AM9" s="311">
        <f t="shared" si="18"/>
        <v>18.456847097331082</v>
      </c>
      <c r="AN9" s="311">
        <f t="shared" si="19"/>
        <v>19.935673357994087</v>
      </c>
      <c r="AO9" s="445">
        <v>2</v>
      </c>
      <c r="AP9" s="445">
        <v>3</v>
      </c>
      <c r="AQ9" s="590">
        <f t="shared" si="20"/>
        <v>6.1499999999999999E-2</v>
      </c>
      <c r="AR9" s="246">
        <v>119220</v>
      </c>
      <c r="AS9" s="246">
        <v>133510</v>
      </c>
      <c r="AT9" s="390">
        <f t="shared" si="21"/>
        <v>10150</v>
      </c>
    </row>
    <row r="10" spans="1:46" s="247" customFormat="1" x14ac:dyDescent="0.25">
      <c r="A10" s="384" t="s">
        <v>405</v>
      </c>
      <c r="B10" s="260" t="s">
        <v>2</v>
      </c>
      <c r="C10" s="385">
        <f t="shared" ca="1" si="4"/>
        <v>2.4375</v>
      </c>
      <c r="D10" s="658" t="s">
        <v>273</v>
      </c>
      <c r="E10" s="210">
        <v>31</v>
      </c>
      <c r="F10" s="211">
        <f ca="1">69-41471+$D$1-112-112-112-112-112-112-112-112-112-112-112-112-112-112-112</f>
        <v>63</v>
      </c>
      <c r="G10" s="262"/>
      <c r="H10" s="371">
        <v>3</v>
      </c>
      <c r="I10" s="214">
        <v>9.5</v>
      </c>
      <c r="J10" s="486">
        <f t="shared" si="5"/>
        <v>1.3615857320932507</v>
      </c>
      <c r="K10" s="303">
        <f t="shared" si="6"/>
        <v>85.5</v>
      </c>
      <c r="L10" s="303">
        <f t="shared" si="7"/>
        <v>152</v>
      </c>
      <c r="M10" s="296">
        <v>7.1</v>
      </c>
      <c r="N10" s="445">
        <f t="shared" si="8"/>
        <v>90</v>
      </c>
      <c r="O10" s="445" t="s">
        <v>557</v>
      </c>
      <c r="P10" s="678">
        <v>1.5</v>
      </c>
      <c r="Q10" s="446">
        <v>6</v>
      </c>
      <c r="R10" s="500">
        <f t="shared" si="9"/>
        <v>0.92582009977255142</v>
      </c>
      <c r="S10" s="500">
        <f t="shared" si="10"/>
        <v>0.99928545900129484</v>
      </c>
      <c r="T10" s="684">
        <v>32670</v>
      </c>
      <c r="U10" s="626">
        <f t="shared" si="2"/>
        <v>-6950</v>
      </c>
      <c r="V10" s="627">
        <v>5350</v>
      </c>
      <c r="W10" s="316">
        <f t="shared" si="3"/>
        <v>6.1065420560747663</v>
      </c>
      <c r="X10" s="485">
        <v>0</v>
      </c>
      <c r="Y10" s="486">
        <f>9.15+0.15+0.15+0.15+0.15+0.15+0.15+0.15+0.15+0.15+0.12+0.12+0.12+0.12+0.12+0.1+0.1+0.1+0.1+0.1+0.1+0.1+0.1+0.1</f>
        <v>11.999999999999996</v>
      </c>
      <c r="Z10" s="485">
        <f>5.99+0.04+0.04+(0.04/90*75)+(0.25*15/90)+0.03+0.03+(0.03*20/90)+0.03+0.03+(0.22*0.5*30/90)+(0.22/16*60/90)+0.03+0.03+0.22*0.5+0.2*0.5+0.03+0.22*0.5+0.03+0.03+0.03+0.01+0.01+0.01+0.01+0.01+1/8*0.5+0.01+1/8*0.5+0.01+0.01</f>
        <v>7.0225000000000017</v>
      </c>
      <c r="AA10" s="486">
        <f>6.18+0.2+0.2+0.2+0.15*0.5+0.15*0.5+0.15*0.5+0.15*0.5+0.14*0.5+0.14*0.5+0.14+0.14*0.5+0.14*0.5</f>
        <v>7.5000000000000018</v>
      </c>
      <c r="AB10" s="485">
        <f>4.3+0.35+0.35+0.35+0.33+0.32+0.3+0.27+0.27+0.26+0.2+0.2+0.2+0.2+0.15+0.15+0.14+0.12+0.12+0.11+0.11+0.08+0.07+0.07</f>
        <v>9.0199999999999978</v>
      </c>
      <c r="AC10" s="486">
        <f>4.06+0.06+0.06+0.06+0.06+0.06*75/90+0.05+0.05+0.05+0.02+0.2*0.5</f>
        <v>4.6199999999999966</v>
      </c>
      <c r="AD10" s="485">
        <f>8.4+0.67+0.67+0.67+0.67+0.67+0.5+0.45+0.35+0.35+0.35+0.3+0.3+0.3+0.25+0.25+0.25+0.2+0.2+0.2*58/90</f>
        <v>15.928888888888888</v>
      </c>
      <c r="AE10" s="324">
        <v>1404</v>
      </c>
      <c r="AF10" s="603">
        <f t="shared" si="11"/>
        <v>9.1508852386470245</v>
      </c>
      <c r="AG10" s="603">
        <f t="shared" si="12"/>
        <v>9.8840857320932507</v>
      </c>
      <c r="AH10" s="316">
        <f t="shared" si="13"/>
        <v>4.4699470701437862</v>
      </c>
      <c r="AI10" s="316">
        <f t="shared" si="14"/>
        <v>14.030056805578967</v>
      </c>
      <c r="AJ10" s="316">
        <f t="shared" si="15"/>
        <v>14.255600096542935</v>
      </c>
      <c r="AK10" s="316">
        <f t="shared" si="16"/>
        <v>0.93779352523412651</v>
      </c>
      <c r="AL10" s="316">
        <f t="shared" si="17"/>
        <v>1.1581776679131941</v>
      </c>
      <c r="AM10" s="311">
        <f t="shared" si="18"/>
        <v>17.342943871100491</v>
      </c>
      <c r="AN10" s="311">
        <f t="shared" si="19"/>
        <v>18.732520362607353</v>
      </c>
      <c r="AO10" s="446">
        <v>3</v>
      </c>
      <c r="AP10" s="446">
        <v>2</v>
      </c>
      <c r="AQ10" s="590">
        <f t="shared" si="20"/>
        <v>0.1158</v>
      </c>
      <c r="AR10" s="247">
        <v>39620</v>
      </c>
      <c r="AS10" s="247">
        <v>39730</v>
      </c>
      <c r="AT10" s="390">
        <f t="shared" si="21"/>
        <v>7060</v>
      </c>
    </row>
    <row r="11" spans="1:46" s="264" customFormat="1" x14ac:dyDescent="0.25">
      <c r="A11" s="304" t="s">
        <v>495</v>
      </c>
      <c r="B11" s="260" t="s">
        <v>2</v>
      </c>
      <c r="C11" s="385">
        <f t="shared" ca="1" si="4"/>
        <v>6.2321428571428568</v>
      </c>
      <c r="D11" s="658" t="s">
        <v>567</v>
      </c>
      <c r="E11" s="210">
        <v>27</v>
      </c>
      <c r="F11" s="211">
        <f ca="1">75-41471+$D$1-24-112-10-112-112+6-112-112-112+45-112-112-112-112-112-112-112-112-112</f>
        <v>86</v>
      </c>
      <c r="G11" s="262"/>
      <c r="H11" s="393">
        <v>4</v>
      </c>
      <c r="I11" s="214">
        <v>4.9000000000000004</v>
      </c>
      <c r="J11" s="486">
        <f t="shared" si="5"/>
        <v>1.0278026821895256</v>
      </c>
      <c r="K11" s="303">
        <f t="shared" si="6"/>
        <v>78.400000000000006</v>
      </c>
      <c r="L11" s="303">
        <f t="shared" si="7"/>
        <v>122.50000000000001</v>
      </c>
      <c r="M11" s="296">
        <v>7.3</v>
      </c>
      <c r="N11" s="445">
        <f t="shared" si="8"/>
        <v>92</v>
      </c>
      <c r="O11" s="445" t="s">
        <v>557</v>
      </c>
      <c r="P11" s="678">
        <v>1.5</v>
      </c>
      <c r="Q11" s="446">
        <v>6</v>
      </c>
      <c r="R11" s="500">
        <f t="shared" si="9"/>
        <v>0.92582009977255142</v>
      </c>
      <c r="S11" s="500">
        <f t="shared" si="10"/>
        <v>0.99928545900129484</v>
      </c>
      <c r="T11" s="627">
        <v>36380</v>
      </c>
      <c r="U11" s="626">
        <f t="shared" si="2"/>
        <v>1630</v>
      </c>
      <c r="V11" s="627">
        <v>2510</v>
      </c>
      <c r="W11" s="316">
        <f t="shared" si="3"/>
        <v>14.49402390438247</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9.525323153514865</v>
      </c>
      <c r="AG11" s="603">
        <f t="shared" si="12"/>
        <v>10.288524904411748</v>
      </c>
      <c r="AH11" s="316">
        <f t="shared" si="13"/>
        <v>4.0405961684842016</v>
      </c>
      <c r="AI11" s="316">
        <f t="shared" si="14"/>
        <v>9.9316163426060715</v>
      </c>
      <c r="AJ11" s="316">
        <f t="shared" si="15"/>
        <v>11.887604572534515</v>
      </c>
      <c r="AK11" s="316">
        <f t="shared" si="16"/>
        <v>0.76514088124182877</v>
      </c>
      <c r="AL11" s="316">
        <f t="shared" si="17"/>
        <v>0.96121618775326678</v>
      </c>
      <c r="AM11" s="311">
        <f t="shared" si="18"/>
        <v>14.587566407358377</v>
      </c>
      <c r="AN11" s="311">
        <f t="shared" si="19"/>
        <v>15.756372551149129</v>
      </c>
      <c r="AO11" s="446">
        <v>3</v>
      </c>
      <c r="AP11" s="446">
        <v>2</v>
      </c>
      <c r="AQ11" s="590">
        <f t="shared" si="20"/>
        <v>0.1158</v>
      </c>
      <c r="AR11" s="264">
        <v>34750</v>
      </c>
      <c r="AS11" s="264">
        <v>32400</v>
      </c>
      <c r="AT11" s="390">
        <f t="shared" si="21"/>
        <v>-3980</v>
      </c>
    </row>
    <row r="12" spans="1:46" s="264" customFormat="1" x14ac:dyDescent="0.25">
      <c r="A12" s="384" t="s">
        <v>408</v>
      </c>
      <c r="B12" s="384" t="s">
        <v>65</v>
      </c>
      <c r="C12" s="385">
        <f t="shared" ca="1" si="4"/>
        <v>2.6428571428571428</v>
      </c>
      <c r="D12" s="657" t="s">
        <v>816</v>
      </c>
      <c r="E12" s="387">
        <v>31</v>
      </c>
      <c r="F12" s="211">
        <f ca="1">46-41471+$D$1-112-112-112-112-112-112-112-112-112-112-112-112-112-112-112</f>
        <v>40</v>
      </c>
      <c r="G12" s="388" t="s">
        <v>271</v>
      </c>
      <c r="H12" s="371">
        <v>0</v>
      </c>
      <c r="I12" s="308">
        <v>12.6</v>
      </c>
      <c r="J12" s="486">
        <f t="shared" si="5"/>
        <v>1.5113852111602899</v>
      </c>
      <c r="K12" s="303">
        <f t="shared" si="6"/>
        <v>0</v>
      </c>
      <c r="L12" s="303">
        <f t="shared" si="7"/>
        <v>12.6</v>
      </c>
      <c r="M12" s="389">
        <v>7.3</v>
      </c>
      <c r="N12" s="445">
        <f t="shared" si="8"/>
        <v>92</v>
      </c>
      <c r="O12" s="445" t="s">
        <v>557</v>
      </c>
      <c r="P12" s="678">
        <v>1.5</v>
      </c>
      <c r="Q12" s="445">
        <v>7</v>
      </c>
      <c r="R12" s="500">
        <f t="shared" si="9"/>
        <v>1</v>
      </c>
      <c r="S12" s="500">
        <f t="shared" si="10"/>
        <v>1</v>
      </c>
      <c r="T12" s="324">
        <v>204560</v>
      </c>
      <c r="U12" s="626">
        <f t="shared" si="2"/>
        <v>-920</v>
      </c>
      <c r="V12" s="324">
        <v>14850</v>
      </c>
      <c r="W12" s="316">
        <f t="shared" si="3"/>
        <v>13.775084175084174</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f>
        <v>17.329999999999998</v>
      </c>
      <c r="AE12" s="324">
        <v>2204</v>
      </c>
      <c r="AF12" s="603">
        <f t="shared" si="11"/>
        <v>15.625496322271404</v>
      </c>
      <c r="AG12" s="603">
        <f t="shared" si="12"/>
        <v>15.625496322271404</v>
      </c>
      <c r="AH12" s="316">
        <f t="shared" si="13"/>
        <v>5.3644083430739977</v>
      </c>
      <c r="AI12" s="316">
        <f t="shared" si="14"/>
        <v>21.484861316664237</v>
      </c>
      <c r="AJ12" s="316">
        <f t="shared" si="15"/>
        <v>17.473385211160288</v>
      </c>
      <c r="AK12" s="316">
        <f t="shared" si="16"/>
        <v>1.149310816892823</v>
      </c>
      <c r="AL12" s="316">
        <f t="shared" si="17"/>
        <v>1.2131414092256647</v>
      </c>
      <c r="AM12" s="311">
        <f t="shared" si="18"/>
        <v>20.297160726823414</v>
      </c>
      <c r="AN12" s="311">
        <f t="shared" si="19"/>
        <v>20.297160726823414</v>
      </c>
      <c r="AO12" s="445">
        <v>1</v>
      </c>
      <c r="AP12" s="445">
        <v>2</v>
      </c>
      <c r="AQ12" s="590">
        <f t="shared" si="20"/>
        <v>4.9399999999999999E-2</v>
      </c>
      <c r="AR12" s="264">
        <v>205480</v>
      </c>
      <c r="AS12" s="264">
        <v>206420</v>
      </c>
      <c r="AT12" s="390">
        <f t="shared" si="21"/>
        <v>1860</v>
      </c>
    </row>
    <row r="13" spans="1:46" s="254" customFormat="1" x14ac:dyDescent="0.25">
      <c r="A13" s="384" t="s">
        <v>410</v>
      </c>
      <c r="B13" s="384" t="s">
        <v>65</v>
      </c>
      <c r="C13" s="385">
        <f t="shared" ca="1" si="4"/>
        <v>3.1160714285714284</v>
      </c>
      <c r="D13" s="657" t="s">
        <v>298</v>
      </c>
      <c r="E13" s="387">
        <v>30</v>
      </c>
      <c r="F13" s="394">
        <f ca="1">75-41471+$D$1-24-112-10-112-40-8-112-112-112-112-112-112-112-112-112-112-112-112</f>
        <v>99</v>
      </c>
      <c r="G13" s="388" t="s">
        <v>268</v>
      </c>
      <c r="H13" s="371">
        <v>2</v>
      </c>
      <c r="I13" s="308">
        <v>10.4</v>
      </c>
      <c r="J13" s="486">
        <f t="shared" si="5"/>
        <v>1.4092064684486303</v>
      </c>
      <c r="K13" s="303">
        <f t="shared" si="6"/>
        <v>41.6</v>
      </c>
      <c r="L13" s="303">
        <f t="shared" si="7"/>
        <v>93.600000000000009</v>
      </c>
      <c r="M13" s="389">
        <v>7.5</v>
      </c>
      <c r="N13" s="445">
        <f t="shared" si="8"/>
        <v>94</v>
      </c>
      <c r="O13" s="445" t="s">
        <v>557</v>
      </c>
      <c r="P13" s="678">
        <v>1.5</v>
      </c>
      <c r="Q13" s="445">
        <v>5</v>
      </c>
      <c r="R13" s="500">
        <f t="shared" si="9"/>
        <v>0.84515425472851657</v>
      </c>
      <c r="S13" s="500">
        <f t="shared" si="10"/>
        <v>0.92504826128926143</v>
      </c>
      <c r="T13" s="324">
        <v>101000</v>
      </c>
      <c r="U13" s="626">
        <f t="shared" si="2"/>
        <v>-1560</v>
      </c>
      <c r="V13" s="324">
        <v>10060</v>
      </c>
      <c r="W13" s="316">
        <f t="shared" si="3"/>
        <v>10.039761431411531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f>11.48+0.6+0.6*1.25+0.5+0.5+0.39+0.39+0.39+0.3+0.3+0.3+0.25+0.25+0.25+0.25+0.2+0.2+0.2+0.2*31/90</f>
        <v>17.568888888888893</v>
      </c>
      <c r="AE13" s="324">
        <v>1615</v>
      </c>
      <c r="AF13" s="603">
        <f t="shared" si="11"/>
        <v>11.417363324815362</v>
      </c>
      <c r="AG13" s="603">
        <f t="shared" si="12"/>
        <v>12.507094880467113</v>
      </c>
      <c r="AH13" s="316">
        <f t="shared" si="13"/>
        <v>3.8769256607732214</v>
      </c>
      <c r="AI13" s="316">
        <f t="shared" si="14"/>
        <v>14.760226217749013</v>
      </c>
      <c r="AJ13" s="316">
        <f t="shared" si="15"/>
        <v>14.223040685443275</v>
      </c>
      <c r="AK13" s="316">
        <f t="shared" si="16"/>
        <v>1.0300531841425573</v>
      </c>
      <c r="AL13" s="316">
        <f t="shared" si="17"/>
        <v>1.020723240670192</v>
      </c>
      <c r="AM13" s="311">
        <f t="shared" si="18"/>
        <v>17.262219315935269</v>
      </c>
      <c r="AN13" s="311">
        <f t="shared" si="19"/>
        <v>18.909813823878288</v>
      </c>
      <c r="AO13" s="445">
        <v>4</v>
      </c>
      <c r="AP13" s="445">
        <v>4</v>
      </c>
      <c r="AQ13" s="590">
        <f t="shared" si="20"/>
        <v>0.157</v>
      </c>
      <c r="AR13" s="254">
        <v>102560</v>
      </c>
      <c r="AS13" s="254">
        <v>103900</v>
      </c>
      <c r="AT13" s="390">
        <f t="shared" si="21"/>
        <v>2900</v>
      </c>
    </row>
    <row r="14" spans="1:46" s="263" customFormat="1" x14ac:dyDescent="0.25">
      <c r="A14" s="384" t="s">
        <v>409</v>
      </c>
      <c r="B14" s="384" t="s">
        <v>65</v>
      </c>
      <c r="C14" s="385">
        <f t="shared" ca="1" si="4"/>
        <v>5.9821428571428568</v>
      </c>
      <c r="D14" s="657" t="s">
        <v>507</v>
      </c>
      <c r="E14" s="387">
        <v>27</v>
      </c>
      <c r="F14" s="211">
        <f ca="1">7-41471+$D$1-112-111-112+4-112-116-112-112-112-112-112-112-112-112-112</f>
        <v>114</v>
      </c>
      <c r="G14" s="388" t="s">
        <v>502</v>
      </c>
      <c r="H14" s="371">
        <v>2</v>
      </c>
      <c r="I14" s="308">
        <v>9</v>
      </c>
      <c r="J14" s="486">
        <f t="shared" si="5"/>
        <v>1.3333333333333333</v>
      </c>
      <c r="K14" s="303">
        <f t="shared" si="6"/>
        <v>36</v>
      </c>
      <c r="L14" s="303">
        <f t="shared" si="7"/>
        <v>81</v>
      </c>
      <c r="M14" s="389">
        <v>8.1</v>
      </c>
      <c r="N14" s="445">
        <f t="shared" si="8"/>
        <v>100</v>
      </c>
      <c r="O14" s="445" t="s">
        <v>557</v>
      </c>
      <c r="P14" s="678">
        <v>1.5</v>
      </c>
      <c r="Q14" s="445">
        <v>6</v>
      </c>
      <c r="R14" s="500">
        <f t="shared" si="9"/>
        <v>0.92582009977255142</v>
      </c>
      <c r="S14" s="500">
        <f t="shared" si="10"/>
        <v>0.99928545900129484</v>
      </c>
      <c r="T14" s="324">
        <v>237980</v>
      </c>
      <c r="U14" s="626">
        <f t="shared" si="2"/>
        <v>5020</v>
      </c>
      <c r="V14" s="324">
        <v>12550</v>
      </c>
      <c r="W14" s="316">
        <f t="shared" si="3"/>
        <v>18.962549800796811</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f>9+0.67+0.67+0.67+0.55+0.55+0.45+0.45*70/90+0.4+0.35+0.35+0.3+0.25+0.25+0.25+0.21+0.2+0.2</f>
        <v>15.67</v>
      </c>
      <c r="AE14" s="324">
        <v>1775</v>
      </c>
      <c r="AF14" s="603">
        <f t="shared" si="11"/>
        <v>13.967612716354257</v>
      </c>
      <c r="AG14" s="603">
        <f t="shared" si="12"/>
        <v>15.086746031746033</v>
      </c>
      <c r="AH14" s="316">
        <f t="shared" si="13"/>
        <v>4.3212653156883842</v>
      </c>
      <c r="AI14" s="316">
        <f t="shared" si="14"/>
        <v>18.230724773331215</v>
      </c>
      <c r="AJ14" s="316">
        <f t="shared" si="15"/>
        <v>14.85509210755051</v>
      </c>
      <c r="AK14" s="316">
        <f t="shared" si="16"/>
        <v>1.0706</v>
      </c>
      <c r="AL14" s="316">
        <f t="shared" si="17"/>
        <v>1.0028333333333332</v>
      </c>
      <c r="AM14" s="311">
        <f t="shared" si="18"/>
        <v>17.074273640156477</v>
      </c>
      <c r="AN14" s="311">
        <f t="shared" si="19"/>
        <v>18.442323345919103</v>
      </c>
      <c r="AO14" s="445">
        <v>3</v>
      </c>
      <c r="AP14" s="445">
        <v>2</v>
      </c>
      <c r="AQ14" s="590">
        <f t="shared" si="20"/>
        <v>0.1158</v>
      </c>
      <c r="AR14" s="263">
        <v>232960</v>
      </c>
      <c r="AS14" s="263">
        <v>229930</v>
      </c>
      <c r="AT14" s="390">
        <f t="shared" si="21"/>
        <v>-8050</v>
      </c>
    </row>
    <row r="15" spans="1:46" s="264" customFormat="1" x14ac:dyDescent="0.25">
      <c r="A15" s="384" t="s">
        <v>406</v>
      </c>
      <c r="B15" s="260" t="s">
        <v>64</v>
      </c>
      <c r="C15" s="385">
        <f t="shared" ca="1" si="4"/>
        <v>4.0089285714285712</v>
      </c>
      <c r="D15" s="658" t="s">
        <v>618</v>
      </c>
      <c r="E15" s="210">
        <v>29</v>
      </c>
      <c r="F15" s="211">
        <f ca="1">7-41471+$D$1-112-111-3-112-112-112-112-112-112-112-112-112-112-112-112</f>
        <v>111</v>
      </c>
      <c r="G15" s="388" t="s">
        <v>268</v>
      </c>
      <c r="H15" s="371">
        <v>3</v>
      </c>
      <c r="I15" s="214">
        <v>10.8</v>
      </c>
      <c r="J15" s="486">
        <f t="shared" si="5"/>
        <v>1.4291760097415007</v>
      </c>
      <c r="K15" s="303">
        <f t="shared" si="6"/>
        <v>97.2</v>
      </c>
      <c r="L15" s="303">
        <f t="shared" si="7"/>
        <v>172.8</v>
      </c>
      <c r="M15" s="296">
        <v>7.8</v>
      </c>
      <c r="N15" s="445">
        <f t="shared" si="8"/>
        <v>97</v>
      </c>
      <c r="O15" s="445" t="s">
        <v>557</v>
      </c>
      <c r="P15" s="678">
        <v>1.5</v>
      </c>
      <c r="Q15" s="446">
        <v>7</v>
      </c>
      <c r="R15" s="500">
        <f t="shared" si="9"/>
        <v>1</v>
      </c>
      <c r="S15" s="500">
        <f t="shared" si="10"/>
        <v>1</v>
      </c>
      <c r="T15" s="684">
        <v>184530</v>
      </c>
      <c r="U15" s="626">
        <f t="shared" si="2"/>
        <v>-53080</v>
      </c>
      <c r="V15" s="627">
        <v>21080</v>
      </c>
      <c r="W15" s="316">
        <f t="shared" si="3"/>
        <v>8.7537950664136623</v>
      </c>
      <c r="X15" s="485">
        <v>0</v>
      </c>
      <c r="Y15" s="486">
        <f>5.6+0.26+0.26+0.26+(0.26*23/90)+(0.05*(90-23)/90)+0.26+0.26+0.23+0.23+0.22+0.15+0.15+0.14+0.13+0.13+0.13+0.12+0.12+0.12+0.02+0.1+0.1+0.1+0.01+0.1</f>
        <v>9.3036666666666648</v>
      </c>
      <c r="Z15" s="485">
        <f>13+0.1+0.1+0.1+0.1+0.1+0.1+0.08+0.08+0.08+0.07</f>
        <v>13.909999999999998</v>
      </c>
      <c r="AA15" s="486">
        <f>11.58+0.17+(0.17/2)+0.17+0.15+0.03+0.15+0.14+0.13+0.12+0.11+0.11</f>
        <v>12.945</v>
      </c>
      <c r="AB15" s="485">
        <f>5.21+0.4+0.4+0.33+0.33+0.33+0.33+0.3+0.3+0.23+0.23+0.22*30/90+0.15+0.15+0.15+0.13+0.12+0.11+0.11+0.08+0.07+0.07+0.07</f>
        <v>9.6733333333333356</v>
      </c>
      <c r="AC15" s="486">
        <f>2.9+0.33+(0.33*46/90)+0.03+0.07+0.07+(0.33*33/90)+0.33+0.33+0.33+0.25+0.2*0.5</f>
        <v>5.0296666666666656</v>
      </c>
      <c r="AD15" s="485">
        <f>15+0.2+0.2+0.2*85/90</f>
        <v>15.588888888888887</v>
      </c>
      <c r="AE15" s="324">
        <v>1791</v>
      </c>
      <c r="AF15" s="603">
        <f t="shared" si="11"/>
        <v>16.8391760097415</v>
      </c>
      <c r="AG15" s="603">
        <f t="shared" si="12"/>
        <v>16.8391760097415</v>
      </c>
      <c r="AH15" s="316">
        <f t="shared" si="13"/>
        <v>4.6797326703197299</v>
      </c>
      <c r="AI15" s="316">
        <f t="shared" si="14"/>
        <v>15.796614537084269</v>
      </c>
      <c r="AJ15" s="316">
        <f t="shared" si="15"/>
        <v>15.350298231963722</v>
      </c>
      <c r="AK15" s="316">
        <f t="shared" si="16"/>
        <v>0.95348408077932001</v>
      </c>
      <c r="AL15" s="316">
        <f t="shared" si="17"/>
        <v>1.0448556540152383</v>
      </c>
      <c r="AM15" s="311">
        <f t="shared" si="18"/>
        <v>18.466787229538156</v>
      </c>
      <c r="AN15" s="311">
        <f t="shared" si="19"/>
        <v>18.466787229538156</v>
      </c>
      <c r="AO15" s="446">
        <v>3</v>
      </c>
      <c r="AP15" s="446">
        <v>3</v>
      </c>
      <c r="AQ15" s="590">
        <f t="shared" si="20"/>
        <v>0.1158</v>
      </c>
      <c r="AR15" s="264">
        <v>237610</v>
      </c>
      <c r="AS15" s="264">
        <v>237770</v>
      </c>
      <c r="AT15" s="390">
        <f t="shared" si="21"/>
        <v>53240</v>
      </c>
    </row>
    <row r="16" spans="1:46" x14ac:dyDescent="0.25">
      <c r="A16" s="305" t="s">
        <v>407</v>
      </c>
      <c r="B16" s="384" t="s">
        <v>64</v>
      </c>
      <c r="C16" s="385">
        <f t="shared" ca="1" si="4"/>
        <v>1.7053571428571428</v>
      </c>
      <c r="D16" s="657" t="s">
        <v>285</v>
      </c>
      <c r="E16" s="387">
        <v>32</v>
      </c>
      <c r="F16" s="394">
        <f ca="1">33-41471+$D$1-112+6-112-112-112-112-112-112-112-112-112-112-112-112-112-112</f>
        <v>33</v>
      </c>
      <c r="G16" s="388" t="s">
        <v>268</v>
      </c>
      <c r="H16" s="393">
        <v>4</v>
      </c>
      <c r="I16" s="308">
        <v>11.3</v>
      </c>
      <c r="J16" s="486">
        <f t="shared" si="5"/>
        <v>1.4532068152525308</v>
      </c>
      <c r="K16" s="303">
        <f t="shared" si="6"/>
        <v>180.8</v>
      </c>
      <c r="L16" s="303">
        <f t="shared" si="7"/>
        <v>282.5</v>
      </c>
      <c r="M16" s="389">
        <v>7</v>
      </c>
      <c r="N16" s="445">
        <f t="shared" si="8"/>
        <v>89</v>
      </c>
      <c r="O16" s="445" t="s">
        <v>557</v>
      </c>
      <c r="P16" s="678">
        <v>1.5</v>
      </c>
      <c r="Q16" s="445">
        <v>5</v>
      </c>
      <c r="R16" s="500">
        <f t="shared" si="9"/>
        <v>0.84515425472851657</v>
      </c>
      <c r="S16" s="500">
        <f t="shared" si="10"/>
        <v>0.92504826128926143</v>
      </c>
      <c r="T16" s="324">
        <v>73470</v>
      </c>
      <c r="U16" s="626">
        <f t="shared" si="2"/>
        <v>4700</v>
      </c>
      <c r="V16" s="324">
        <v>16210</v>
      </c>
      <c r="W16" s="316">
        <f t="shared" si="3"/>
        <v>4.5323874151758172</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f>6.01+0.25+0.25+0.25+0.25+0.25+0.25+0.25+0.25+0.24+0.21+0.2+0.2+0.15+0.13+0.13+0.12+0.11+0.11+0.11+0.1+0.08+0.07+0.06+0.06</f>
        <v>10.09</v>
      </c>
      <c r="AC16" s="486">
        <f>3.79+0.04+0.04+0.03+0.03+0.21+0.03+0.03+0.2*45/90+0.2*0.5</f>
        <v>4.3999999999999995</v>
      </c>
      <c r="AD16" s="485">
        <f>10.7+0.5+0.5*80/90+0.5+0.45+0.45+0.45+0.45+0.35+0.3+0.3+0.25+0.25+0.25+0.25+0.25+0.2+0.2+0.2+0.2</f>
        <v>16.944444444444439</v>
      </c>
      <c r="AE16" s="324">
        <v>1735</v>
      </c>
      <c r="AF16" s="603">
        <f t="shared" si="11"/>
        <v>14.609727221892847</v>
      </c>
      <c r="AG16" s="603">
        <f t="shared" si="12"/>
        <v>16.004154316855992</v>
      </c>
      <c r="AH16" s="316">
        <f t="shared" si="13"/>
        <v>3.9793217576397102</v>
      </c>
      <c r="AI16" s="316">
        <f t="shared" si="14"/>
        <v>13.142175288587296</v>
      </c>
      <c r="AJ16" s="316">
        <f t="shared" si="15"/>
        <v>13.635987442608807</v>
      </c>
      <c r="AK16" s="316">
        <f t="shared" si="16"/>
        <v>0.96458987855353562</v>
      </c>
      <c r="AL16" s="316">
        <f t="shared" si="17"/>
        <v>1.0601600326232326</v>
      </c>
      <c r="AM16" s="311">
        <f t="shared" si="18"/>
        <v>16.775085667756496</v>
      </c>
      <c r="AN16" s="311">
        <f t="shared" si="19"/>
        <v>18.376185648623689</v>
      </c>
      <c r="AO16" s="445">
        <v>2</v>
      </c>
      <c r="AP16" s="445">
        <v>2</v>
      </c>
      <c r="AQ16" s="590">
        <f t="shared" si="20"/>
        <v>6.1499999999999999E-2</v>
      </c>
      <c r="AR16">
        <v>68770</v>
      </c>
      <c r="AS16">
        <v>69740</v>
      </c>
      <c r="AT16" s="390">
        <f t="shared" si="21"/>
        <v>-3730</v>
      </c>
    </row>
    <row r="17" spans="1:46" s="4" customFormat="1" x14ac:dyDescent="0.25">
      <c r="A17" s="384" t="s">
        <v>404</v>
      </c>
      <c r="B17" s="384" t="s">
        <v>64</v>
      </c>
      <c r="C17" s="385">
        <f t="shared" ca="1" si="4"/>
        <v>2.7589285714285716</v>
      </c>
      <c r="D17" s="657" t="s">
        <v>272</v>
      </c>
      <c r="E17" s="387">
        <v>31</v>
      </c>
      <c r="F17" s="394">
        <f ca="1">33-41471+$D$1-112-112-112-112-112-112-112-112-112-112-112-112-112-112-112</f>
        <v>27</v>
      </c>
      <c r="G17" s="388"/>
      <c r="H17" s="371">
        <v>3</v>
      </c>
      <c r="I17" s="308">
        <v>9.3000000000000007</v>
      </c>
      <c r="J17" s="486">
        <f t="shared" si="5"/>
        <v>1.3504496329402296</v>
      </c>
      <c r="K17" s="303">
        <f t="shared" si="6"/>
        <v>83.7</v>
      </c>
      <c r="L17" s="303">
        <f t="shared" si="7"/>
        <v>148.80000000000001</v>
      </c>
      <c r="M17" s="389">
        <v>7.3</v>
      </c>
      <c r="N17" s="445">
        <f t="shared" si="8"/>
        <v>92</v>
      </c>
      <c r="O17" s="445" t="s">
        <v>557</v>
      </c>
      <c r="P17" s="678">
        <v>1.5</v>
      </c>
      <c r="Q17" s="445">
        <v>7</v>
      </c>
      <c r="R17" s="500">
        <f t="shared" si="9"/>
        <v>1</v>
      </c>
      <c r="S17" s="500">
        <f t="shared" si="10"/>
        <v>1</v>
      </c>
      <c r="T17" s="324">
        <v>71300</v>
      </c>
      <c r="U17" s="626">
        <f t="shared" si="2"/>
        <v>-340</v>
      </c>
      <c r="V17" s="324">
        <v>11380</v>
      </c>
      <c r="W17" s="316">
        <f t="shared" si="3"/>
        <v>6.2653778558875217</v>
      </c>
      <c r="X17" s="485">
        <v>0</v>
      </c>
      <c r="Y17" s="486">
        <f>7.5+0.2+0.2+0.2+0.2+0.2+0.16+0.16+0.14+0.14+0.13+0.13+0.12+0.12+0.12+0.12+0.11+0.1+0.1+0.1+0.1+0.1+0.1</f>
        <v>10.549999999999995</v>
      </c>
      <c r="Z17" s="485">
        <f>10.7+0.08+(0.16*77/90)+0.08+0.07+((0.07*37/90)+0.14*53/90)+(0.07*23/90)+0.06+0.06+0.06+0.06+0.06+0.12+0.1+0.1+0.1*0.5*32/90+0.1*0.5+0.1+0.1+0.1+0.1*0.16+0.1*0.5+0.1+0.1+0.1+0.1+0.1+0.01+0.01+0.1+0.07</f>
        <v>12.939777777777776</v>
      </c>
      <c r="AA17" s="486">
        <f>4.85+0.05+0.05+0.05+0.03+0.03+0.02+0.02+0.02+0.01+0.01</f>
        <v>5.1399999999999979</v>
      </c>
      <c r="AB17" s="485">
        <f>8.95+0.08+0.07+0.07+0.07</f>
        <v>9.24</v>
      </c>
      <c r="AC17" s="486">
        <v>2.98</v>
      </c>
      <c r="AD17" s="485">
        <f>11+0.5+0.5+0.5+0.45+0.4+0.4+0.4+0.35+0.33+0.33+0.3+0.3+0.3+0.2+0.2+0.2+0.2+0.2+0.2</f>
        <v>17.259999999999998</v>
      </c>
      <c r="AE17" s="324">
        <v>1482</v>
      </c>
      <c r="AF17" s="603">
        <f t="shared" si="11"/>
        <v>15.790227410718005</v>
      </c>
      <c r="AG17" s="603">
        <f t="shared" si="12"/>
        <v>15.790227410718005</v>
      </c>
      <c r="AH17" s="316">
        <f t="shared" si="13"/>
        <v>4.6976686123525857</v>
      </c>
      <c r="AI17" s="316">
        <f t="shared" si="14"/>
        <v>13.139293688797908</v>
      </c>
      <c r="AJ17" s="316">
        <f t="shared" si="15"/>
        <v>15.826449632940227</v>
      </c>
      <c r="AK17" s="316">
        <f t="shared" si="16"/>
        <v>0.89483597063521825</v>
      </c>
      <c r="AL17" s="316">
        <f t="shared" si="17"/>
        <v>1.1393314743058158</v>
      </c>
      <c r="AM17" s="311">
        <f t="shared" si="18"/>
        <v>20.051310598071911</v>
      </c>
      <c r="AN17" s="311">
        <f t="shared" si="19"/>
        <v>20.051310598071911</v>
      </c>
      <c r="AO17" s="445">
        <v>4</v>
      </c>
      <c r="AP17" s="445">
        <v>1</v>
      </c>
      <c r="AQ17" s="590">
        <f t="shared" si="20"/>
        <v>0.157</v>
      </c>
      <c r="AR17" s="4">
        <v>71640</v>
      </c>
      <c r="AS17" s="4">
        <v>72000</v>
      </c>
      <c r="AT17" s="390">
        <f t="shared" si="21"/>
        <v>700</v>
      </c>
    </row>
    <row r="18" spans="1:46" s="263" customFormat="1" x14ac:dyDescent="0.25">
      <c r="A18" s="305" t="s">
        <v>411</v>
      </c>
      <c r="B18" s="260" t="s">
        <v>64</v>
      </c>
      <c r="C18" s="385">
        <f t="shared" ca="1" si="4"/>
        <v>2.9821428571428572</v>
      </c>
      <c r="D18" s="658" t="s">
        <v>400</v>
      </c>
      <c r="E18" s="210">
        <v>30</v>
      </c>
      <c r="F18" s="211">
        <f ca="1">7-41471+$D$1-112-111-112-112-112-112-112-112-112-112-112-112-112-112</f>
        <v>114</v>
      </c>
      <c r="G18" s="262"/>
      <c r="H18" s="371">
        <v>0</v>
      </c>
      <c r="I18" s="214">
        <v>8.1999999999999993</v>
      </c>
      <c r="J18" s="486">
        <f t="shared" si="5"/>
        <v>1.2850504364607402</v>
      </c>
      <c r="K18" s="303">
        <f t="shared" si="6"/>
        <v>0</v>
      </c>
      <c r="L18" s="303">
        <f t="shared" si="7"/>
        <v>8.1999999999999993</v>
      </c>
      <c r="M18" s="296">
        <v>7.5</v>
      </c>
      <c r="N18" s="445">
        <f t="shared" si="8"/>
        <v>94</v>
      </c>
      <c r="O18" s="445" t="s">
        <v>557</v>
      </c>
      <c r="P18" s="678">
        <v>1.5</v>
      </c>
      <c r="Q18" s="446">
        <v>4</v>
      </c>
      <c r="R18" s="500">
        <f t="shared" si="9"/>
        <v>0.7559289460184544</v>
      </c>
      <c r="S18" s="500">
        <f t="shared" si="10"/>
        <v>0.84430867747355465</v>
      </c>
      <c r="T18" s="324">
        <v>73690</v>
      </c>
      <c r="U18" s="626">
        <f t="shared" si="2"/>
        <v>-2320</v>
      </c>
      <c r="V18" s="627">
        <v>20790</v>
      </c>
      <c r="W18" s="316">
        <f t="shared" si="3"/>
        <v>3.5444925444925444</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f>
        <v>16.47</v>
      </c>
      <c r="AE18" s="324">
        <v>1497</v>
      </c>
      <c r="AF18" s="603">
        <f t="shared" si="11"/>
        <v>13.010820370325902</v>
      </c>
      <c r="AG18" s="603">
        <f t="shared" si="12"/>
        <v>14.546539395543855</v>
      </c>
      <c r="AH18" s="316">
        <f t="shared" si="13"/>
        <v>3.0331266982260816</v>
      </c>
      <c r="AI18" s="316">
        <f t="shared" si="14"/>
        <v>15.081082592079451</v>
      </c>
      <c r="AJ18" s="316">
        <f t="shared" si="15"/>
        <v>12.505799040099976</v>
      </c>
      <c r="AK18" s="316">
        <f t="shared" si="16"/>
        <v>1.0884984793613035</v>
      </c>
      <c r="AL18" s="316">
        <f t="shared" si="17"/>
        <v>0.90763130833002958</v>
      </c>
      <c r="AM18" s="311">
        <f t="shared" si="18"/>
        <v>14.505080949670941</v>
      </c>
      <c r="AN18" s="311">
        <f t="shared" si="19"/>
        <v>16.217173511300714</v>
      </c>
      <c r="AO18" s="446">
        <v>2</v>
      </c>
      <c r="AP18" s="446">
        <v>1</v>
      </c>
      <c r="AQ18" s="590">
        <f t="shared" si="20"/>
        <v>6.1499999999999999E-2</v>
      </c>
      <c r="AR18" s="263">
        <v>76010</v>
      </c>
      <c r="AS18" s="263">
        <v>80450</v>
      </c>
      <c r="AT18" s="390">
        <f t="shared" si="21"/>
        <v>6760</v>
      </c>
    </row>
    <row r="19" spans="1:46" s="264" customFormat="1" ht="14.25" customHeight="1" x14ac:dyDescent="0.25">
      <c r="A19" s="305" t="s">
        <v>505</v>
      </c>
      <c r="B19" s="260" t="s">
        <v>64</v>
      </c>
      <c r="C19" s="385">
        <f t="shared" ca="1" si="4"/>
        <v>4.4285714285714288</v>
      </c>
      <c r="D19" s="658" t="s">
        <v>414</v>
      </c>
      <c r="E19" s="210">
        <v>29</v>
      </c>
      <c r="F19" s="211">
        <f ca="1">59-41471+$D$1-325-112-112-112-112-112-112-112-112-112-112-112-112</f>
        <v>64</v>
      </c>
      <c r="G19" s="262"/>
      <c r="H19" s="371">
        <v>2</v>
      </c>
      <c r="I19" s="214">
        <v>4</v>
      </c>
      <c r="J19" s="486">
        <f t="shared" si="5"/>
        <v>0.93196000578135851</v>
      </c>
      <c r="K19" s="303">
        <f t="shared" si="6"/>
        <v>16</v>
      </c>
      <c r="L19" s="303">
        <f t="shared" si="7"/>
        <v>36</v>
      </c>
      <c r="M19" s="296">
        <v>6.8</v>
      </c>
      <c r="N19" s="445">
        <f t="shared" si="8"/>
        <v>87</v>
      </c>
      <c r="O19" s="445" t="s">
        <v>557</v>
      </c>
      <c r="P19" s="678">
        <v>1.5</v>
      </c>
      <c r="Q19" s="446">
        <v>4</v>
      </c>
      <c r="R19" s="500">
        <f t="shared" si="9"/>
        <v>0.7559289460184544</v>
      </c>
      <c r="S19" s="500">
        <f t="shared" si="10"/>
        <v>0.84430867747355465</v>
      </c>
      <c r="T19" s="324">
        <v>23260</v>
      </c>
      <c r="U19" s="626">
        <f t="shared" si="2"/>
        <v>2260</v>
      </c>
      <c r="V19" s="627">
        <v>3310</v>
      </c>
      <c r="W19" s="316">
        <f t="shared" si="3"/>
        <v>7.0271903323262839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f>
        <v>12.65</v>
      </c>
      <c r="AE19" s="324">
        <v>962</v>
      </c>
      <c r="AF19" s="603">
        <f t="shared" si="11"/>
        <v>9.3011756949441118</v>
      </c>
      <c r="AG19" s="603">
        <f t="shared" si="12"/>
        <v>10.399030562281942</v>
      </c>
      <c r="AH19" s="316">
        <f t="shared" si="13"/>
        <v>2.974653057392401</v>
      </c>
      <c r="AI19" s="316">
        <f t="shared" si="14"/>
        <v>8.0215269511616274</v>
      </c>
      <c r="AJ19" s="316">
        <f t="shared" si="15"/>
        <v>9.3353394836988919</v>
      </c>
      <c r="AK19" s="316">
        <f t="shared" si="16"/>
        <v>0.75114568935139747</v>
      </c>
      <c r="AL19" s="316">
        <f t="shared" si="17"/>
        <v>0.77579942262691703</v>
      </c>
      <c r="AM19" s="311">
        <f t="shared" si="18"/>
        <v>11.3032140190737</v>
      </c>
      <c r="AN19" s="311">
        <f t="shared" si="19"/>
        <v>12.637377455438699</v>
      </c>
      <c r="AO19" s="446">
        <v>1</v>
      </c>
      <c r="AP19" s="446">
        <v>2</v>
      </c>
      <c r="AQ19" s="590">
        <f t="shared" si="20"/>
        <v>4.9399999999999999E-2</v>
      </c>
      <c r="AR19" s="264">
        <v>21000</v>
      </c>
      <c r="AS19" s="264">
        <v>22270</v>
      </c>
      <c r="AT19" s="390">
        <f t="shared" si="21"/>
        <v>-990</v>
      </c>
    </row>
    <row r="20" spans="1:46" s="263" customFormat="1" x14ac:dyDescent="0.25">
      <c r="A20" s="304" t="s">
        <v>623</v>
      </c>
      <c r="B20" s="384" t="s">
        <v>66</v>
      </c>
      <c r="C20" s="385">
        <f t="shared" ca="1" si="4"/>
        <v>4.7410714285714288</v>
      </c>
      <c r="D20" s="658" t="s">
        <v>871</v>
      </c>
      <c r="E20" s="210">
        <v>29</v>
      </c>
      <c r="F20" s="211">
        <f ca="1">64-41471+$D$1-112-112-29-112-112-112-112-112-112-112-112-112-112-112-112-112</f>
        <v>29</v>
      </c>
      <c r="G20" s="262" t="s">
        <v>502</v>
      </c>
      <c r="H20" s="393">
        <v>1</v>
      </c>
      <c r="I20" s="214">
        <v>9</v>
      </c>
      <c r="J20" s="486">
        <f t="shared" si="5"/>
        <v>1.3333333333333333</v>
      </c>
      <c r="K20" s="303">
        <f t="shared" si="6"/>
        <v>9</v>
      </c>
      <c r="L20" s="303">
        <f t="shared" si="7"/>
        <v>36</v>
      </c>
      <c r="M20" s="296">
        <v>7.6</v>
      </c>
      <c r="N20" s="445">
        <f t="shared" si="8"/>
        <v>95</v>
      </c>
      <c r="O20" s="677">
        <v>43060</v>
      </c>
      <c r="P20" s="678">
        <f ca="1">IF((TODAY()-O20)&gt;335,1,((TODAY()-O20)^0.64)/(336^0.64))</f>
        <v>0.41492631106246303</v>
      </c>
      <c r="Q20" s="446">
        <v>4</v>
      </c>
      <c r="R20" s="500">
        <f t="shared" si="9"/>
        <v>0.7559289460184544</v>
      </c>
      <c r="S20" s="500">
        <f t="shared" si="10"/>
        <v>0.84430867747355465</v>
      </c>
      <c r="T20" s="627">
        <v>272230</v>
      </c>
      <c r="U20" s="626">
        <f t="shared" si="2"/>
        <v>1310</v>
      </c>
      <c r="V20" s="627">
        <v>40752</v>
      </c>
      <c r="W20" s="316">
        <f t="shared" si="3"/>
        <v>6.6801629367883786</v>
      </c>
      <c r="X20" s="485">
        <v>0</v>
      </c>
      <c r="Y20" s="486">
        <v>3</v>
      </c>
      <c r="Z20" s="485">
        <f>15+0.01+0.06</f>
        <v>15.07</v>
      </c>
      <c r="AA20" s="486">
        <f>12+0.01+0.01</f>
        <v>12.02</v>
      </c>
      <c r="AB20" s="485">
        <v>12</v>
      </c>
      <c r="AC20" s="486">
        <v>8</v>
      </c>
      <c r="AD20" s="485">
        <v>4</v>
      </c>
      <c r="AE20" s="324">
        <v>1931</v>
      </c>
      <c r="AF20" s="603">
        <f t="shared" ca="1" si="11"/>
        <v>12.713409286852819</v>
      </c>
      <c r="AG20" s="603">
        <f t="shared" ca="1" si="12"/>
        <v>14.214023695590015</v>
      </c>
      <c r="AH20" s="316">
        <f t="shared" ca="1" si="13"/>
        <v>3.0468452191953008</v>
      </c>
      <c r="AI20" s="316">
        <f t="shared" ca="1" si="14"/>
        <v>8.8773678501093354</v>
      </c>
      <c r="AJ20" s="316">
        <f t="shared" ca="1" si="15"/>
        <v>5.2523905896506742</v>
      </c>
      <c r="AK20" s="316">
        <f t="shared" ca="1" si="16"/>
        <v>0.65986077155166378</v>
      </c>
      <c r="AL20" s="316">
        <f t="shared" ca="1" si="17"/>
        <v>0.36237817510770576</v>
      </c>
      <c r="AM20" s="311">
        <f t="shared" ca="1" si="18"/>
        <v>4.2991566389458891</v>
      </c>
      <c r="AN20" s="311">
        <f t="shared" ca="1" si="19"/>
        <v>4.8066032453012646</v>
      </c>
      <c r="AO20" s="446">
        <v>3</v>
      </c>
      <c r="AP20" s="446">
        <v>3</v>
      </c>
      <c r="AQ20" s="590">
        <f t="shared" si="20"/>
        <v>0.1158</v>
      </c>
      <c r="AR20" s="263">
        <v>270920</v>
      </c>
      <c r="AS20" s="263">
        <v>268960</v>
      </c>
      <c r="AT20" s="390">
        <f t="shared" si="21"/>
        <v>-3270</v>
      </c>
    </row>
    <row r="21" spans="1:46" s="254" customFormat="1" x14ac:dyDescent="0.25">
      <c r="A21" s="384" t="s">
        <v>506</v>
      </c>
      <c r="B21" s="384" t="s">
        <v>66</v>
      </c>
      <c r="C21" s="385">
        <f t="shared" ca="1" si="4"/>
        <v>3.6517857142857144</v>
      </c>
      <c r="D21" s="657" t="s">
        <v>287</v>
      </c>
      <c r="E21" s="387">
        <v>30</v>
      </c>
      <c r="F21" s="394">
        <f ca="1">74-41471+$D$1-112-112-29-112-112-112-112-112-112-112-112-112-112-112-112-112</f>
        <v>39</v>
      </c>
      <c r="G21" s="388" t="s">
        <v>296</v>
      </c>
      <c r="H21" s="371">
        <v>3</v>
      </c>
      <c r="I21" s="308">
        <v>10.3</v>
      </c>
      <c r="J21" s="486">
        <f t="shared" si="5"/>
        <v>1.4041045913112262</v>
      </c>
      <c r="K21" s="303">
        <f t="shared" si="6"/>
        <v>92.7</v>
      </c>
      <c r="L21" s="303">
        <f t="shared" si="7"/>
        <v>164.8</v>
      </c>
      <c r="M21" s="389">
        <v>7.6</v>
      </c>
      <c r="N21" s="445">
        <f t="shared" si="8"/>
        <v>95</v>
      </c>
      <c r="O21" s="445" t="s">
        <v>557</v>
      </c>
      <c r="P21" s="678">
        <v>1.5</v>
      </c>
      <c r="Q21" s="445">
        <v>7</v>
      </c>
      <c r="R21" s="500">
        <f t="shared" si="9"/>
        <v>1</v>
      </c>
      <c r="S21" s="500">
        <f t="shared" si="10"/>
        <v>1</v>
      </c>
      <c r="T21" s="324">
        <v>44470</v>
      </c>
      <c r="U21" s="626">
        <f t="shared" si="2"/>
        <v>-160</v>
      </c>
      <c r="V21" s="324">
        <v>2310</v>
      </c>
      <c r="W21" s="316">
        <f t="shared" si="3"/>
        <v>19.251082251082252</v>
      </c>
      <c r="X21" s="485">
        <v>0</v>
      </c>
      <c r="Y21" s="486">
        <f>5+(5/7)+0.07+0.21+0.07+0.07+0.07+0.07+0.07+0.07+0.06+0.03+0.03+0.03+0.03+0.03+0.2*33/90+0.03+0.03+0.02+0.02+0.01+0.01+0.01+0.01</f>
        <v>6.8376190476190493</v>
      </c>
      <c r="Z21" s="485">
        <f>8+1/8*0.5+1/8*0.5+1/8+1/8*0.5+1/8*0.5+1/8+1/8+0.01+0.01</f>
        <v>8.6449999999999996</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f>
        <v>18.889999999999993</v>
      </c>
      <c r="AE21" s="324">
        <v>1314</v>
      </c>
      <c r="AF21" s="603">
        <f t="shared" si="11"/>
        <v>11.549104591311226</v>
      </c>
      <c r="AG21" s="603">
        <f t="shared" si="12"/>
        <v>11.549104591311226</v>
      </c>
      <c r="AH21" s="316">
        <f t="shared" si="13"/>
        <v>4.3662416026940916</v>
      </c>
      <c r="AI21" s="316">
        <f t="shared" si="14"/>
        <v>23.421321146797808</v>
      </c>
      <c r="AJ21" s="316">
        <f t="shared" si="15"/>
        <v>18.695854591311221</v>
      </c>
      <c r="AK21" s="316">
        <f t="shared" si="16"/>
        <v>1.227153367304898</v>
      </c>
      <c r="AL21" s="316">
        <f t="shared" si="17"/>
        <v>1.0434920832965475</v>
      </c>
      <c r="AM21" s="311">
        <f t="shared" si="18"/>
        <v>21.740449632940223</v>
      </c>
      <c r="AN21" s="311">
        <f t="shared" si="19"/>
        <v>21.740449632940223</v>
      </c>
      <c r="AO21" s="445">
        <v>4</v>
      </c>
      <c r="AP21" s="445">
        <v>2</v>
      </c>
      <c r="AQ21" s="590">
        <f t="shared" si="20"/>
        <v>0.157</v>
      </c>
      <c r="AR21" s="254">
        <v>44630</v>
      </c>
      <c r="AS21" s="254">
        <v>44800</v>
      </c>
      <c r="AT21" s="390">
        <f t="shared" si="21"/>
        <v>330</v>
      </c>
    </row>
    <row r="22" spans="1:46" s="259" customFormat="1" x14ac:dyDescent="0.25">
      <c r="A22" s="384" t="s">
        <v>568</v>
      </c>
      <c r="B22" s="384" t="s">
        <v>66</v>
      </c>
      <c r="C22" s="385">
        <f t="shared" ca="1" si="4"/>
        <v>3.0357142857142856</v>
      </c>
      <c r="D22" s="657" t="s">
        <v>861</v>
      </c>
      <c r="E22" s="387">
        <v>30</v>
      </c>
      <c r="F22" s="211">
        <f ca="1">-41471+$D$1-748-112-112-12-112-112-112-22-112-112</f>
        <v>108</v>
      </c>
      <c r="G22" s="388" t="s">
        <v>268</v>
      </c>
      <c r="H22" s="371">
        <v>3</v>
      </c>
      <c r="I22" s="308">
        <v>10.5</v>
      </c>
      <c r="J22" s="486">
        <f t="shared" si="5"/>
        <v>1.4142637871381487</v>
      </c>
      <c r="K22" s="303">
        <f t="shared" si="6"/>
        <v>94.5</v>
      </c>
      <c r="L22" s="303">
        <f t="shared" si="7"/>
        <v>168</v>
      </c>
      <c r="M22" s="389">
        <v>7.5</v>
      </c>
      <c r="N22" s="445">
        <f t="shared" si="8"/>
        <v>94</v>
      </c>
      <c r="O22" s="677">
        <v>42869</v>
      </c>
      <c r="P22" s="678">
        <f ca="1">IF((TODAY()-O22)&gt;335,1,((TODAY()-O22)^0.64)/(336^0.64))</f>
        <v>0.88170778418601259</v>
      </c>
      <c r="Q22" s="445">
        <v>6</v>
      </c>
      <c r="R22" s="500">
        <f t="shared" si="9"/>
        <v>0.92582009977255142</v>
      </c>
      <c r="S22" s="500">
        <f t="shared" si="10"/>
        <v>0.99928545900129484</v>
      </c>
      <c r="T22" s="324">
        <v>266630</v>
      </c>
      <c r="U22" s="626">
        <f t="shared" si="2"/>
        <v>-8470</v>
      </c>
      <c r="V22" s="324">
        <v>34128</v>
      </c>
      <c r="W22" s="316">
        <f t="shared" si="3"/>
        <v>7.8126465072667601</v>
      </c>
      <c r="X22" s="485">
        <v>0</v>
      </c>
      <c r="Y22" s="486">
        <f>2.98+0.02+0.02</f>
        <v>3.02</v>
      </c>
      <c r="Z22" s="485">
        <f>14+0.09*0.16+0.09*0.5+0.09*0.16+0.01+0.01+0.01+1/21*0.5+0.01+0.07+0.07</f>
        <v>14.277609523809524</v>
      </c>
      <c r="AA22" s="486">
        <f>3+0.02+0.02</f>
        <v>3.04</v>
      </c>
      <c r="AB22" s="485">
        <f>15+0.01+0.01</f>
        <v>15.02</v>
      </c>
      <c r="AC22" s="486">
        <v>10</v>
      </c>
      <c r="AD22" s="485">
        <v>10</v>
      </c>
      <c r="AE22" s="324">
        <v>1953</v>
      </c>
      <c r="AF22" s="603">
        <f t="shared" ca="1" si="11"/>
        <v>15.344154503085141</v>
      </c>
      <c r="AG22" s="603">
        <f t="shared" ca="1" si="12"/>
        <v>16.573581095133687</v>
      </c>
      <c r="AH22" s="316">
        <f t="shared" ca="1" si="13"/>
        <v>4.6230727982744231</v>
      </c>
      <c r="AI22" s="316">
        <f t="shared" ca="1" si="14"/>
        <v>18.122092597318584</v>
      </c>
      <c r="AJ22" s="316">
        <f t="shared" ca="1" si="15"/>
        <v>11.38385762696379</v>
      </c>
      <c r="AK22" s="316">
        <f t="shared" ca="1" si="16"/>
        <v>0.98367772570593282</v>
      </c>
      <c r="AL22" s="316">
        <f t="shared" ca="1" si="17"/>
        <v>0.58151800999269132</v>
      </c>
      <c r="AM22" s="311">
        <f t="shared" ca="1" si="18"/>
        <v>11.335087224786299</v>
      </c>
      <c r="AN22" s="311">
        <f t="shared" ca="1" si="19"/>
        <v>12.243293516279262</v>
      </c>
      <c r="AO22" s="445">
        <v>1</v>
      </c>
      <c r="AP22" s="445">
        <v>3</v>
      </c>
      <c r="AQ22" s="590">
        <f t="shared" si="20"/>
        <v>4.9399999999999999E-2</v>
      </c>
      <c r="AR22" s="259">
        <v>275100</v>
      </c>
      <c r="AS22" s="259">
        <v>287340</v>
      </c>
      <c r="AT22" s="390">
        <f t="shared" si="21"/>
        <v>20710</v>
      </c>
    </row>
    <row r="23" spans="1:46" s="264" customFormat="1" x14ac:dyDescent="0.25">
      <c r="A23" s="384" t="s">
        <v>540</v>
      </c>
      <c r="B23" s="384" t="s">
        <v>66</v>
      </c>
      <c r="C23" s="385">
        <f t="shared" ca="1" si="4"/>
        <v>6.375</v>
      </c>
      <c r="D23" s="658" t="s">
        <v>541</v>
      </c>
      <c r="E23" s="210">
        <v>27</v>
      </c>
      <c r="F23" s="211">
        <f ca="1">7-41471+$D$1-112-111-43-112-112-1-112-112-112-112-112-112-112-112-112-112</f>
        <v>70</v>
      </c>
      <c r="G23" s="262"/>
      <c r="H23" s="395">
        <v>5</v>
      </c>
      <c r="I23" s="214">
        <v>5.5</v>
      </c>
      <c r="J23" s="486">
        <f t="shared" si="5"/>
        <v>1.0838844755238075</v>
      </c>
      <c r="K23" s="303">
        <f t="shared" si="6"/>
        <v>137.5</v>
      </c>
      <c r="L23" s="303">
        <f t="shared" si="7"/>
        <v>198</v>
      </c>
      <c r="M23" s="296">
        <v>8</v>
      </c>
      <c r="N23" s="445">
        <f t="shared" si="8"/>
        <v>99</v>
      </c>
      <c r="O23" s="445" t="s">
        <v>557</v>
      </c>
      <c r="P23" s="678">
        <v>1.5</v>
      </c>
      <c r="Q23" s="446">
        <v>6</v>
      </c>
      <c r="R23" s="500">
        <f t="shared" si="9"/>
        <v>0.92582009977255142</v>
      </c>
      <c r="S23" s="500">
        <f t="shared" si="10"/>
        <v>0.99928545900129484</v>
      </c>
      <c r="T23" s="627">
        <v>36300</v>
      </c>
      <c r="U23" s="626">
        <f t="shared" si="2"/>
        <v>-770</v>
      </c>
      <c r="V23" s="627">
        <v>3090</v>
      </c>
      <c r="W23" s="316">
        <f t="shared" si="3"/>
        <v>11.74757281553398</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7.5526151198274265</v>
      </c>
      <c r="AG23" s="603">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6">
        <v>2</v>
      </c>
      <c r="AP23" s="446">
        <v>1</v>
      </c>
      <c r="AQ23" s="590">
        <f t="shared" si="20"/>
        <v>6.1499999999999999E-2</v>
      </c>
      <c r="AR23" s="264">
        <v>37070</v>
      </c>
      <c r="AS23" s="264">
        <v>38030</v>
      </c>
      <c r="AT23" s="390">
        <f>AS23-T23</f>
        <v>1730</v>
      </c>
    </row>
    <row r="24" spans="1:46" x14ac:dyDescent="0.25">
      <c r="G24" s="4"/>
      <c r="H24"/>
      <c r="I24" s="284"/>
      <c r="J24" s="487"/>
      <c r="K24"/>
      <c r="T24" s="244">
        <f>SUM(T5:T23)+T3</f>
        <v>2144160</v>
      </c>
      <c r="U24" s="244">
        <f>SUM(U5:U23)</f>
        <v>-54010</v>
      </c>
      <c r="V24" s="244">
        <f>SUM(V5:V23)+V3</f>
        <v>288860</v>
      </c>
      <c r="W24" s="315">
        <f t="shared" si="3"/>
        <v>7.4228345911514229</v>
      </c>
      <c r="X24"/>
      <c r="AD24" s="312"/>
      <c r="AE24" s="244">
        <f>AVERAGE(AE5:AE23)</f>
        <v>1532.7368421052631</v>
      </c>
      <c r="AH24" s="244"/>
      <c r="AI24" s="244"/>
      <c r="AJ24" s="244"/>
      <c r="AK24" s="244"/>
      <c r="AL24" s="244"/>
      <c r="AM24" s="244"/>
      <c r="AN24" s="244"/>
    </row>
    <row r="25" spans="1:46" x14ac:dyDescent="0.25">
      <c r="G25" s="455"/>
      <c r="K25" s="455"/>
      <c r="M25" s="455"/>
      <c r="N25" s="455"/>
      <c r="Q25" s="455"/>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67</v>
      </c>
      <c r="D3" s="487"/>
      <c r="E3" s="290">
        <v>42468</v>
      </c>
      <c r="F3" s="341">
        <f>PLANTILLA!Q5</f>
        <v>6</v>
      </c>
      <c r="G3" s="406">
        <f>(F3/7)^0.5</f>
        <v>0.92582009977255142</v>
      </c>
      <c r="H3" s="406">
        <f>IF(F3=7,1,((F3+0.99)/7)^0.5)</f>
        <v>0.99928545900129484</v>
      </c>
      <c r="I3" s="496">
        <v>1</v>
      </c>
      <c r="J3" s="497">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v>
      </c>
      <c r="R3" s="163">
        <f>((2*(O3+1))+(L3+1))/8</f>
        <v>2.1450699300699307</v>
      </c>
      <c r="S3" s="163">
        <f>1.66*(P3+(LOG(J3)*4/3)+I3)+0.55*(Q3+(LOG(J3)*4/3)+I3)-7.6</f>
        <v>8.4772549152497678</v>
      </c>
      <c r="T3" s="163">
        <f>(0.5*P3+ 0.3*Q3)/10</f>
        <v>0.54702777777777778</v>
      </c>
      <c r="U3" s="163">
        <f>(0.4*L3+0.3*Q3)/10</f>
        <v>1.0232223776223777</v>
      </c>
      <c r="V3" s="163">
        <f ca="1">IF(TODAY()-E3&gt;335,(Q3+1+(LOG(J3)*4/3))*(F3/7)^0.5,(Q3+((TODAY()-E3)^0.5)/(336^0.5)+(LOG(J3)*4/3))*(F3/7)^0.5)</f>
        <v>19.154812637037189</v>
      </c>
      <c r="W3" s="163">
        <f ca="1">IF(F3=7,V3,IF(TODAY()-E3&gt;335,(Q3+1+(LOG(J3)*4/3))*((F3+0.99)/7)^0.5,(Q3+((TODAY()-E3)^0.5)/(336^0.5)+(LOG(J3)*4/3))*((F3+0.99)/7)^0.5))</f>
        <v>20.674778764025493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3.4551569048577377</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7">
        <f>PLANTILLA!E6</f>
        <v>34</v>
      </c>
      <c r="C4" s="487">
        <f ca="1">PLANTILLA!F6</f>
        <v>76</v>
      </c>
      <c r="D4" s="487" t="str">
        <f>PLANTILLA!G6</f>
        <v>CAB</v>
      </c>
      <c r="E4" s="290">
        <v>41400</v>
      </c>
      <c r="F4" s="341">
        <f>PLANTILLA!Q6</f>
        <v>6</v>
      </c>
      <c r="G4" s="406">
        <f t="shared" ref="G4:G5" si="0">(F4/7)^0.5</f>
        <v>0.92582009977255142</v>
      </c>
      <c r="H4" s="406">
        <f t="shared" ref="H4:H5" si="1">IF(F4=7,1,((F4+0.99)/7)^0.5)</f>
        <v>0.99928545900129484</v>
      </c>
      <c r="I4" s="496">
        <v>1.5</v>
      </c>
      <c r="J4" s="497">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7">
        <f>PLANTILLA!E8</f>
        <v>32</v>
      </c>
      <c r="C5" s="487">
        <f ca="1">PLANTILLA!F8</f>
        <v>12</v>
      </c>
      <c r="D5" s="487" t="str">
        <f>PLANTILLA!G8</f>
        <v>CAB</v>
      </c>
      <c r="E5" s="290">
        <v>41519</v>
      </c>
      <c r="F5" s="341">
        <f>PLANTILLA!Q8</f>
        <v>5</v>
      </c>
      <c r="G5" s="406">
        <f t="shared" si="0"/>
        <v>0.84515425472851657</v>
      </c>
      <c r="H5" s="406">
        <f t="shared" si="1"/>
        <v>0.92504826128926143</v>
      </c>
      <c r="I5" s="496">
        <v>1.5</v>
      </c>
      <c r="J5" s="497">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13.512675163031838</v>
      </c>
      <c r="T5" s="163">
        <f t="shared" si="4"/>
        <v>0.66729999999999978</v>
      </c>
      <c r="U5" s="163">
        <f t="shared" si="5"/>
        <v>0.91072666666666657</v>
      </c>
      <c r="V5" s="163">
        <f t="shared" ca="1" si="6"/>
        <v>15.011795438898448</v>
      </c>
      <c r="W5" s="163">
        <f t="shared" ca="1" si="7"/>
        <v>16.430888434731703</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3.0497867154367446</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7">
        <f>PLANTILLA!E9</f>
        <v>31</v>
      </c>
      <c r="C6" s="487">
        <f ca="1">PLANTILLA!F9</f>
        <v>78</v>
      </c>
      <c r="D6" s="487"/>
      <c r="E6" s="290">
        <v>41539</v>
      </c>
      <c r="F6" s="341">
        <f>PLANTILLA!Q9</f>
        <v>6</v>
      </c>
      <c r="G6" s="406">
        <f t="shared" ref="G6:G10" si="74">(F6/7)^0.5</f>
        <v>0.92582009977255142</v>
      </c>
      <c r="H6" s="406">
        <f>IF(F6=7,1,((F6+0.99)/7)^0.5)</f>
        <v>0.99928545900129484</v>
      </c>
      <c r="I6" s="496">
        <v>1.5</v>
      </c>
      <c r="J6" s="497">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16.977777777777774</v>
      </c>
      <c r="R6" s="163">
        <f t="shared" si="2"/>
        <v>4.3000000000000007</v>
      </c>
      <c r="S6" s="163">
        <f t="shared" si="3"/>
        <v>14.386293676722497</v>
      </c>
      <c r="T6" s="163">
        <f t="shared" si="4"/>
        <v>0.69341666666666646</v>
      </c>
      <c r="U6" s="163">
        <f t="shared" si="5"/>
        <v>0.9973333333333334</v>
      </c>
      <c r="V6" s="163">
        <f t="shared" ca="1" si="6"/>
        <v>17.993937047444806</v>
      </c>
      <c r="W6" s="163">
        <f t="shared" ca="1" si="7"/>
        <v>19.421785772542361</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3.3292574507850126</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7">
        <f>PLANTILLA!E10</f>
        <v>31</v>
      </c>
      <c r="C7" s="487">
        <f ca="1">PLANTILLA!F10</f>
        <v>63</v>
      </c>
      <c r="D7" s="487"/>
      <c r="E7" s="290">
        <v>41527</v>
      </c>
      <c r="F7" s="341">
        <f>PLANTILLA!Q10</f>
        <v>6</v>
      </c>
      <c r="G7" s="406">
        <f t="shared" si="74"/>
        <v>0.92582009977255142</v>
      </c>
      <c r="H7" s="406">
        <f t="shared" ref="H7:H21" si="75">IF(F7=7,1,((F7+0.99)/7)^0.5)</f>
        <v>0.99928545900129484</v>
      </c>
      <c r="I7" s="496">
        <v>1.5</v>
      </c>
      <c r="J7" s="497">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15.928888888888888</v>
      </c>
      <c r="R7" s="163">
        <f t="shared" si="2"/>
        <v>4.129999999999999</v>
      </c>
      <c r="S7" s="163">
        <f t="shared" si="3"/>
        <v>15.026114445806689</v>
      </c>
      <c r="T7" s="163">
        <f t="shared" si="4"/>
        <v>0.70886666666666653</v>
      </c>
      <c r="U7" s="163">
        <f t="shared" si="5"/>
        <v>0.95786666666666653</v>
      </c>
      <c r="V7" s="163">
        <f t="shared" ca="1" si="6"/>
        <v>16.880033821214216</v>
      </c>
      <c r="W7" s="163">
        <f t="shared" ca="1" si="7"/>
        <v>18.219492479298545</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3.1283309005554281</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7">
        <f>PLANTILLA!E11</f>
        <v>27</v>
      </c>
      <c r="C8" s="487">
        <f ca="1">PLANTILLA!F11</f>
        <v>86</v>
      </c>
      <c r="D8" s="487"/>
      <c r="E8" s="290">
        <v>42106</v>
      </c>
      <c r="F8" s="341">
        <f>PLANTILLA!Q11</f>
        <v>6</v>
      </c>
      <c r="G8" s="406">
        <f t="shared" si="74"/>
        <v>0.92582009977255142</v>
      </c>
      <c r="H8" s="406">
        <f t="shared" si="75"/>
        <v>0.99928545900129484</v>
      </c>
      <c r="I8" s="496">
        <v>1.5</v>
      </c>
      <c r="J8" s="497">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10.489705560261799</v>
      </c>
      <c r="T8" s="163">
        <f t="shared" si="4"/>
        <v>0.56291666666666662</v>
      </c>
      <c r="U8" s="163">
        <f t="shared" si="5"/>
        <v>0.78426999999999991</v>
      </c>
      <c r="V8" s="163">
        <f t="shared" ca="1" si="6"/>
        <v>14.124656357472102</v>
      </c>
      <c r="W8" s="163">
        <f t="shared" ca="1" si="7"/>
        <v>15.245471247469812</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2.6313142160419045</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7">
        <f>PLANTILLA!E7</f>
        <v>30</v>
      </c>
      <c r="C9" s="487">
        <f ca="1">PLANTILLA!F7</f>
        <v>79</v>
      </c>
      <c r="D9" s="487" t="str">
        <f>PLANTILLA!G7</f>
        <v>CAB</v>
      </c>
      <c r="E9" s="290">
        <v>42716</v>
      </c>
      <c r="F9" s="341">
        <f>PLANTILLA!Q7</f>
        <v>6</v>
      </c>
      <c r="G9" s="406">
        <f>(F9/7)^0.5</f>
        <v>0.92582009977255142</v>
      </c>
      <c r="H9" s="406">
        <f>IF(F9=7,1,((F9+0.99)/7)^0.5)</f>
        <v>0.99928545900129484</v>
      </c>
      <c r="I9" s="496">
        <v>1</v>
      </c>
      <c r="J9" s="497">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10</v>
      </c>
      <c r="R9" s="163">
        <f>((2*(O9+1))+(L9+1))/8</f>
        <v>4.5175000000000001</v>
      </c>
      <c r="S9" s="163">
        <f t="shared" si="3"/>
        <v>5.4204510005168611</v>
      </c>
      <c r="T9" s="163">
        <f>(0.5*P9+ 0.3*Q9)/10</f>
        <v>0.3571428571428571</v>
      </c>
      <c r="U9" s="163">
        <f>(0.4*L9+0.3*Q9)/10</f>
        <v>0.87200000000000022</v>
      </c>
      <c r="V9" s="163">
        <f t="shared" ref="V9" ca="1" si="76">IF(TODAY()-E9&gt;335,(Q9+1+(LOG(J9)*4/3))*(F9/7)^0.5,(Q9+((TODAY()-E9)^0.5)/(336^0.5)+(LOG(J9)*4/3))*(F9/7)^0.5)</f>
        <v>11.613934801503941</v>
      </c>
      <c r="W9" s="163">
        <f t="shared" ref="W9" ca="1" si="77">IF(F9=7,V9,IF(TODAY()-E9&gt;335,(Q9+1+(LOG(J9)*4/3))*((F9+0.99)/7)^0.5,(Q9+((TODAY()-E9)^0.5)/(336^0.5)+(LOG(J9)*4/3))*((F9+0.99)/7)^0.5))</f>
        <v>12.535519775151958</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2.0949287149065423</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7">
        <f>PLANTILLA!E12</f>
        <v>31</v>
      </c>
      <c r="C10" s="487">
        <f ca="1">PLANTILLA!F12</f>
        <v>40</v>
      </c>
      <c r="D10" s="487" t="str">
        <f>PLANTILLA!G12</f>
        <v>IMP</v>
      </c>
      <c r="E10" s="290">
        <v>41583</v>
      </c>
      <c r="F10" s="341">
        <f>PLANTILLA!Q12</f>
        <v>7</v>
      </c>
      <c r="G10" s="406">
        <f t="shared" si="74"/>
        <v>1</v>
      </c>
      <c r="H10" s="406">
        <f t="shared" si="75"/>
        <v>1</v>
      </c>
      <c r="I10" s="496">
        <v>1.5</v>
      </c>
      <c r="J10" s="497">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17.329999999999998</v>
      </c>
      <c r="R10" s="163">
        <f t="shared" si="2"/>
        <v>4.6101388888888888</v>
      </c>
      <c r="S10" s="163">
        <f t="shared" si="3"/>
        <v>21.387125206279748</v>
      </c>
      <c r="T10" s="163">
        <f t="shared" si="4"/>
        <v>0.90839999999999999</v>
      </c>
      <c r="U10" s="163">
        <f t="shared" si="5"/>
        <v>1.0023444444444443</v>
      </c>
      <c r="V10" s="163">
        <f t="shared" ca="1" si="6"/>
        <v>19.797160726823414</v>
      </c>
      <c r="W10" s="163">
        <f t="shared" ca="1" si="7"/>
        <v>19.797160726823414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3.3896258413795102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7">
        <f>PLANTILLA!E13</f>
        <v>30</v>
      </c>
      <c r="C11" s="487">
        <f ca="1">PLANTILLA!F13</f>
        <v>99</v>
      </c>
      <c r="D11" s="487" t="str">
        <f>PLANTILLA!G13</f>
        <v>TEC</v>
      </c>
      <c r="E11" s="290">
        <v>41722</v>
      </c>
      <c r="F11" s="341">
        <f>PLANTILLA!Q13</f>
        <v>5</v>
      </c>
      <c r="G11" s="406">
        <f t="shared" ref="G11:G21" si="78">(F11/7)^0.5</f>
        <v>0.84515425472851657</v>
      </c>
      <c r="H11" s="406">
        <f t="shared" si="75"/>
        <v>0.92504826128926143</v>
      </c>
      <c r="I11" s="496">
        <v>1.5</v>
      </c>
      <c r="J11" s="497">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17.568888888888893</v>
      </c>
      <c r="R11" s="163">
        <f t="shared" si="2"/>
        <v>3.8712878787878782</v>
      </c>
      <c r="S11" s="163">
        <f t="shared" si="3"/>
        <v>17.347047128689297</v>
      </c>
      <c r="T11" s="163">
        <f t="shared" si="4"/>
        <v>0.79731666666666678</v>
      </c>
      <c r="U11" s="163">
        <f t="shared" si="5"/>
        <v>0.81707878787878807</v>
      </c>
      <c r="V11" s="163">
        <f t="shared" ca="1" si="6"/>
        <v>16.839642188571009</v>
      </c>
      <c r="W11" s="163">
        <f t="shared" ca="1" si="7"/>
        <v>18.431524943662218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3.4109638679949734</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7">
        <f>PLANTILLA!E14</f>
        <v>27</v>
      </c>
      <c r="C12" s="487">
        <f ca="1">PLANTILLA!F14</f>
        <v>114</v>
      </c>
      <c r="D12" s="487" t="str">
        <f>PLANTILLA!G14</f>
        <v>CAB</v>
      </c>
      <c r="E12" s="290">
        <v>41911</v>
      </c>
      <c r="F12" s="341">
        <f>PLANTILLA!Q14</f>
        <v>6</v>
      </c>
      <c r="G12" s="406">
        <f t="shared" si="78"/>
        <v>0.92582009977255142</v>
      </c>
      <c r="H12" s="406">
        <f t="shared" si="75"/>
        <v>0.99928545900129484</v>
      </c>
      <c r="I12" s="496">
        <v>1.5</v>
      </c>
      <c r="J12" s="497">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15.67</v>
      </c>
      <c r="R12" s="163">
        <f t="shared" si="2"/>
        <v>3.9799999999999995</v>
      </c>
      <c r="S12" s="163">
        <f t="shared" si="3"/>
        <v>19.556601261147875</v>
      </c>
      <c r="T12" s="163">
        <f t="shared" si="4"/>
        <v>0.84393333333333342</v>
      </c>
      <c r="U12" s="163">
        <f t="shared" si="5"/>
        <v>0.80449999999999977</v>
      </c>
      <c r="V12" s="163">
        <f t="shared" ca="1" si="6"/>
        <v>16.611363590270201</v>
      </c>
      <c r="W12" s="163">
        <f t="shared" ca="1" si="7"/>
        <v>17.929502820276419</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3.0798679987684903</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7">
        <f>PLANTILLA!E15</f>
        <v>29</v>
      </c>
      <c r="C13" s="487">
        <f ca="1">PLANTILLA!F15</f>
        <v>111</v>
      </c>
      <c r="D13" s="487" t="str">
        <f>PLANTILLA!G15</f>
        <v>TEC</v>
      </c>
      <c r="E13" s="290">
        <v>41747</v>
      </c>
      <c r="F13" s="341">
        <f>PLANTILLA!Q15</f>
        <v>7</v>
      </c>
      <c r="G13" s="406">
        <f t="shared" si="78"/>
        <v>1</v>
      </c>
      <c r="H13" s="406">
        <f t="shared" si="75"/>
        <v>1</v>
      </c>
      <c r="I13" s="496">
        <v>1.5</v>
      </c>
      <c r="J13" s="497">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15.588888888888887</v>
      </c>
      <c r="R13" s="163">
        <f t="shared" si="2"/>
        <v>3.956291666666667</v>
      </c>
      <c r="S13" s="163">
        <f t="shared" si="3"/>
        <v>15.683290888390433</v>
      </c>
      <c r="T13" s="163">
        <f t="shared" si="4"/>
        <v>0.71914999999999984</v>
      </c>
      <c r="U13" s="163">
        <f t="shared" si="5"/>
        <v>0.83981333333333319</v>
      </c>
      <c r="V13" s="163">
        <f t="shared" ca="1" si="6"/>
        <v>17.966787229538156</v>
      </c>
      <c r="W13" s="163">
        <f t="shared" ca="1" si="7"/>
        <v>17.966787229538156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3.0839534673328721</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7">
        <f>PLANTILLA!E16</f>
        <v>32</v>
      </c>
      <c r="C14" s="487">
        <f ca="1">PLANTILLA!F16</f>
        <v>33</v>
      </c>
      <c r="D14" s="487" t="str">
        <f>PLANTILLA!G16</f>
        <v>TEC</v>
      </c>
      <c r="E14" s="290">
        <v>41653</v>
      </c>
      <c r="F14" s="341">
        <f>PLANTILLA!Q16</f>
        <v>5</v>
      </c>
      <c r="G14" s="406">
        <f t="shared" si="78"/>
        <v>0.84515425472851657</v>
      </c>
      <c r="H14" s="406">
        <f t="shared" si="75"/>
        <v>0.92504826128926143</v>
      </c>
      <c r="I14" s="496">
        <v>1.5</v>
      </c>
      <c r="J14" s="497">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16.944444444444439</v>
      </c>
      <c r="R14" s="163">
        <f t="shared" si="2"/>
        <v>3.9759444444444449</v>
      </c>
      <c r="S14" s="163">
        <f t="shared" si="3"/>
        <v>15.441515591242252</v>
      </c>
      <c r="T14" s="163">
        <f t="shared" si="4"/>
        <v>0.72833333333333317</v>
      </c>
      <c r="U14" s="163">
        <f t="shared" si="5"/>
        <v>0.8534355555555555</v>
      </c>
      <c r="V14" s="163">
        <f t="shared" ca="1" si="6"/>
        <v>16.35250854039224</v>
      </c>
      <c r="W14" s="163">
        <f t="shared" ca="1" si="7"/>
        <v>17.898341643995796</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3.3147076889711964</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7">
        <f>PLANTILLA!E17</f>
        <v>31</v>
      </c>
      <c r="C15" s="487">
        <f ca="1">PLANTILLA!F17</f>
        <v>27</v>
      </c>
      <c r="D15" s="487"/>
      <c r="E15" s="290">
        <v>41552</v>
      </c>
      <c r="F15" s="341">
        <f>PLANTILLA!Q17</f>
        <v>7</v>
      </c>
      <c r="G15" s="406">
        <f t="shared" si="78"/>
        <v>1</v>
      </c>
      <c r="H15" s="406">
        <f t="shared" si="75"/>
        <v>1</v>
      </c>
      <c r="I15" s="496">
        <v>1.5</v>
      </c>
      <c r="J15" s="497">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17.259999999999998</v>
      </c>
      <c r="R15" s="163">
        <f t="shared" si="2"/>
        <v>4.0037499999999993</v>
      </c>
      <c r="S15" s="163">
        <f t="shared" si="3"/>
        <v>13.008596421738931</v>
      </c>
      <c r="T15" s="163">
        <f t="shared" si="4"/>
        <v>0.66679999999999995</v>
      </c>
      <c r="U15" s="163">
        <f t="shared" si="5"/>
        <v>0.93979999999999964</v>
      </c>
      <c r="V15" s="163">
        <f t="shared" ca="1" si="6"/>
        <v>19.551310598071911</v>
      </c>
      <c r="W15" s="163">
        <f t="shared" ca="1" si="7"/>
        <v>19.551310598071911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3.3485688698780094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7">
        <f>PLANTILLA!E18</f>
        <v>30</v>
      </c>
      <c r="C16" s="487">
        <f ca="1">PLANTILLA!F18</f>
        <v>114</v>
      </c>
      <c r="D16" s="487"/>
      <c r="E16" s="290">
        <v>41686</v>
      </c>
      <c r="F16" s="341">
        <f>PLANTILLA!Q18</f>
        <v>4</v>
      </c>
      <c r="G16" s="406">
        <f t="shared" si="78"/>
        <v>0.7559289460184544</v>
      </c>
      <c r="H16" s="406">
        <f t="shared" si="75"/>
        <v>0.84430867747355465</v>
      </c>
      <c r="I16" s="496">
        <v>1.5</v>
      </c>
      <c r="J16" s="497">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16.47</v>
      </c>
      <c r="R16" s="163">
        <f t="shared" si="2"/>
        <v>3.3430555555555568</v>
      </c>
      <c r="S16" s="163">
        <f t="shared" si="3"/>
        <v>19.803140373912903</v>
      </c>
      <c r="T16" s="163">
        <f t="shared" si="4"/>
        <v>0.86569444444444454</v>
      </c>
      <c r="U16" s="163">
        <f t="shared" si="5"/>
        <v>0.71267777777777774</v>
      </c>
      <c r="V16" s="163">
        <f t="shared" ca="1" si="6"/>
        <v>14.127116476661712</v>
      </c>
      <c r="W16" s="163">
        <f t="shared" ca="1" si="7"/>
        <v>15.778793882347145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3.2044658844641076</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7">
        <f>PLANTILLA!E19</f>
        <v>29</v>
      </c>
      <c r="C17" s="487">
        <f ca="1">PLANTILLA!F19</f>
        <v>64</v>
      </c>
      <c r="D17" s="487"/>
      <c r="E17" s="290">
        <v>41737</v>
      </c>
      <c r="F17" s="341">
        <f>PLANTILLA!Q19</f>
        <v>4</v>
      </c>
      <c r="G17" s="406">
        <f t="shared" si="78"/>
        <v>0.7559289460184544</v>
      </c>
      <c r="H17" s="406">
        <f t="shared" si="75"/>
        <v>0.84430867747355465</v>
      </c>
      <c r="I17" s="496">
        <v>1.5</v>
      </c>
      <c r="J17" s="497">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12.65</v>
      </c>
      <c r="R17" s="163">
        <f t="shared" si="2"/>
        <v>3.3981111111111098</v>
      </c>
      <c r="S17" s="163">
        <f t="shared" si="3"/>
        <v>10.325921218890842</v>
      </c>
      <c r="T17" s="163">
        <f t="shared" si="4"/>
        <v>0.5565888888888888</v>
      </c>
      <c r="U17" s="163">
        <f t="shared" si="5"/>
        <v>0.60556222222222211</v>
      </c>
      <c r="V17" s="163">
        <f t="shared" ca="1" si="6"/>
        <v>10.925249546064473</v>
      </c>
      <c r="W17" s="163">
        <f t="shared" ca="1" si="7"/>
        <v>12.202579414231158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2.4971086914023601</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39</v>
      </c>
      <c r="D19" s="487" t="str">
        <f>PLANTILLA!G21</f>
        <v>RAP</v>
      </c>
      <c r="E19" s="290">
        <v>41664</v>
      </c>
      <c r="F19" s="341">
        <f>PLANTILLA!Q21</f>
        <v>7</v>
      </c>
      <c r="G19" s="406">
        <f t="shared" si="78"/>
        <v>1</v>
      </c>
      <c r="H19" s="406">
        <f t="shared" si="75"/>
        <v>1</v>
      </c>
      <c r="I19" s="496">
        <v>1.5</v>
      </c>
      <c r="J19" s="497">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18.889999999999993</v>
      </c>
      <c r="R19" s="163">
        <f t="shared" si="2"/>
        <v>3.6522023809523816</v>
      </c>
      <c r="S19" s="163">
        <f t="shared" si="3"/>
        <v>23.302743688797904</v>
      </c>
      <c r="T19" s="163">
        <f t="shared" si="4"/>
        <v>0.99482499999999985</v>
      </c>
      <c r="U19" s="163">
        <f t="shared" si="5"/>
        <v>0.84020476190476179</v>
      </c>
      <c r="V19" s="163">
        <f t="shared" ca="1" si="6"/>
        <v>21.240449632940223</v>
      </c>
      <c r="W19" s="163">
        <f t="shared" ca="1" si="7"/>
        <v>21.240449632940223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3.6306550887010176</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7">
        <f>PLANTILLA!E22</f>
        <v>30</v>
      </c>
      <c r="C20" s="487">
        <f ca="1">PLANTILLA!F22</f>
        <v>108</v>
      </c>
      <c r="D20" s="487" t="str">
        <f>PLANTILLA!G22</f>
        <v>TEC</v>
      </c>
      <c r="E20" s="290">
        <v>41890</v>
      </c>
      <c r="F20" s="341">
        <f>PLANTILLA!Q22</f>
        <v>6</v>
      </c>
      <c r="G20" s="406">
        <f t="shared" si="78"/>
        <v>0.92582009977255142</v>
      </c>
      <c r="H20" s="406">
        <f t="shared" si="75"/>
        <v>0.99928545900129484</v>
      </c>
      <c r="I20" s="496">
        <v>1.5</v>
      </c>
      <c r="J20" s="497">
        <f>PLANTILLA!I22</f>
        <v>10.5</v>
      </c>
      <c r="K20" s="163">
        <f>PLANTILLA!X22</f>
        <v>0</v>
      </c>
      <c r="L20" s="163">
        <f>PLANTILLA!Y22</f>
        <v>3.02</v>
      </c>
      <c r="M20" s="163">
        <f>PLANTILLA!Z22</f>
        <v>14.277609523809524</v>
      </c>
      <c r="N20" s="163">
        <f>PLANTILLA!AA22</f>
        <v>3.04</v>
      </c>
      <c r="O20" s="163">
        <f>PLANTILLA!AB22</f>
        <v>15.02</v>
      </c>
      <c r="P20" s="163">
        <f>PLANTILLA!AC22</f>
        <v>10</v>
      </c>
      <c r="Q20" s="163">
        <f>PLANTILLA!AD22</f>
        <v>10</v>
      </c>
      <c r="R20" s="163">
        <f t="shared" si="2"/>
        <v>4.5075000000000003</v>
      </c>
      <c r="S20" s="163">
        <f t="shared" si="3"/>
        <v>20.824104467926084</v>
      </c>
      <c r="T20" s="163">
        <f t="shared" si="4"/>
        <v>0.8</v>
      </c>
      <c r="U20" s="163">
        <f t="shared" si="5"/>
        <v>0.42080000000000001</v>
      </c>
      <c r="V20" s="163">
        <f t="shared" ca="1" si="6"/>
        <v>11.44460453583352</v>
      </c>
      <c r="W20" s="163">
        <f t="shared" ca="1" si="7"/>
        <v>12.352752872278661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2.1478848172595728</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7">
        <f>PLANTILLA!E23</f>
        <v>27</v>
      </c>
      <c r="C21" s="487">
        <f ca="1">PLANTILLA!F23</f>
        <v>70</v>
      </c>
      <c r="D21" s="487"/>
      <c r="E21" s="290">
        <v>41973</v>
      </c>
      <c r="F21" s="341">
        <f>PLANTILLA!Q23</f>
        <v>6</v>
      </c>
      <c r="G21" s="406">
        <f t="shared" si="78"/>
        <v>0.92582009977255142</v>
      </c>
      <c r="H21" s="406">
        <f t="shared" si="75"/>
        <v>0.99928545900129484</v>
      </c>
      <c r="I21" s="496">
        <v>1.5</v>
      </c>
      <c r="J21" s="497">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0.3088516316886793</v>
      </c>
      <c r="M29" s="47">
        <f>(L25-M27)/M27</f>
        <v>0.32190517849548683</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67</v>
      </c>
      <c r="E3" s="632"/>
      <c r="F3" s="290">
        <v>42468</v>
      </c>
      <c r="G3" s="496">
        <v>1</v>
      </c>
      <c r="H3" s="497">
        <f>PLANTILLA!I5</f>
        <v>18.5</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v>
      </c>
      <c r="Q3" s="163">
        <f>((2*(N3+1))+(K3+1))/8</f>
        <v>2.1450699300699307</v>
      </c>
      <c r="R3" s="163">
        <f>1.66*(O3+(LOG(H3)*4/3)+G3)+0.55*(P3+(LOG(H3)*4/3)+G3)-7.6</f>
        <v>8.4772549152497678</v>
      </c>
      <c r="S3" s="163">
        <f>(0.5*O3+ 0.3*P3)/10</f>
        <v>0.54702777777777778</v>
      </c>
      <c r="T3" s="163">
        <f>(0.4*K3+0.3*P3)/10</f>
        <v>1.0232223776223777</v>
      </c>
      <c r="U3" s="163">
        <f t="shared" ref="U3:U22" ca="1" si="0">IF(TODAY()-F3&gt;335,(P3+1+(LOG(H3)*4/3)),(P3+((TODAY()-F3)^0.5)/(336^0.5)+(LOG(H3)*4/3)))</f>
        <v>20.68956230453735</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3.4551569048577377</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2">
        <f>PLANTILLA!E6</f>
        <v>34</v>
      </c>
      <c r="D4" s="632">
        <f ca="1">PLANTILLA!F6</f>
        <v>76</v>
      </c>
      <c r="E4" s="632" t="str">
        <f>PLANTILLA!G6</f>
        <v>CAB</v>
      </c>
      <c r="F4" s="290">
        <v>41400</v>
      </c>
      <c r="G4" s="496">
        <v>1.5</v>
      </c>
      <c r="H4" s="497">
        <f>PLANTILLA!I6</f>
        <v>7.9</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2">
        <f>PLANTILLA!E8</f>
        <v>32</v>
      </c>
      <c r="D5" s="632">
        <f ca="1">PLANTILLA!F8</f>
        <v>12</v>
      </c>
      <c r="E5" s="632" t="str">
        <f>PLANTILLA!G8</f>
        <v>CAB</v>
      </c>
      <c r="F5" s="290">
        <v>41519</v>
      </c>
      <c r="G5" s="496">
        <v>1.5</v>
      </c>
      <c r="H5" s="497">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13.512675163031838</v>
      </c>
      <c r="S5" s="163">
        <f t="shared" si="59"/>
        <v>0.66729999999999978</v>
      </c>
      <c r="T5" s="163">
        <f t="shared" si="60"/>
        <v>0.91072666666666657</v>
      </c>
      <c r="U5" s="163">
        <f t="shared" ca="1" si="0"/>
        <v>17.762195900818828</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3.0497867154367446</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2">
        <f>PLANTILLA!E9</f>
        <v>31</v>
      </c>
      <c r="D6" s="632">
        <f ca="1">PLANTILLA!F9</f>
        <v>78</v>
      </c>
      <c r="E6" s="632"/>
      <c r="F6" s="290">
        <v>41539</v>
      </c>
      <c r="G6" s="496">
        <v>1.5</v>
      </c>
      <c r="H6" s="497">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16.977777777777774</v>
      </c>
      <c r="Q6" s="163">
        <f t="shared" si="57"/>
        <v>4.3000000000000007</v>
      </c>
      <c r="R6" s="163">
        <f t="shared" si="58"/>
        <v>14.386293676722497</v>
      </c>
      <c r="S6" s="163">
        <f t="shared" si="59"/>
        <v>0.69341666666666646</v>
      </c>
      <c r="T6" s="163">
        <f t="shared" si="60"/>
        <v>0.9973333333333334</v>
      </c>
      <c r="U6" s="163">
        <f t="shared" ca="1" si="0"/>
        <v>19.435673357994087</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3.3292574507850126</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2">
        <f>PLANTILLA!E10</f>
        <v>31</v>
      </c>
      <c r="D7" s="632">
        <f ca="1">PLANTILLA!F10</f>
        <v>63</v>
      </c>
      <c r="E7" s="632"/>
      <c r="F7" s="290">
        <v>41527</v>
      </c>
      <c r="G7" s="496">
        <v>1.5</v>
      </c>
      <c r="H7" s="497">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15.928888888888888</v>
      </c>
      <c r="Q7" s="163">
        <f t="shared" si="57"/>
        <v>4.129999999999999</v>
      </c>
      <c r="R7" s="163">
        <f t="shared" si="58"/>
        <v>15.026114445806689</v>
      </c>
      <c r="S7" s="163">
        <f t="shared" si="59"/>
        <v>0.70886666666666653</v>
      </c>
      <c r="T7" s="163">
        <f t="shared" si="60"/>
        <v>0.95786666666666653</v>
      </c>
      <c r="U7" s="163">
        <f t="shared" ca="1" si="0"/>
        <v>18.232520362607353</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3.1283309005554281</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2">
        <f>PLANTILLA!E11</f>
        <v>27</v>
      </c>
      <c r="D8" s="632">
        <f ca="1">PLANTILLA!F11</f>
        <v>86</v>
      </c>
      <c r="E8" s="632"/>
      <c r="F8" s="290">
        <v>42106</v>
      </c>
      <c r="G8" s="496">
        <v>1.5</v>
      </c>
      <c r="H8" s="497">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10.489705560261799</v>
      </c>
      <c r="S8" s="163">
        <f t="shared" si="59"/>
        <v>0.56291666666666662</v>
      </c>
      <c r="T8" s="163">
        <f t="shared" si="60"/>
        <v>0.78426999999999991</v>
      </c>
      <c r="U8" s="163">
        <f t="shared" ca="1" si="0"/>
        <v>15.256372551149129</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2.6313142160419045</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2">
        <f>PLANTILLA!E7</f>
        <v>30</v>
      </c>
      <c r="D9" s="632">
        <f ca="1">PLANTILLA!F7</f>
        <v>79</v>
      </c>
      <c r="E9" s="632" t="str">
        <f>PLANTILLA!G7</f>
        <v>CAB</v>
      </c>
      <c r="F9" s="290">
        <v>41400</v>
      </c>
      <c r="G9" s="496">
        <v>1</v>
      </c>
      <c r="H9" s="497">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10</v>
      </c>
      <c r="Q9" s="163">
        <f>((2*(N9+1))+(K9+1))/8</f>
        <v>4.5175000000000001</v>
      </c>
      <c r="R9" s="163">
        <f t="shared" si="58"/>
        <v>5.4204510005168611</v>
      </c>
      <c r="S9" s="163">
        <f>(0.5*O9+ 0.3*P9)/10</f>
        <v>0.3571428571428571</v>
      </c>
      <c r="T9" s="163">
        <f>(0.4*K9+0.3*P9)/10</f>
        <v>0.87200000000000022</v>
      </c>
      <c r="U9" s="163">
        <f t="shared" ca="1" si="0"/>
        <v>12.544483322793667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2.0949287149065423</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2">
        <f>PLANTILLA!E12</f>
        <v>31</v>
      </c>
      <c r="D10" s="632">
        <f ca="1">PLANTILLA!F12</f>
        <v>40</v>
      </c>
      <c r="E10" s="632" t="str">
        <f>PLANTILLA!G12</f>
        <v>IMP</v>
      </c>
      <c r="F10" s="290">
        <v>41583</v>
      </c>
      <c r="G10" s="496">
        <v>1.5</v>
      </c>
      <c r="H10" s="497">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17.329999999999998</v>
      </c>
      <c r="Q10" s="163">
        <f t="shared" si="57"/>
        <v>4.6101388888888888</v>
      </c>
      <c r="R10" s="163">
        <f t="shared" si="58"/>
        <v>21.387125206279748</v>
      </c>
      <c r="S10" s="163">
        <f t="shared" si="59"/>
        <v>0.90839999999999999</v>
      </c>
      <c r="T10" s="163">
        <f t="shared" si="60"/>
        <v>1.0023444444444443</v>
      </c>
      <c r="U10" s="163">
        <f t="shared" ca="1" si="0"/>
        <v>19.797160726823414</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3.3896258413795102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2">
        <f>PLANTILLA!E13</f>
        <v>30</v>
      </c>
      <c r="D11" s="632">
        <f ca="1">PLANTILLA!F13</f>
        <v>99</v>
      </c>
      <c r="E11" s="632" t="str">
        <f>PLANTILLA!G13</f>
        <v>TEC</v>
      </c>
      <c r="F11" s="290">
        <v>41722</v>
      </c>
      <c r="G11" s="496">
        <v>1.5</v>
      </c>
      <c r="H11" s="497">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17.568888888888893</v>
      </c>
      <c r="Q11" s="163">
        <f t="shared" si="57"/>
        <v>3.8712878787878782</v>
      </c>
      <c r="R11" s="163">
        <f t="shared" si="58"/>
        <v>17.347047128689297</v>
      </c>
      <c r="S11" s="163">
        <f t="shared" si="59"/>
        <v>0.79731666666666678</v>
      </c>
      <c r="T11" s="163">
        <f t="shared" si="60"/>
        <v>0.81707878787878807</v>
      </c>
      <c r="U11" s="163">
        <f t="shared" ca="1" si="0"/>
        <v>19.924933341287264</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3.4109638679949734</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2">
        <f>PLANTILLA!E14</f>
        <v>27</v>
      </c>
      <c r="D12" s="632">
        <f ca="1">PLANTILLA!F14</f>
        <v>114</v>
      </c>
      <c r="E12" s="632" t="str">
        <f>PLANTILLA!G14</f>
        <v>CAB</v>
      </c>
      <c r="F12" s="290">
        <v>41911</v>
      </c>
      <c r="G12" s="496">
        <v>1.5</v>
      </c>
      <c r="H12" s="497">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15.67</v>
      </c>
      <c r="Q12" s="163">
        <f t="shared" si="57"/>
        <v>3.9799999999999995</v>
      </c>
      <c r="R12" s="163">
        <f t="shared" si="58"/>
        <v>19.556601261147875</v>
      </c>
      <c r="S12" s="163">
        <f t="shared" si="59"/>
        <v>0.84393333333333342</v>
      </c>
      <c r="T12" s="163">
        <f t="shared" si="60"/>
        <v>0.80449999999999977</v>
      </c>
      <c r="U12" s="163">
        <f t="shared" ca="1" si="0"/>
        <v>17.942323345919103</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3.0798679987684903</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2">
        <f>PLANTILLA!E15</f>
        <v>29</v>
      </c>
      <c r="D13" s="632">
        <f ca="1">PLANTILLA!F15</f>
        <v>111</v>
      </c>
      <c r="E13" s="632" t="str">
        <f>PLANTILLA!G15</f>
        <v>TEC</v>
      </c>
      <c r="F13" s="290">
        <v>41747</v>
      </c>
      <c r="G13" s="496">
        <v>1.5</v>
      </c>
      <c r="H13" s="497">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15.588888888888887</v>
      </c>
      <c r="Q13" s="163">
        <f t="shared" si="57"/>
        <v>3.956291666666667</v>
      </c>
      <c r="R13" s="163">
        <f t="shared" si="58"/>
        <v>15.683290888390433</v>
      </c>
      <c r="S13" s="163">
        <f t="shared" si="59"/>
        <v>0.71914999999999984</v>
      </c>
      <c r="T13" s="163">
        <f t="shared" si="60"/>
        <v>0.83981333333333319</v>
      </c>
      <c r="U13" s="163">
        <f t="shared" ca="1" si="0"/>
        <v>17.966787229538156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3.0839534673328721</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2">
        <f>PLANTILLA!E16</f>
        <v>32</v>
      </c>
      <c r="D14" s="632">
        <f ca="1">PLANTILLA!F16</f>
        <v>33</v>
      </c>
      <c r="E14" s="632" t="str">
        <f>PLANTILLA!G16</f>
        <v>TEC</v>
      </c>
      <c r="F14" s="290">
        <v>41653</v>
      </c>
      <c r="G14" s="496">
        <v>1.5</v>
      </c>
      <c r="H14" s="497">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16.944444444444439</v>
      </c>
      <c r="Q14" s="163">
        <f t="shared" si="57"/>
        <v>3.9759444444444449</v>
      </c>
      <c r="R14" s="163">
        <f t="shared" si="58"/>
        <v>15.441515591242252</v>
      </c>
      <c r="S14" s="163">
        <f t="shared" si="59"/>
        <v>0.72833333333333317</v>
      </c>
      <c r="T14" s="163">
        <f t="shared" si="60"/>
        <v>0.8534355555555555</v>
      </c>
      <c r="U14" s="163">
        <f t="shared" ca="1" si="0"/>
        <v>19.348549035755667</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3.3147076889711964</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2">
        <f>PLANTILLA!E17</f>
        <v>31</v>
      </c>
      <c r="D15" s="632">
        <f ca="1">PLANTILLA!F17</f>
        <v>27</v>
      </c>
      <c r="E15" s="632"/>
      <c r="F15" s="290">
        <v>41552</v>
      </c>
      <c r="G15" s="496">
        <v>1.5</v>
      </c>
      <c r="H15" s="497">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17.259999999999998</v>
      </c>
      <c r="Q15" s="163">
        <f t="shared" si="57"/>
        <v>4.0037499999999993</v>
      </c>
      <c r="R15" s="163">
        <f t="shared" si="58"/>
        <v>13.008596421738931</v>
      </c>
      <c r="S15" s="163">
        <f t="shared" si="59"/>
        <v>0.66679999999999995</v>
      </c>
      <c r="T15" s="163">
        <f t="shared" si="60"/>
        <v>0.93979999999999964</v>
      </c>
      <c r="U15" s="163">
        <f t="shared" ca="1" si="0"/>
        <v>19.551310598071911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3.3485688698780094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2">
        <f>PLANTILLA!E18</f>
        <v>30</v>
      </c>
      <c r="D16" s="632">
        <f ca="1">PLANTILLA!F18</f>
        <v>114</v>
      </c>
      <c r="E16" s="632"/>
      <c r="F16" s="290">
        <v>41686</v>
      </c>
      <c r="G16" s="496">
        <v>1.5</v>
      </c>
      <c r="H16" s="497">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16.47</v>
      </c>
      <c r="Q16" s="163">
        <f t="shared" si="57"/>
        <v>3.3430555555555568</v>
      </c>
      <c r="R16" s="163">
        <f t="shared" si="58"/>
        <v>19.803140373912903</v>
      </c>
      <c r="S16" s="163">
        <f t="shared" si="59"/>
        <v>0.86569444444444454</v>
      </c>
      <c r="T16" s="163">
        <f t="shared" si="60"/>
        <v>0.71267777777777774</v>
      </c>
      <c r="U16" s="163">
        <f t="shared" ca="1" si="0"/>
        <v>18.688418469844954</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3.2044658844641076</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2">
        <f>PLANTILLA!E19</f>
        <v>29</v>
      </c>
      <c r="D17" s="632">
        <f ca="1">PLANTILLA!F19</f>
        <v>64</v>
      </c>
      <c r="E17" s="632"/>
      <c r="F17" s="290">
        <v>41737</v>
      </c>
      <c r="G17" s="496">
        <v>1.5</v>
      </c>
      <c r="H17" s="497">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12.65</v>
      </c>
      <c r="Q17" s="163">
        <f t="shared" si="57"/>
        <v>3.3981111111111098</v>
      </c>
      <c r="R17" s="163">
        <f t="shared" si="58"/>
        <v>10.325921218890842</v>
      </c>
      <c r="S17" s="163">
        <f t="shared" si="59"/>
        <v>0.5565888888888888</v>
      </c>
      <c r="T17" s="163">
        <f t="shared" si="60"/>
        <v>0.60556222222222211</v>
      </c>
      <c r="U17" s="163">
        <f t="shared" ca="1" si="0"/>
        <v>14.452746655103951</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2.4971086914023601</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29</v>
      </c>
      <c r="E19" s="668" t="str">
        <f>PLANTILLA!G20</f>
        <v>CAB</v>
      </c>
      <c r="F19" s="290">
        <v>43060</v>
      </c>
      <c r="G19" s="496">
        <v>2.5</v>
      </c>
      <c r="H19" s="497">
        <f>PLANTILLA!I20</f>
        <v>9</v>
      </c>
      <c r="I19" s="341"/>
      <c r="J19" s="163">
        <f>PLANTILLA!X20</f>
        <v>0</v>
      </c>
      <c r="K19" s="163">
        <f>PLANTILLA!Y20</f>
        <v>3</v>
      </c>
      <c r="L19" s="163">
        <f>PLANTILLA!Z20</f>
        <v>15.07</v>
      </c>
      <c r="M19" s="163">
        <f>PLANTILLA!AA20</f>
        <v>12.02</v>
      </c>
      <c r="N19" s="163">
        <f>PLANTILLA!AB20</f>
        <v>12</v>
      </c>
      <c r="O19" s="163">
        <f>PLANTILLA!AC20</f>
        <v>8</v>
      </c>
      <c r="P19" s="163">
        <f>PLANTILLA!AD20</f>
        <v>4</v>
      </c>
      <c r="Q19" s="163">
        <f t="shared" ref="Q19" si="71">((2*(N19+1))+(K19+1))/8</f>
        <v>3.75</v>
      </c>
      <c r="R19" s="163">
        <f t="shared" ref="R19" si="72">1.66*(O19+(LOG(H19)*4/3)+G19)+0.55*(P19+(LOG(H19)*4/3)+G19)-7.6</f>
        <v>16.216834594481213</v>
      </c>
      <c r="S19" s="163">
        <f t="shared" ref="S19" si="73">(0.5*O19+ 0.3*P19)/10</f>
        <v>0.52</v>
      </c>
      <c r="T19" s="163">
        <f t="shared" ref="T19" si="74">(0.4*K19+0.3*P19)/10</f>
        <v>0.24000000000000005</v>
      </c>
      <c r="U19" s="163">
        <f t="shared" ref="U19" ca="1" si="75">IF(TODAY()-F19&gt;335,(P19+1+(LOG(H19)*4/3)),(P19+((TODAY()-F19)^0.5)/(336^0.5)+(LOG(H19)*4/3)))</f>
        <v>5.7752907310209478</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1.2979779987684896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2">
        <f>PLANTILLA!E21</f>
        <v>30</v>
      </c>
      <c r="D20" s="632">
        <f ca="1">PLANTILLA!F21</f>
        <v>39</v>
      </c>
      <c r="E20" s="632" t="str">
        <f>PLANTILLA!G21</f>
        <v>RAP</v>
      </c>
      <c r="F20" s="290">
        <v>41664</v>
      </c>
      <c r="G20" s="496">
        <v>1.5</v>
      </c>
      <c r="H20" s="497">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18.889999999999993</v>
      </c>
      <c r="Q20" s="163">
        <f t="shared" si="57"/>
        <v>3.6522023809523816</v>
      </c>
      <c r="R20" s="163">
        <f t="shared" si="58"/>
        <v>23.302743688797904</v>
      </c>
      <c r="S20" s="163">
        <f t="shared" si="59"/>
        <v>0.99482499999999985</v>
      </c>
      <c r="T20" s="163">
        <f t="shared" si="60"/>
        <v>0.84020476190476179</v>
      </c>
      <c r="U20" s="163">
        <f t="shared" ca="1" si="0"/>
        <v>21.240449632940223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3.6306550887010176</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2">
        <f>PLANTILLA!E22</f>
        <v>30</v>
      </c>
      <c r="D21" s="632">
        <f ca="1">PLANTILLA!F22</f>
        <v>108</v>
      </c>
      <c r="E21" s="632" t="str">
        <f>PLANTILLA!G22</f>
        <v>TEC</v>
      </c>
      <c r="F21" s="290">
        <v>41890</v>
      </c>
      <c r="G21" s="496">
        <v>1</v>
      </c>
      <c r="H21" s="497">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10</v>
      </c>
      <c r="Q21" s="163">
        <f t="shared" si="57"/>
        <v>4.5075000000000003</v>
      </c>
      <c r="R21" s="163">
        <f t="shared" si="58"/>
        <v>19.71910446792608</v>
      </c>
      <c r="S21" s="163">
        <f t="shared" si="59"/>
        <v>0.8</v>
      </c>
      <c r="T21" s="163">
        <f t="shared" si="60"/>
        <v>0.42080000000000001</v>
      </c>
      <c r="U21" s="163">
        <f t="shared" ca="1" si="0"/>
        <v>12.36158573209325</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2.0643848172595729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2">
        <f>PLANTILLA!E23</f>
        <v>27</v>
      </c>
      <c r="D22" s="632">
        <f ca="1">PLANTILLA!F23</f>
        <v>70</v>
      </c>
      <c r="E22" s="632"/>
      <c r="F22" s="290">
        <v>41973</v>
      </c>
      <c r="G22" s="496">
        <v>1.5</v>
      </c>
      <c r="H22" s="497">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2018-02-14T17:08:03Z</dcterms:modified>
</cp:coreProperties>
</file>