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2D414493-1417-4A4C-8D7E-E8F098555F33}" xr6:coauthVersionLast="33" xr6:coauthVersionMax="33" xr10:uidLastSave="{00000000-0000-0000-0000-000000000000}"/>
  <bookViews>
    <workbookView xWindow="1680" yWindow="300" windowWidth="14880" windowHeight="7815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Calculadora_Tactica" sheetId="83" r:id="rId8"/>
    <sheet name="Capitan" sheetId="76" r:id="rId9"/>
    <sheet name="Entrenador" sheetId="85" r:id="rId10"/>
    <sheet name="Entrenamiento" sheetId="86" r:id="rId11"/>
    <sheet name="Resumen_Rend" sheetId="96" r:id="rId12"/>
    <sheet name="352" sheetId="105" r:id="rId13"/>
    <sheet name="541" sheetId="106" r:id="rId14"/>
    <sheet name="DEF" sheetId="108" r:id="rId15"/>
    <sheet name="JUG" sheetId="107" r:id="rId16"/>
    <sheet name="PAS" sheetId="110" r:id="rId17"/>
    <sheet name="LAT" sheetId="111" r:id="rId18"/>
    <sheet name="El Desierto de Tattoine" sheetId="3" r:id="rId19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L46" i="49" l="1"/>
  <c r="AA28" i="118" l="1"/>
  <c r="AA30" i="118"/>
  <c r="AA29" i="118"/>
  <c r="AA27" i="118"/>
  <c r="W32" i="118"/>
  <c r="W31" i="118"/>
  <c r="W28" i="118"/>
  <c r="W24" i="118"/>
  <c r="W23" i="118"/>
  <c r="W22" i="118"/>
  <c r="T31" i="118"/>
  <c r="T30" i="118"/>
  <c r="T29" i="118"/>
  <c r="T27" i="118"/>
  <c r="O21" i="118"/>
  <c r="O28" i="118"/>
  <c r="O29" i="118"/>
  <c r="O30" i="118"/>
  <c r="O31" i="118"/>
  <c r="O32" i="118"/>
  <c r="O27" i="118"/>
  <c r="N21" i="118"/>
  <c r="AC15" i="118"/>
  <c r="AC14" i="118"/>
  <c r="AC13" i="118"/>
  <c r="AC12" i="118"/>
  <c r="AC10" i="118"/>
  <c r="AC11" i="118"/>
  <c r="T15" i="118" l="1"/>
  <c r="T13" i="118"/>
  <c r="T12" i="118"/>
  <c r="T11" i="118"/>
  <c r="E11" i="118"/>
  <c r="E12" i="118"/>
  <c r="E13" i="118"/>
  <c r="E14" i="118"/>
  <c r="T14" i="118" s="1"/>
  <c r="E15" i="118"/>
  <c r="E10" i="118"/>
  <c r="T10" i="118" s="1"/>
  <c r="Z11" i="32" l="1"/>
  <c r="Z13" i="32"/>
  <c r="Z15" i="32"/>
  <c r="Z12" i="32"/>
  <c r="Z16" i="32"/>
  <c r="Z14" i="32"/>
  <c r="Z17" i="32"/>
  <c r="Z18" i="32"/>
  <c r="Z20" i="32"/>
  <c r="W12" i="116" l="1"/>
  <c r="T21" i="118" l="1"/>
  <c r="T32" i="118" l="1"/>
  <c r="T23" i="118"/>
  <c r="T24" i="118"/>
  <c r="T22" i="118"/>
  <c r="N23" i="118"/>
  <c r="N24" i="118"/>
  <c r="N22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E32" i="118"/>
  <c r="E28" i="118"/>
  <c r="T28" i="118" s="1"/>
  <c r="E29" i="118"/>
  <c r="E30" i="118"/>
  <c r="E27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N27" i="118"/>
  <c r="AD10" i="118"/>
  <c r="AD11" i="118"/>
  <c r="AD12" i="118"/>
  <c r="AD13" i="118"/>
  <c r="N31" i="118"/>
  <c r="AD14" i="118"/>
  <c r="N32" i="118"/>
  <c r="AD15" i="118"/>
  <c r="AA10" i="118"/>
  <c r="AA11" i="118"/>
  <c r="AA12" i="118"/>
  <c r="AA13" i="118"/>
  <c r="AA14" i="118"/>
  <c r="AA15" i="118"/>
  <c r="L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R16" i="118"/>
  <c r="S15" i="118"/>
  <c r="R15" i="118"/>
  <c r="N15" i="118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I31" i="118"/>
  <c r="X31" i="118" s="1"/>
  <c r="R14" i="118"/>
  <c r="N14" i="118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S13" i="118"/>
  <c r="R13" i="118"/>
  <c r="N13" i="118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Z12" i="118"/>
  <c r="K29" i="118" s="1"/>
  <c r="Z29" i="118" s="1"/>
  <c r="S12" i="118"/>
  <c r="R12" i="118"/>
  <c r="N12" i="118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R11" i="118"/>
  <c r="N11" i="118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AG25" i="118" l="1"/>
  <c r="U21" i="118"/>
  <c r="U24" i="118"/>
  <c r="U23" i="118"/>
  <c r="U22" i="118"/>
  <c r="V33" i="118"/>
  <c r="AC19" i="118"/>
  <c r="AC2" i="118"/>
  <c r="S14" i="118"/>
  <c r="AD5" i="118"/>
  <c r="AD19" i="118"/>
  <c r="O2" i="118"/>
  <c r="N28" i="118"/>
  <c r="S10" i="118"/>
  <c r="S11" i="118"/>
  <c r="N29" i="118"/>
  <c r="AD23" i="118"/>
  <c r="BI21" i="32"/>
  <c r="O19" i="118" l="1"/>
  <c r="N19" i="118"/>
  <c r="AD2" i="118"/>
  <c r="F28" i="116" l="1"/>
  <c r="F27" i="116"/>
  <c r="F26" i="116"/>
  <c r="H13" i="117" l="1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5" i="116" l="1"/>
  <c r="F24" i="116"/>
  <c r="F23" i="116"/>
  <c r="F22" i="116"/>
  <c r="F21" i="116"/>
  <c r="R6" i="117" l="1"/>
  <c r="Q6" i="117" l="1"/>
  <c r="W20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X7" i="117" s="1"/>
  <c r="Y7" i="117" s="1"/>
  <c r="Z7" i="117" s="1"/>
  <c r="AA7" i="117" s="1"/>
  <c r="AB7" i="117" s="1"/>
  <c r="AC7" i="117" s="1"/>
  <c r="AD7" i="117" s="1"/>
  <c r="W21" i="116" l="1"/>
  <c r="W22" i="116"/>
  <c r="W23" i="116"/>
  <c r="W24" i="116"/>
  <c r="W25" i="116"/>
  <c r="W26" i="116"/>
  <c r="W27" i="116"/>
  <c r="W28" i="116"/>
  <c r="W18" i="116"/>
  <c r="W6" i="116"/>
  <c r="W8" i="116"/>
  <c r="W29" i="116"/>
  <c r="W19" i="116"/>
  <c r="W17" i="116"/>
  <c r="W7" i="116"/>
  <c r="W16" i="116"/>
  <c r="E19" i="117" l="1"/>
  <c r="E18" i="117"/>
  <c r="O20" i="117"/>
  <c r="P17" i="32"/>
  <c r="U20" i="32" l="1"/>
  <c r="U17" i="32" l="1"/>
  <c r="O6" i="117" l="1"/>
  <c r="T15" i="117" l="1"/>
  <c r="U15" i="117" s="1"/>
  <c r="V15" i="117" s="1"/>
  <c r="W15" i="117" s="1"/>
  <c r="X15" i="117" s="1"/>
  <c r="Y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H14" i="117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Y20" i="117" s="1"/>
  <c r="Z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U10" i="117"/>
  <c r="V10" i="117" s="1"/>
  <c r="W10" i="117" s="1"/>
  <c r="X10" i="117" s="1"/>
  <c r="Y10" i="117" s="1"/>
  <c r="Z10" i="117" s="1"/>
  <c r="AA10" i="117" s="1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T22" i="117" s="1"/>
  <c r="U22" i="117" s="1"/>
  <c r="V22" i="117" s="1"/>
  <c r="W22" i="117" s="1"/>
  <c r="X22" i="117" s="1"/>
  <c r="Y22" i="117" s="1"/>
  <c r="Z22" i="117" s="1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E17" i="116" l="1"/>
  <c r="E12" i="116"/>
  <c r="C12" i="116"/>
  <c r="C25" i="116"/>
  <c r="C17" i="116"/>
  <c r="C8" i="116"/>
  <c r="AF109" i="116"/>
  <c r="C7" i="116"/>
  <c r="C28" i="116"/>
  <c r="C20" i="116"/>
  <c r="C24" i="116"/>
  <c r="C26" i="116"/>
  <c r="C23" i="116"/>
  <c r="Y9" i="83"/>
  <c r="C22" i="116"/>
  <c r="C6" i="116"/>
  <c r="E20" i="116"/>
  <c r="W8" i="83"/>
  <c r="Y12" i="83"/>
  <c r="C21" i="116"/>
  <c r="C16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6" i="116"/>
  <c r="E29" i="116"/>
  <c r="E8" i="116"/>
  <c r="E7" i="116"/>
  <c r="E16" i="116"/>
  <c r="C18" i="116"/>
  <c r="C27" i="116"/>
  <c r="C19" i="116"/>
  <c r="C29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T3" i="117" s="1"/>
  <c r="U3" i="117" s="1"/>
  <c r="V3" i="117" s="1"/>
  <c r="W3" i="117" s="1"/>
  <c r="X3" i="117" s="1"/>
  <c r="Y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s="1"/>
  <c r="AB14" i="117" l="1"/>
  <c r="AD18" i="117"/>
  <c r="AC25" i="117"/>
  <c r="Z26" i="117"/>
  <c r="AA5" i="117" s="1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X4" i="32"/>
  <c r="B27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8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21" i="32" s="1"/>
  <c r="F23" i="32" l="1"/>
  <c r="E25" i="86" s="1"/>
  <c r="F9" i="32"/>
  <c r="F15" i="32"/>
  <c r="F22" i="32"/>
  <c r="E24" i="86" s="1"/>
  <c r="F11" i="32"/>
  <c r="F10" i="118" s="1"/>
  <c r="U10" i="118" s="1"/>
  <c r="F27" i="118" s="1"/>
  <c r="U27" i="118" s="1"/>
  <c r="F13" i="32"/>
  <c r="F12" i="118" s="1"/>
  <c r="F14" i="32"/>
  <c r="F13" i="118" s="1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1" i="118" s="1"/>
  <c r="F19" i="32"/>
  <c r="F5" i="32"/>
  <c r="F6" i="32"/>
  <c r="F16" i="32"/>
  <c r="F15" i="118" s="1"/>
  <c r="E23" i="86"/>
  <c r="F7" i="32"/>
  <c r="D15" i="111"/>
  <c r="U15" i="118" l="1"/>
  <c r="F32" i="118" s="1"/>
  <c r="U32" i="118" s="1"/>
  <c r="U13" i="118"/>
  <c r="F30" i="118" s="1"/>
  <c r="U30" i="118" s="1"/>
  <c r="U12" i="118"/>
  <c r="F29" i="118" s="1"/>
  <c r="U29" i="118" s="1"/>
  <c r="U11" i="118"/>
  <c r="F28" i="118" s="1"/>
  <c r="U28" i="118" s="1"/>
  <c r="E21" i="86"/>
  <c r="Q21" i="86" s="1"/>
  <c r="F14" i="118"/>
  <c r="U14" i="118" s="1"/>
  <c r="F31" i="118" s="1"/>
  <c r="U31" i="118" s="1"/>
  <c r="E17" i="86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<sst xmlns="http://schemas.openxmlformats.org/spreadsheetml/2006/main" count="2166" uniqueCount="673">
  <si>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</si>
  <si>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</si>
  <si>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</si>
  <si>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</si>
  <si>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</si>
  <si>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</si>
  <si>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</si>
  <si>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</si>
  <si>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</si>
  <si>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</si>
  <si>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</si>
  <si>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</si>
  <si>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</si>
  <si>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</si>
  <si>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</si>
  <si>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</si>
  <si>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</si>
  <si>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</si>
  <si>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</si>
  <si>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</si>
  <si>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</si>
  <si>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</si>
  <si>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</si>
  <si>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</si>
  <si>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</si>
  <si>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</si>
  <si>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</si>
  <si>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</si>
  <si>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</si>
  <si>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</si>
  <si>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</si>
  <si>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</si>
  <si>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</si>
  <si>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</si>
  <si>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</si>
  <si>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</si>
  <si>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</si>
  <si>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</si>
  <si>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</si>
  <si>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</si>
  <si>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</si>
  <si>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</si>
  <si>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</si>
  <si>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</si>
  <si>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</si>
  <si>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</si>
  <si>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</si>
  <si>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</si>
  <si>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</si>
  <si>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</si>
  <si>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</si>
  <si>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</si>
  <si>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</si>
  <si>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</si>
  <si>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</si>
  <si>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</si>
  <si>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</si>
  <si>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</si>
  <si>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</si>
  <si>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</si>
  <si>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</si>
  <si>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</si>
  <si>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</si>
  <si>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</si>
  <si>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</si>
  <si>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</si>
  <si>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</si>
  <si>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</si>
  <si>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</si>
  <si>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</si>
  <si>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</si>
  <si>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</si>
  <si>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</si>
  <si>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</si>
  <si>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</si>
  <si>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</si>
  <si>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</si>
  <si>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</si>
  <si>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</si>
  <si>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</si>
  <si>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</si>
  <si>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</si>
  <si>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</si>
  <si>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</si>
  <si>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</si>
  <si>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</si>
  <si>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</si>
  <si>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</si>
  <si>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</si>
  <si>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</si>
  <si>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</si>
  <si>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</si>
  <si>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</si>
  <si>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</si>
  <si>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</si>
  <si>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</si>
  <si>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</si>
  <si>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</si>
  <si>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</si>
  <si>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</si>
  <si>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</si>
  <si>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</si>
  <si>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</si>
  <si>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</si>
  <si>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</si>
  <si>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</si>
  <si>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</si>
  <si>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</si>
  <si>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</si>
  <si>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</si>
  <si>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</si>
  <si>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</si>
  <si>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</si>
  <si>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</si>
  <si>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</si>
  <si>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</si>
  <si>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</si>
  <si>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</si>
  <si>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</si>
  <si>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</si>
  <si>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</si>
  <si>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</si>
  <si>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</si>
  <si>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</si>
  <si>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</si>
  <si>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</si>
  <si>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</si>
  <si>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</si>
  <si>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</si>
  <si>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</si>
  <si>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</si>
  <si>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</si>
  <si>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</si>
  <si>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</si>
  <si>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</si>
  <si>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</si>
  <si>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</si>
  <si>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</si>
  <si>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</si>
  <si>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</si>
  <si>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</si>
  <si>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</si>
  <si>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</si>
  <si>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</si>
  <si>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</si>
  <si>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</si>
  <si>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</si>
  <si>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</si>
  <si>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</si>
  <si>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</si>
  <si>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</si>
  <si>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</si>
  <si>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</si>
  <si>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</si>
  <si>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</si>
  <si>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</si>
  <si>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</si>
  <si>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</si>
  <si>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</si>
  <si>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</si>
  <si>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</si>
  <si>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</si>
  <si>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</si>
  <si>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</si>
  <si>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</si>
  <si>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</si>
  <si>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</si>
  <si>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</si>
  <si>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</si>
  <si>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</si>
  <si>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</si>
  <si>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</si>
  <si>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</si>
  <si>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</si>
  <si>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</si>
  <si>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</si>
  <si>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</si>
  <si>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</si>
  <si>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</si>
  <si>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</si>
  <si>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</si>
  <si>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</si>
  <si>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</si>
  <si>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</si>
  <si>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</si>
  <si>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</si>
  <si>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</si>
  <si>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</si>
  <si>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</si>
  <si>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</si>
  <si>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</si>
  <si>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</si>
  <si>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</si>
  <si>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</si>
  <si>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</si>
  <si>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</si>
  <si>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</si>
  <si>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</si>
  <si>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</si>
  <si>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</si>
  <si>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</si>
  <si>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</si>
  <si>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</si>
  <si>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</si>
  <si>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</si>
  <si>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</si>
  <si>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</si>
  <si>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</si>
  <si>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</si>
  <si>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</si>
  <si>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</si>
  <si>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</si>
  <si>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</si>
  <si>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</si>
  <si>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</si>
  <si>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</si>
  <si>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</si>
  <si>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</si>
  <si>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</si>
  <si>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</si>
  <si>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</si>
  <si>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</si>
  <si>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</si>
  <si>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</si>
  <si>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</si>
  <si>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</si>
  <si>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</si>
  <si>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</si>
  <si>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</si>
  <si>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</si>
  <si>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</si>
  <si>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</si>
  <si>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</si>
  <si>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</si>
  <si>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</si>
  <si>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</si>
  <si>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</si>
  <si>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</si>
  <si>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</si>
  <si>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</si>
  <si>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</si>
  <si>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</si>
  <si>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</si>
  <si>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</si>
  <si>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</si>
  <si>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</si>
  <si>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</si>
  <si>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</si>
  <si>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</si>
  <si>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</si>
  <si>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</si>
  <si>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</si>
  <si>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</si>
  <si>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</si>
  <si>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</si>
  <si>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</si>
  <si>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</si>
  <si>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</si>
  <si>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</si>
  <si>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</si>
  <si>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</si>
  <si>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</si>
  <si>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</si>
  <si>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</si>
  <si>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</si>
  <si>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</si>
  <si>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</si>
  <si>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</si>
  <si>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</si>
  <si>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</si>
  <si>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</si>
  <si>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</si>
  <si>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</si>
  <si>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</si>
  <si>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</si>
  <si>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</si>
  <si>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</si>
  <si>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</si>
  <si>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</si>
  <si>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</si>
  <si>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</si>
  <si>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</si>
  <si>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</si>
  <si>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</si>
  <si>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</si>
  <si>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</si>
  <si>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</si>
  <si>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</si>
  <si>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</si>
  <si>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</si>
  <si>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</si>
  <si>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</si>
  <si>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</si>
  <si>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</si>
  <si>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</si>
  <si>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</si>
  <si>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</si>
  <si>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</si>
  <si>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</si>
  <si>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</si>
  <si>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</si>
  <si>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</si>
  <si>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</si>
  <si>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</si>
  <si>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</si>
  <si>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</si>
  <si>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</si>
  <si>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</si>
  <si>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</si>
  <si>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</si>
  <si>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</si>
  <si>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</si>
  <si>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</si>
  <si>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</si>
  <si>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</si>
  <si>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</si>
  <si>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</si>
  <si>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</si>
  <si>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</si>
  <si>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</si>
  <si>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</si>
  <si>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</si>
  <si>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</si>
  <si>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</si>
  <si>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</si>
  <si>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</si>
  <si>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</si>
  <si>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</si>
  <si>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</si>
  <si>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</si>
  <si>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</si>
  <si>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</si>
  <si>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</si>
  <si>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</si>
  <si>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</si>
  <si>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</si>
  <si>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</si>
  <si>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</si>
  <si>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</si>
  <si>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</si>
  <si>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</si>
  <si>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</si>
  <si>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</si>
  <si>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</si>
  <si>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</si>
  <si>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</si>
  <si>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</si>
  <si>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</si>
  <si>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</si>
  <si>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</si>
  <si>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</si>
  <si>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</si>
  <si>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</si>
  <si>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</si>
  <si>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</si>
  <si>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</si>
  <si>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</si>
  <si>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</si>
  <si>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</si>
  <si>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</si>
  <si>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</si>
  <si>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</si>
  <si>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</si>
  <si>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</si>
  <si>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</si>
  <si>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</si>
  <si>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</si>
  <si>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</si>
  <si>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</si>
  <si>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</si>
  <si>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</si>
  <si>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</si>
  <si>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</si>
  <si>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</si>
  <si>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</si>
  <si>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</si>
  <si>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</si>
  <si>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</si>
  <si>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</si>
  <si>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</si>
  <si>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</si>
  <si>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</si>
  <si>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</si>
  <si>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</si>
  <si>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</si>
  <si>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</si>
  <si>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</si>
  <si>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</si>
  <si>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</si>
  <si>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</si>
  <si>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</si>
  <si>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</si>
  <si>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</si>
  <si>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</si>
  <si>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</si>
  <si>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</si>
  <si>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</si>
  <si>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</si>
  <si>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</si>
  <si>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</si>
  <si>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</si>
  <si>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</si>
  <si>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</si>
  <si>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</si>
  <si>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</si>
  <si>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</si>
  <si>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</si>
  <si>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</si>
  <si>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</si>
  <si>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</si>
  <si>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</si>
  <si>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</si>
  <si>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</si>
  <si>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</si>
  <si>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</si>
  <si>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</si>
  <si>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</si>
  <si>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</si>
  <si>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</si>
  <si>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</si>
  <si>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</si>
  <si>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J. Vartiainen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</si>
  <si>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</si>
  <si>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</si>
  <si>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</si>
  <si>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</si>
  <si>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</si>
  <si>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</si>
  <si>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</si>
  <si>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</si>
  <si>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</si>
  <si>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</si>
  <si>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</si>
  <si>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</si>
  <si>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</si>
  <si>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</si>
  <si>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</si>
  <si>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</si>
  <si>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</si>
  <si>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</si>
  <si>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</si>
  <si>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</si>
  <si>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</si>
  <si>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</si>
  <si>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</si>
  <si>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</si>
  <si>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</si>
  <si>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</si>
  <si>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</si>
  <si>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</si>
  <si>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</si>
  <si>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</si>
  <si>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</si>
  <si>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</si>
  <si>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</si>
  <si>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</si>
  <si>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</si>
  <si>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</si>
  <si>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</si>
  <si>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</si>
  <si>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</si>
  <si>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</si>
  <si>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</si>
  <si>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</si>
  <si>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</si>
  <si>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</si>
  <si>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</si>
  <si>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</si>
  <si>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</si>
  <si>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</si>
  <si>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</si>
  <si>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</si>
  <si>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</si>
  <si>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</si>
  <si>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</si>
  <si>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</si>
  <si>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</si>
  <si>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</si>
  <si>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</si>
  <si>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</si>
  <si>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</si>
  <si>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</si>
  <si>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</si>
  <si>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</si>
  <si>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</si>
  <si>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</si>
  <si>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</si>
  <si>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</si>
  <si>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</si>
  <si>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</si>
  <si>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</si>
  <si>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</si>
  <si>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</si>
  <si>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</si>
  <si>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</si>
  <si>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</si>
  <si>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</si>
  <si>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</si>
  <si>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</si>
  <si>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</si>
  <si>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</si>
  <si>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</si>
  <si>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</si>
  <si>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</si>
  <si>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</si>
  <si>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</si>
  <si>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</si>
  <si>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</si>
  <si>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</si>
  <si>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</si>
  <si>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</si>
  <si>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</si>
  <si>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</si>
  <si>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</si>
  <si>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</si>
  <si>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</si>
  <si>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</si>
  <si>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</si>
  <si>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</si>
  <si>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</si>
  <si>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</si>
  <si>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</si>
  <si>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</si>
  <si>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</si>
  <si>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</si>
  <si>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</si>
  <si>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</si>
  <si>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</si>
  <si>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</si>
  <si>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</si>
  <si>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</si>
  <si>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</si>
  <si>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</si>
  <si>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</si>
  <si>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</si>
  <si>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</si>
  <si>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</si>
  <si>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</si>
  <si>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</si>
  <si>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</si>
  <si>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</si>
  <si>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</si>
  <si>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</si>
  <si>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</si>
  <si>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</si>
  <si>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</si>
  <si>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</si>
  <si>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</si>
  <si>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</si>
  <si>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</si>
  <si>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</si>
  <si>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</si>
  <si>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</si>
  <si>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</si>
  <si>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</si>
  <si>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</si>
  <si>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</si>
  <si>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</si>
  <si>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</si>
  <si>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</si>
  <si>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</si>
  <si>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</si>
  <si>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</si>
  <si>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</si>
  <si>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</si>
  <si>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</si>
  <si>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</si>
  <si>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</si>
  <si>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</si>
  <si>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</si>
  <si>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</si>
  <si>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</si>
  <si>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</si>
  <si>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</si>
  <si>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</si>
  <si>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</si>
  <si>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</si>
  <si>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</si>
  <si>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</si>
  <si>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</si>
  <si>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</si>
  <si>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</si>
  <si>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</si>
  <si>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</si>
  <si>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</si>
  <si>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</si>
  <si>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</si>
  <si>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</si>
  <si>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</si>
  <si>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</si>
  <si>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</si>
  <si>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</si>
  <si>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</si>
  <si>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</si>
  <si>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</si>
  <si>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</si>
  <si>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</si>
  <si>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</si>
  <si>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</si>
  <si>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</si>
  <si>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</si>
  <si>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</si>
  <si>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</si>
  <si>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</si>
  <si>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</si>
  <si>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</si>
  <si>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</si>
  <si>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</si>
  <si>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</si>
  <si>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</si>
  <si>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</si>
  <si>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</si>
  <si>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</si>
  <si>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</si>
  <si>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</si>
  <si>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</si>
  <si>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</si>
  <si>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</si>
  <si>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</si>
  <si>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</si>
  <si>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</si>
  <si>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</si>
  <si>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</si>
  <si>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</si>
  <si>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</si>
  <si>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</si>
  <si>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</si>
  <si>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</si>
  <si>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</si>
  <si>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</si>
  <si>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</si>
  <si>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</si>
  <si>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</si>
  <si>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</si>
  <si>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</si>
  <si>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</si>
  <si>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</si>
  <si>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</si>
  <si>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</si>
  <si>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</si>
  <si>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</si>
  <si>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</si>
  <si>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</si>
  <si>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</si>
  <si>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</si>
  <si>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</si>
  <si>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</si>
  <si>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</si>
  <si>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</si>
  <si>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</si>
  <si>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</si>
  <si>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</si>
  <si>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</si>
  <si>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</si>
  <si>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</si>
  <si>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</si>
  <si>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</si>
  <si>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</si>
  <si>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</si>
  <si>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</si>
  <si>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</si>
  <si>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</si>
  <si>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</si>
  <si>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</si>
  <si>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</si>
  <si>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</si>
  <si>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</si>
  <si>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Valério Godoi</t>
  </si>
  <si>
    <t>27(90)</t>
  </si>
  <si>
    <t>Brendon Hackler</t>
  </si>
  <si>
    <t>Coby Shaw</t>
  </si>
  <si>
    <t>CAB/IMP</t>
  </si>
  <si>
    <t>DeAndre O'Grady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</si>
</sst>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0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4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5" borderId="0" xfId="5" applyFill="1" applyBorder="1"/>
    <xf numFmtId="0" fontId="55" fillId="49" borderId="0" xfId="4" applyFont="1" applyFill="1" applyBorder="1" applyAlignment="1">
      <alignment horizontal="left"/>
    </xf>
    <xf numFmtId="0" fontId="55" fillId="49" borderId="0" xfId="4" applyFont="1" applyFill="1" applyBorder="1" applyAlignment="1">
      <alignment horizontal="center"/>
    </xf>
    <xf numFmtId="0" fontId="56" fillId="49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58" fillId="49" borderId="0" xfId="4" applyFont="1" applyFill="1" applyBorder="1" applyAlignment="1">
      <alignment horizontal="center"/>
    </xf>
    <xf numFmtId="0" fontId="59" fillId="49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37" fillId="51" borderId="0" xfId="4" applyFont="1" applyFill="1" applyBorder="1" applyAlignment="1">
      <alignment horizontal="right"/>
    </xf>
    <xf numFmtId="0" fontId="15" fillId="51" borderId="0" xfId="4" applyFill="1" applyAlignment="1">
      <alignment horizontal="right"/>
    </xf>
    <xf numFmtId="0" fontId="23" fillId="51" borderId="0" xfId="4" applyFont="1" applyFill="1" applyBorder="1" applyAlignment="1">
      <alignment horizontal="right"/>
    </xf>
    <xf numFmtId="0" fontId="51" fillId="51" borderId="0" xfId="4" applyFont="1" applyFill="1" applyBorder="1" applyAlignment="1">
      <alignment horizontal="right"/>
    </xf>
    <xf numFmtId="0" fontId="68" fillId="51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2" fontId="65" fillId="46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7" borderId="1" xfId="4" applyNumberFormat="1" applyFont="1" applyFill="1" applyBorder="1" applyAlignment="1">
      <alignment horizontal="center"/>
    </xf>
    <xf numFmtId="2" fontId="65" fillId="48" borderId="1" xfId="4" applyNumberFormat="1" applyFont="1" applyFill="1" applyBorder="1" applyAlignment="1">
      <alignment horizontal="right"/>
    </xf>
    <xf numFmtId="2" fontId="64" fillId="47" borderId="1" xfId="4" applyNumberFormat="1" applyFont="1" applyFill="1" applyBorder="1" applyAlignment="1">
      <alignment horizontal="right"/>
    </xf>
    <xf numFmtId="0" fontId="37" fillId="52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3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3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5" borderId="28" xfId="0" applyFont="1" applyFill="1" applyBorder="1"/>
    <xf numFmtId="175" fontId="81" fillId="55" borderId="28" xfId="0" applyNumberFormat="1" applyFont="1" applyFill="1" applyBorder="1"/>
    <xf numFmtId="175" fontId="81" fillId="55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7" borderId="27" xfId="0" applyFont="1" applyFill="1" applyBorder="1" applyAlignment="1">
      <alignment wrapText="1"/>
    </xf>
    <xf numFmtId="164" fontId="77" fillId="56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8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8" borderId="27" xfId="0" applyNumberFormat="1" applyFont="1" applyFill="1" applyBorder="1"/>
    <xf numFmtId="0" fontId="84" fillId="0" borderId="0" xfId="0" applyFont="1"/>
    <xf numFmtId="0" fontId="77" fillId="59" borderId="27" xfId="0" applyFont="1" applyFill="1" applyBorder="1"/>
    <xf numFmtId="164" fontId="77" fillId="58" borderId="27" xfId="2" applyNumberFormat="1" applyFont="1" applyFill="1" applyBorder="1" applyAlignment="1" applyProtection="1"/>
    <xf numFmtId="0" fontId="81" fillId="55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0" borderId="27" xfId="0" applyFont="1" applyFill="1" applyBorder="1" applyAlignment="1">
      <alignment horizontal="center"/>
    </xf>
    <xf numFmtId="177" fontId="77" fillId="60" borderId="27" xfId="3" applyNumberFormat="1" applyFont="1" applyFill="1" applyBorder="1" applyAlignment="1" applyProtection="1">
      <alignment horizontal="center" wrapText="1"/>
    </xf>
    <xf numFmtId="0" fontId="77" fillId="60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0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0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1" borderId="27" xfId="0" applyFont="1" applyFill="1" applyBorder="1" applyAlignment="1">
      <alignment wrapText="1"/>
    </xf>
    <xf numFmtId="175" fontId="0" fillId="61" borderId="27" xfId="0" applyNumberFormat="1" applyFill="1" applyBorder="1"/>
    <xf numFmtId="175" fontId="0" fillId="61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2" borderId="27" xfId="0" applyNumberFormat="1" applyFont="1" applyFill="1" applyBorder="1" applyAlignment="1">
      <alignment horizontal="center" wrapText="1"/>
    </xf>
    <xf numFmtId="175" fontId="0" fillId="63" borderId="27" xfId="0" applyNumberFormat="1" applyFill="1" applyBorder="1"/>
    <xf numFmtId="175" fontId="84" fillId="63" borderId="27" xfId="0" applyNumberFormat="1" applyFont="1" applyFill="1" applyBorder="1"/>
    <xf numFmtId="0" fontId="77" fillId="63" borderId="27" xfId="0" applyFont="1" applyFill="1" applyBorder="1" applyAlignment="1">
      <alignment wrapText="1"/>
    </xf>
    <xf numFmtId="0" fontId="77" fillId="63" borderId="27" xfId="0" applyFont="1" applyFill="1" applyBorder="1"/>
    <xf numFmtId="0" fontId="84" fillId="63" borderId="27" xfId="0" applyFont="1" applyFill="1" applyBorder="1" applyAlignment="1">
      <alignment wrapText="1"/>
    </xf>
    <xf numFmtId="0" fontId="84" fillId="63" borderId="27" xfId="0" applyFont="1" applyFill="1" applyBorder="1"/>
    <xf numFmtId="0" fontId="86" fillId="61" borderId="27" xfId="0" applyFont="1" applyFill="1" applyBorder="1"/>
    <xf numFmtId="0" fontId="86" fillId="61" borderId="27" xfId="0" applyFont="1" applyFill="1" applyBorder="1" applyAlignment="1">
      <alignment wrapText="1"/>
    </xf>
    <xf numFmtId="175" fontId="86" fillId="61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4" borderId="27" xfId="0" applyNumberFormat="1" applyFont="1" applyFill="1" applyBorder="1"/>
    <xf numFmtId="175" fontId="86" fillId="64" borderId="27" xfId="0" applyNumberFormat="1" applyFont="1" applyFill="1" applyBorder="1"/>
    <xf numFmtId="0" fontId="77" fillId="62" borderId="27" xfId="0" applyFont="1" applyFill="1" applyBorder="1" applyAlignment="1">
      <alignment horizontal="center" wrapText="1"/>
    </xf>
    <xf numFmtId="0" fontId="81" fillId="65" borderId="28" xfId="0" applyFont="1" applyFill="1" applyBorder="1"/>
    <xf numFmtId="175" fontId="81" fillId="65" borderId="28" xfId="0" applyNumberFormat="1" applyFont="1" applyFill="1" applyBorder="1"/>
    <xf numFmtId="175" fontId="81" fillId="65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7" borderId="0" xfId="4" applyNumberFormat="1" applyFont="1" applyFill="1" applyBorder="1" applyAlignment="1">
      <alignment horizontal="center"/>
    </xf>
    <xf numFmtId="2" fontId="63" fillId="47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6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7" borderId="1" xfId="4" applyNumberFormat="1" applyFont="1" applyFill="1" applyBorder="1" applyAlignment="1">
      <alignment horizontal="center"/>
    </xf>
    <xf numFmtId="2" fontId="68" fillId="48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1" borderId="27" xfId="0" applyNumberFormat="1" applyFont="1" applyFill="1" applyBorder="1"/>
    <xf numFmtId="175" fontId="2" fillId="61" borderId="27" xfId="0" applyNumberFormat="1" applyFont="1" applyFill="1" applyBorder="1" applyAlignment="1">
      <alignment horizontal="center"/>
    </xf>
    <xf numFmtId="175" fontId="2" fillId="63" borderId="27" xfId="0" applyNumberFormat="1" applyFont="1" applyFill="1" applyBorder="1"/>
    <xf numFmtId="2" fontId="64" fillId="47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7" borderId="1" xfId="4" applyNumberFormat="1" applyFont="1" applyFill="1" applyBorder="1" applyAlignment="1">
      <alignment horizontal="center"/>
    </xf>
    <xf numFmtId="2" fontId="88" fillId="47" borderId="1" xfId="4" applyNumberFormat="1" applyFont="1" applyFill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9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1" borderId="31" xfId="0" applyFont="1" applyFill="1" applyBorder="1" applyAlignment="1">
      <alignment horizontal="center" vertical="top" wrapText="1"/>
    </xf>
    <xf numFmtId="0" fontId="77" fillId="61" borderId="13" xfId="0" applyFont="1" applyFill="1" applyBorder="1" applyAlignment="1">
      <alignment horizontal="center" vertical="top" wrapText="1"/>
    </xf>
    <xf numFmtId="0" fontId="77" fillId="61" borderId="28" xfId="0" applyFont="1" applyFill="1" applyBorder="1" applyAlignment="1">
      <alignment horizontal="center" vertical="top" wrapText="1"/>
    </xf>
    <xf numFmtId="0" fontId="77" fillId="63" borderId="31" xfId="0" applyFont="1" applyFill="1" applyBorder="1" applyAlignment="1">
      <alignment horizontal="center" vertical="top" wrapText="1"/>
    </xf>
    <xf numFmtId="0" fontId="77" fillId="63" borderId="13" xfId="0" applyFont="1" applyFill="1" applyBorder="1" applyAlignment="1">
      <alignment horizontal="center" vertical="top" wrapText="1"/>
    </xf>
    <xf numFmtId="0" fontId="77" fillId="63" borderId="28" xfId="0" applyFont="1" applyFill="1" applyBorder="1" applyAlignment="1">
      <alignment horizontal="center" vertical="top" wrapText="1"/>
    </xf>
    <xf numFmtId="0" fontId="77" fillId="60" borderId="16" xfId="0" applyFont="1" applyFill="1" applyBorder="1" applyAlignment="1">
      <alignment horizontal="center" vertical="top" wrapText="1"/>
    </xf>
    <xf numFmtId="175" fontId="84" fillId="58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4" borderId="34" xfId="0" applyFont="1" applyFill="1" applyBorder="1" applyAlignment="1">
      <alignment horizontal="center"/>
    </xf>
    <xf numFmtId="0" fontId="10" fillId="54" borderId="30" xfId="0" applyFont="1" applyFill="1" applyBorder="1" applyAlignment="1">
      <alignment horizontal="center"/>
    </xf>
    <xf numFmtId="175" fontId="83" fillId="56" borderId="27" xfId="0" applyNumberFormat="1" applyFont="1" applyFill="1" applyBorder="1" applyAlignment="1">
      <alignment horizontal="center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6"/>
  <sheetViews>
    <sheetView tabSelected="1" zoomScaleNormal="100" workbookViewId="0">
      <selection activeCell="M34" sqref="M34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2" t="s">
        <v>186</v>
      </c>
      <c r="B1" s="662"/>
      <c r="C1" s="662"/>
      <c r="E1" s="661" t="s">
        <v>184</v>
      </c>
      <c r="F1" s="661"/>
      <c r="G1" s="661"/>
      <c r="H1" s="661"/>
    </row>
    <row r="2" spans="1:21" x14ac:dyDescent="0.25">
      <c r="A2" s="663">
        <v>43718</v>
      </c>
      <c r="B2" s="663"/>
      <c r="C2" s="66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654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0" t="s">
        <v>187</v>
      </c>
      <c r="C5" s="660"/>
      <c r="D5"/>
      <c r="G5" s="660" t="s">
        <v>387</v>
      </c>
      <c r="H5" s="660"/>
      <c r="I5" s="660"/>
      <c r="J5" s="103"/>
      <c r="K5" s="103"/>
      <c r="L5" s="660" t="s">
        <v>189</v>
      </c>
      <c r="M5" s="660"/>
      <c r="N5"/>
      <c r="O5" s="2" t="s">
        <v>392</v>
      </c>
      <c r="S5" s="660" t="s">
        <v>386</v>
      </c>
      <c r="T5" s="660"/>
    </row>
    <row r="6" spans="1:21" x14ac:dyDescent="0.25">
      <c r="A6" s="3">
        <v>1</v>
      </c>
      <c r="B6" s="359">
        <v>105</v>
      </c>
      <c r="C6" s="360" t="s">
        <v>345</v>
      </c>
      <c r="D6" s="360" t="s">
        <v>1</v>
      </c>
      <c r="F6" s="77">
        <v>1</v>
      </c>
      <c r="G6" s="359">
        <v>402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0.85576923076923073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393</v>
      </c>
      <c r="H7" s="360" t="s">
        <v>199</v>
      </c>
      <c r="I7" s="360" t="s">
        <v>198</v>
      </c>
      <c r="K7" s="77">
        <v>2</v>
      </c>
      <c r="L7" s="359">
        <v>128</v>
      </c>
      <c r="M7" s="360" t="s">
        <v>199</v>
      </c>
      <c r="N7" s="360" t="s">
        <v>198</v>
      </c>
      <c r="O7" s="367">
        <f>L7/G7</f>
        <v>0.32569974554707382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335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0.41868512110726641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2" t="s">
        <v>192</v>
      </c>
      <c r="I9" s="623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312</v>
      </c>
      <c r="H10" s="351" t="s">
        <v>217</v>
      </c>
      <c r="I10" s="352" t="s">
        <v>91</v>
      </c>
      <c r="K10" s="308">
        <v>5</v>
      </c>
      <c r="L10" s="350">
        <v>92</v>
      </c>
      <c r="M10" s="351" t="s">
        <v>219</v>
      </c>
      <c r="N10" s="352" t="s">
        <v>62</v>
      </c>
      <c r="O10" s="357">
        <f>L10/G8</f>
        <v>0.2746268656716418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5">
        <v>6</v>
      </c>
      <c r="G11" s="350">
        <v>299</v>
      </c>
      <c r="H11" s="351" t="s">
        <v>196</v>
      </c>
      <c r="I11" s="352" t="s">
        <v>62</v>
      </c>
      <c r="K11" s="625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5"/>
      <c r="F12" s="625">
        <v>7</v>
      </c>
      <c r="G12" s="353">
        <v>289</v>
      </c>
      <c r="H12" s="351" t="s">
        <v>253</v>
      </c>
      <c r="I12" s="351" t="s">
        <v>63</v>
      </c>
      <c r="K12" s="625">
        <v>7</v>
      </c>
      <c r="L12" s="350">
        <v>85</v>
      </c>
      <c r="M12" s="351" t="s">
        <v>218</v>
      </c>
      <c r="N12" s="352" t="s">
        <v>63</v>
      </c>
      <c r="O12" s="357">
        <f>L12/G13</f>
        <v>0.30035335689045939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6" t="s">
        <v>188</v>
      </c>
      <c r="C13" s="626"/>
      <c r="E13" s="88"/>
      <c r="F13" s="625">
        <v>8</v>
      </c>
      <c r="G13" s="350">
        <v>283</v>
      </c>
      <c r="H13" s="351" t="s">
        <v>218</v>
      </c>
      <c r="I13" s="352" t="s">
        <v>63</v>
      </c>
      <c r="J13" s="88"/>
      <c r="K13" s="625">
        <v>7</v>
      </c>
      <c r="L13" s="350">
        <v>85</v>
      </c>
      <c r="M13" s="351" t="s">
        <v>211</v>
      </c>
      <c r="N13" s="352" t="s">
        <v>62</v>
      </c>
      <c r="O13" s="357">
        <f>L13/G15</f>
        <v>0.3079710144927536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233</v>
      </c>
      <c r="C14" s="360" t="s">
        <v>345</v>
      </c>
      <c r="D14" s="360" t="s">
        <v>1</v>
      </c>
      <c r="F14" s="625">
        <v>9</v>
      </c>
      <c r="G14" s="350">
        <v>277</v>
      </c>
      <c r="H14" s="351" t="s">
        <v>200</v>
      </c>
      <c r="I14" s="352" t="s">
        <v>183</v>
      </c>
      <c r="K14" s="625">
        <v>9</v>
      </c>
      <c r="L14" s="354">
        <v>83</v>
      </c>
      <c r="M14" s="351" t="s">
        <v>210</v>
      </c>
      <c r="N14" s="352" t="s">
        <v>183</v>
      </c>
      <c r="O14" s="357">
        <f>L14/G6</f>
        <v>0.20646766169154229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5">
        <v>10</v>
      </c>
      <c r="G15" s="350">
        <v>276</v>
      </c>
      <c r="H15" s="351" t="s">
        <v>211</v>
      </c>
      <c r="I15" s="352" t="s">
        <v>62</v>
      </c>
      <c r="K15" s="625">
        <v>10</v>
      </c>
      <c r="L15" s="354">
        <v>68</v>
      </c>
      <c r="M15" s="351" t="s">
        <v>200</v>
      </c>
      <c r="N15" s="352" t="s">
        <v>183</v>
      </c>
      <c r="O15" s="357">
        <f>L15/G14</f>
        <v>0.24548736462093862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5">
        <v>11</v>
      </c>
      <c r="G16" s="353">
        <v>254</v>
      </c>
      <c r="H16" s="351" t="s">
        <v>345</v>
      </c>
      <c r="I16" s="351" t="s">
        <v>1</v>
      </c>
      <c r="K16" s="625">
        <v>11</v>
      </c>
      <c r="L16" s="354">
        <v>61</v>
      </c>
      <c r="M16" s="351" t="s">
        <v>196</v>
      </c>
      <c r="N16" s="351" t="s">
        <v>62</v>
      </c>
      <c r="O16" s="357">
        <f>L16/G11</f>
        <v>0.20401337792642141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5">
        <v>12</v>
      </c>
      <c r="G17" s="344">
        <v>202</v>
      </c>
      <c r="H17" s="347" t="s">
        <v>191</v>
      </c>
      <c r="I17" s="348" t="s">
        <v>183</v>
      </c>
      <c r="K17" s="625">
        <v>11</v>
      </c>
      <c r="L17" s="350">
        <v>61</v>
      </c>
      <c r="M17" s="351" t="s">
        <v>255</v>
      </c>
      <c r="N17" s="352" t="s">
        <v>91</v>
      </c>
      <c r="O17" s="357">
        <f>L17/G22</f>
        <v>0.47286821705426357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5">
        <v>13</v>
      </c>
      <c r="G18" s="354">
        <v>200</v>
      </c>
      <c r="H18" s="351" t="s">
        <v>89</v>
      </c>
      <c r="I18" s="352" t="s">
        <v>1</v>
      </c>
      <c r="K18" s="625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5">
        <v>14</v>
      </c>
      <c r="G19" s="344">
        <v>172</v>
      </c>
      <c r="H19" s="347" t="s">
        <v>382</v>
      </c>
      <c r="I19" s="347" t="s">
        <v>2</v>
      </c>
      <c r="K19" s="625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5">
        <v>15</v>
      </c>
      <c r="G20" s="344">
        <v>146</v>
      </c>
      <c r="H20" s="347" t="s">
        <v>87</v>
      </c>
      <c r="I20" s="348" t="s">
        <v>1</v>
      </c>
      <c r="K20" s="625">
        <v>15</v>
      </c>
      <c r="L20" s="344">
        <v>32</v>
      </c>
      <c r="M20" s="347" t="s">
        <v>395</v>
      </c>
      <c r="N20" s="347" t="s">
        <v>64</v>
      </c>
      <c r="O20" s="349">
        <f>L20/G25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5">
        <v>15</v>
      </c>
      <c r="G21" s="344">
        <v>146</v>
      </c>
      <c r="H21" s="347" t="s">
        <v>385</v>
      </c>
      <c r="I21" s="347" t="s">
        <v>64</v>
      </c>
      <c r="K21" s="625">
        <v>16</v>
      </c>
      <c r="L21" s="350">
        <v>27</v>
      </c>
      <c r="M21" s="351" t="s">
        <v>230</v>
      </c>
      <c r="N21" s="351" t="s">
        <v>62</v>
      </c>
      <c r="O21" s="357">
        <f>L21/G23</f>
        <v>0.24324324324324326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5">
        <v>17</v>
      </c>
      <c r="G22" s="353">
        <v>129</v>
      </c>
      <c r="H22" s="355" t="s">
        <v>294</v>
      </c>
      <c r="I22" s="356" t="s">
        <v>91</v>
      </c>
      <c r="K22" s="625">
        <v>17</v>
      </c>
      <c r="L22" s="350">
        <v>24</v>
      </c>
      <c r="M22" s="351" t="s">
        <v>295</v>
      </c>
      <c r="N22" s="351" t="s">
        <v>2</v>
      </c>
      <c r="O22" s="357">
        <f>L22/G24</f>
        <v>0.24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50">
        <v>1</v>
      </c>
      <c r="C23" s="351" t="s">
        <v>219</v>
      </c>
      <c r="D23" s="352" t="s">
        <v>62</v>
      </c>
      <c r="F23" s="625">
        <v>18</v>
      </c>
      <c r="G23" s="353">
        <v>111</v>
      </c>
      <c r="H23" s="351" t="s">
        <v>230</v>
      </c>
      <c r="I23" s="351" t="s">
        <v>62</v>
      </c>
      <c r="K23" s="625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88</v>
      </c>
      <c r="D24" s="348" t="s">
        <v>91</v>
      </c>
      <c r="F24" s="625">
        <v>19</v>
      </c>
      <c r="G24" s="350">
        <v>100</v>
      </c>
      <c r="H24" s="351" t="s">
        <v>295</v>
      </c>
      <c r="I24" s="351" t="s">
        <v>183</v>
      </c>
      <c r="K24" s="625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191</v>
      </c>
      <c r="D25" s="347" t="s">
        <v>2</v>
      </c>
      <c r="F25" s="625">
        <v>20</v>
      </c>
      <c r="G25" s="344">
        <v>96</v>
      </c>
      <c r="H25" s="347" t="s">
        <v>395</v>
      </c>
      <c r="I25" s="347" t="s">
        <v>64</v>
      </c>
      <c r="K25" s="625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A26">
        <v>10</v>
      </c>
      <c r="B26" s="344">
        <v>1</v>
      </c>
      <c r="C26" s="347" t="s">
        <v>403</v>
      </c>
      <c r="D26" s="348" t="s">
        <v>2</v>
      </c>
      <c r="F26" s="625">
        <v>21</v>
      </c>
      <c r="G26" s="344">
        <v>89</v>
      </c>
      <c r="H26" s="347" t="s">
        <v>201</v>
      </c>
      <c r="I26" s="348" t="s">
        <v>183</v>
      </c>
      <c r="K26" s="625">
        <v>21</v>
      </c>
      <c r="L26" s="354">
        <v>11</v>
      </c>
      <c r="M26" s="351" t="s">
        <v>89</v>
      </c>
      <c r="N26" s="352" t="s">
        <v>1</v>
      </c>
      <c r="O26" s="357">
        <f>L26/G18</f>
        <v>5.5E-2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296">
        <f>SUM(B14:B26)</f>
        <v>451</v>
      </c>
      <c r="F27" s="625">
        <v>22</v>
      </c>
      <c r="G27" s="344">
        <v>55</v>
      </c>
      <c r="H27" s="347" t="s">
        <v>88</v>
      </c>
      <c r="I27" s="348" t="s">
        <v>91</v>
      </c>
      <c r="K27" s="625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5"/>
      <c r="F28" s="642">
        <v>23</v>
      </c>
      <c r="G28" s="344">
        <v>38</v>
      </c>
      <c r="H28" s="347" t="s">
        <v>83</v>
      </c>
      <c r="I28" s="348" t="s">
        <v>2</v>
      </c>
      <c r="K28" s="625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50" t="s">
        <v>384</v>
      </c>
      <c r="T28" s="351" t="s">
        <v>660</v>
      </c>
      <c r="U28" s="351" t="s">
        <v>63</v>
      </c>
    </row>
    <row r="29" spans="1:21" x14ac:dyDescent="0.25">
      <c r="B29" s="625"/>
      <c r="F29" s="642">
        <v>24</v>
      </c>
      <c r="G29" s="344">
        <v>34</v>
      </c>
      <c r="H29" s="347" t="s">
        <v>85</v>
      </c>
      <c r="I29" s="348" t="s">
        <v>260</v>
      </c>
      <c r="K29" s="625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23</v>
      </c>
      <c r="S29" s="344" t="s">
        <v>384</v>
      </c>
      <c r="T29" s="347" t="s">
        <v>347</v>
      </c>
      <c r="U29" s="347" t="s">
        <v>64</v>
      </c>
    </row>
    <row r="30" spans="1:21" x14ac:dyDescent="0.25">
      <c r="B30" s="625"/>
      <c r="F30" s="642">
        <v>25</v>
      </c>
      <c r="G30" s="344">
        <v>32</v>
      </c>
      <c r="H30" s="347" t="s">
        <v>248</v>
      </c>
      <c r="I30" s="348" t="s">
        <v>64</v>
      </c>
      <c r="K30" s="625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25</v>
      </c>
      <c r="S30" s="344" t="s">
        <v>229</v>
      </c>
      <c r="T30" s="347" t="s">
        <v>254</v>
      </c>
      <c r="U30" s="348" t="s">
        <v>91</v>
      </c>
    </row>
    <row r="31" spans="1:21" x14ac:dyDescent="0.25">
      <c r="B31" s="625"/>
      <c r="G31"/>
      <c r="K31" s="625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>
        <v>25</v>
      </c>
      <c r="S31" s="344" t="s">
        <v>229</v>
      </c>
      <c r="T31" s="347" t="s">
        <v>248</v>
      </c>
      <c r="U31" s="347" t="s">
        <v>91</v>
      </c>
    </row>
    <row r="32" spans="1:21" x14ac:dyDescent="0.25">
      <c r="B32" s="625"/>
      <c r="G32"/>
      <c r="K32" s="625">
        <v>27</v>
      </c>
      <c r="L32" s="344">
        <v>6</v>
      </c>
      <c r="M32" s="347" t="s">
        <v>87</v>
      </c>
      <c r="N32" s="348" t="s">
        <v>1</v>
      </c>
      <c r="O32" s="349"/>
      <c r="P32" s="347"/>
      <c r="R32" s="81"/>
    </row>
    <row r="33" spans="2:16" x14ac:dyDescent="0.25">
      <c r="B33" s="625"/>
      <c r="G33"/>
      <c r="K33" s="625">
        <v>28</v>
      </c>
      <c r="L33" s="353">
        <v>5</v>
      </c>
      <c r="M33" s="351" t="s">
        <v>667</v>
      </c>
      <c r="N33" s="355" t="s">
        <v>63</v>
      </c>
      <c r="O33" s="357"/>
      <c r="P33" s="355"/>
    </row>
    <row r="34" spans="2:16" x14ac:dyDescent="0.25">
      <c r="B34" s="625"/>
      <c r="G34"/>
      <c r="K34" s="625">
        <v>29</v>
      </c>
      <c r="L34" s="344">
        <v>3</v>
      </c>
      <c r="M34" s="347" t="s">
        <v>347</v>
      </c>
      <c r="N34" s="347" t="s">
        <v>64</v>
      </c>
      <c r="O34" s="349"/>
      <c r="P34" s="347"/>
    </row>
    <row r="35" spans="2:16" x14ac:dyDescent="0.25">
      <c r="B35" s="625"/>
      <c r="G35"/>
      <c r="K35" s="625">
        <v>29</v>
      </c>
      <c r="L35" s="344">
        <v>3</v>
      </c>
      <c r="M35" s="347" t="s">
        <v>297</v>
      </c>
      <c r="N35" s="347" t="s">
        <v>62</v>
      </c>
      <c r="O35" s="349"/>
      <c r="P35" s="347"/>
    </row>
    <row r="36" spans="2:16" x14ac:dyDescent="0.25">
      <c r="B36" s="625"/>
      <c r="G36"/>
      <c r="K36" s="625">
        <v>29</v>
      </c>
      <c r="L36" s="344">
        <v>3</v>
      </c>
      <c r="M36" s="347" t="s">
        <v>403</v>
      </c>
      <c r="N36" s="347" t="s">
        <v>183</v>
      </c>
      <c r="O36" s="349"/>
      <c r="P36" s="347">
        <v>49</v>
      </c>
    </row>
    <row r="37" spans="2:16" x14ac:dyDescent="0.25">
      <c r="B37" s="625"/>
      <c r="G37"/>
      <c r="K37" s="642">
        <v>29</v>
      </c>
      <c r="L37" s="353">
        <v>3</v>
      </c>
      <c r="M37" s="351" t="s">
        <v>661</v>
      </c>
      <c r="N37" s="355" t="s">
        <v>62</v>
      </c>
      <c r="O37" s="357"/>
      <c r="P37" s="355"/>
    </row>
    <row r="38" spans="2:16" x14ac:dyDescent="0.25">
      <c r="B38" s="642"/>
      <c r="G38"/>
      <c r="K38" s="642">
        <v>33</v>
      </c>
      <c r="L38" s="353">
        <v>2</v>
      </c>
      <c r="M38" s="351" t="s">
        <v>345</v>
      </c>
      <c r="N38" s="355" t="s">
        <v>1</v>
      </c>
      <c r="O38" s="357">
        <f>L38/G16</f>
        <v>7.874015748031496E-3</v>
      </c>
      <c r="P38" s="355">
        <v>3</v>
      </c>
    </row>
    <row r="39" spans="2:16" x14ac:dyDescent="0.25">
      <c r="B39" s="642"/>
      <c r="G39"/>
      <c r="K39" s="642">
        <v>33</v>
      </c>
      <c r="L39" s="353">
        <v>2</v>
      </c>
      <c r="M39" s="351" t="s">
        <v>663</v>
      </c>
      <c r="N39" s="355" t="s">
        <v>62</v>
      </c>
      <c r="O39" s="357"/>
      <c r="P39" s="355"/>
    </row>
    <row r="40" spans="2:16" x14ac:dyDescent="0.25">
      <c r="B40" s="642"/>
      <c r="G40"/>
      <c r="K40" s="642">
        <v>33</v>
      </c>
      <c r="L40" s="353">
        <v>2</v>
      </c>
      <c r="M40" s="351" t="s">
        <v>664</v>
      </c>
      <c r="N40" s="355" t="s">
        <v>62</v>
      </c>
      <c r="O40" s="357"/>
      <c r="P40" s="355"/>
    </row>
    <row r="41" spans="2:16" x14ac:dyDescent="0.25">
      <c r="B41" s="642"/>
      <c r="G41"/>
      <c r="K41" s="642">
        <v>33</v>
      </c>
      <c r="L41" s="353">
        <v>2</v>
      </c>
      <c r="M41" s="351" t="s">
        <v>666</v>
      </c>
      <c r="N41" s="355" t="s">
        <v>62</v>
      </c>
      <c r="O41" s="357"/>
      <c r="P41" s="355"/>
    </row>
    <row r="42" spans="2:16" x14ac:dyDescent="0.25">
      <c r="B42" s="642"/>
      <c r="G42"/>
      <c r="K42" s="642">
        <v>37</v>
      </c>
      <c r="L42" s="353">
        <v>1</v>
      </c>
      <c r="M42" s="351" t="s">
        <v>662</v>
      </c>
      <c r="N42" s="355" t="s">
        <v>62</v>
      </c>
      <c r="O42" s="357"/>
      <c r="P42" s="355"/>
    </row>
    <row r="43" spans="2:16" x14ac:dyDescent="0.25">
      <c r="B43" s="642"/>
      <c r="G43"/>
      <c r="K43" s="642">
        <v>38</v>
      </c>
      <c r="L43" s="353">
        <v>0</v>
      </c>
      <c r="M43" s="351" t="s">
        <v>665</v>
      </c>
      <c r="N43" s="355" t="s">
        <v>63</v>
      </c>
      <c r="O43" s="357"/>
      <c r="P43" s="355"/>
    </row>
    <row r="44" spans="2:16" x14ac:dyDescent="0.25">
      <c r="B44" s="642"/>
      <c r="G44"/>
      <c r="K44" s="642">
        <v>38</v>
      </c>
      <c r="L44" s="353">
        <v>0</v>
      </c>
      <c r="M44" s="351" t="s">
        <v>660</v>
      </c>
      <c r="N44" s="355" t="s">
        <v>63</v>
      </c>
      <c r="O44" s="357"/>
      <c r="P44" s="355"/>
    </row>
    <row r="45" spans="2:16" x14ac:dyDescent="0.25">
      <c r="B45" s="642"/>
      <c r="G45"/>
      <c r="K45" s="642">
        <v>38</v>
      </c>
      <c r="L45" s="353">
        <v>0</v>
      </c>
      <c r="M45" s="351" t="s">
        <v>659</v>
      </c>
      <c r="N45" s="355" t="s">
        <v>62</v>
      </c>
      <c r="O45" s="357"/>
      <c r="P45" s="355"/>
    </row>
    <row r="46" spans="2:16" x14ac:dyDescent="0.25">
      <c r="B46" s="625"/>
      <c r="L46" s="297">
        <f>SUM(L6:L45)</f>
        <v>1545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85157.142857142855</v>
      </c>
      <c r="S2" s="63">
        <v>2068800</v>
      </c>
      <c r="T2" s="63">
        <f ca="1">S2+Q2+P2+R2</f>
        <v>2932600</v>
      </c>
      <c r="U2" s="67">
        <f ca="1">T2/((O2-N2)/112)</f>
        <v>572214.63414634147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60557.142857142855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12.616071428571429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43718</v>
      </c>
    </row>
    <row r="8" spans="1:22" x14ac:dyDescent="0.25">
      <c r="A8" s="53">
        <v>41757</v>
      </c>
    </row>
    <row r="9" spans="1:22" x14ac:dyDescent="0.25">
      <c r="A9" s="55">
        <f ca="1">A7-A8</f>
        <v>1961</v>
      </c>
    </row>
    <row r="10" spans="1:22" x14ac:dyDescent="0.25">
      <c r="A10" s="149">
        <f ca="1">A9/112</f>
        <v>17.508928571428573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43718</v>
      </c>
      <c r="P13" s="267">
        <v>1800000</v>
      </c>
      <c r="Q13" s="63">
        <v>372</v>
      </c>
      <c r="R13" s="63">
        <f t="shared" ref="R13" ca="1" si="4">((TODAY()-N13)/7)*L13</f>
        <v>99977.142857142855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601947.7333333334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43718</v>
      </c>
      <c r="B18" s="87"/>
      <c r="C18">
        <v>400</v>
      </c>
      <c r="D18">
        <v>1</v>
      </c>
    </row>
    <row r="19" spans="1:22" x14ac:dyDescent="0.25">
      <c r="A19">
        <f ca="1">A18-A17</f>
        <v>810</v>
      </c>
      <c r="C19">
        <f>C18-C17</f>
        <v>288</v>
      </c>
      <c r="D19" s="254">
        <f ca="1">(A19-C17)/C19</f>
        <v>2.4236111111111112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6" t="s">
        <v>108</v>
      </c>
      <c r="B28" s="696"/>
      <c r="C28" s="696"/>
      <c r="D28" s="696"/>
    </row>
    <row r="29" spans="1:22" x14ac:dyDescent="0.25">
      <c r="A29" s="697" t="s">
        <v>92</v>
      </c>
      <c r="B29" s="698" t="s">
        <v>109</v>
      </c>
      <c r="C29" s="698" t="s">
        <v>110</v>
      </c>
      <c r="D29" s="698" t="s">
        <v>111</v>
      </c>
    </row>
    <row r="30" spans="1:22" x14ac:dyDescent="0.25">
      <c r="A30" s="697"/>
      <c r="B30" s="698"/>
      <c r="C30" s="698"/>
      <c r="D30" s="69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699" t="s">
        <v>278</v>
      </c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43718</v>
      </c>
      <c r="D2" s="664">
        <v>41471</v>
      </c>
      <c r="E2" s="664"/>
      <c r="F2" s="66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0">
        <v>451</v>
      </c>
      <c r="AI3" s="70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80</v>
      </c>
      <c r="F4" s="134"/>
      <c r="G4" s="327">
        <f>Plantilla!H4</f>
        <v>6</v>
      </c>
      <c r="H4" s="102">
        <f>Plantilla!I4</f>
        <v>24</v>
      </c>
      <c r="I4" s="184">
        <f>Plantilla!X4</f>
        <v>16.666666666666668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87</v>
      </c>
      <c r="R4" s="92">
        <f t="shared" ref="R4:R27" si="5">H4+$R$2</f>
        <v>24</v>
      </c>
      <c r="S4" s="200">
        <f>I4</f>
        <v>16.666666666666668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89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96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91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98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99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106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53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11.95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60</v>
      </c>
      <c r="R9" s="92">
        <f t="shared" si="5"/>
        <v>17.399999999999999</v>
      </c>
      <c r="S9" s="200">
        <f t="shared" si="14"/>
        <v>0</v>
      </c>
      <c r="T9" s="200">
        <f t="shared" si="15"/>
        <v>11.95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8.0000000000000018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12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35</v>
      </c>
      <c r="Q10" s="147">
        <f t="shared" ca="1" si="22"/>
        <v>19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652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7.5519999999999996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8.0000000000000018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77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84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28" t="s">
        <v>653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6.3099999999999987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35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9.6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42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17.600000000000001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8.0000000000000018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8" t="s">
        <v>653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5.0480000000000009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90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8.4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97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18.399999999999999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9.9999999999999982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8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51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10.333333333333334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58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18.333333333333336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8.0000000000000018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51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10.333333333333334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58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18.333333333333336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8.0000000000000018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J. Vartiainen</v>
      </c>
      <c r="D17" s="133">
        <f>Plantilla!E19</f>
        <v>19</v>
      </c>
      <c r="E17" s="138">
        <f ca="1">Plantilla!F19</f>
        <v>97</v>
      </c>
      <c r="F17" s="134" t="str">
        <f>Plantilla!G19</f>
        <v>CAB</v>
      </c>
      <c r="G17" s="327">
        <f>Plantilla!H19</f>
        <v>4</v>
      </c>
      <c r="H17" s="102">
        <f>Plantilla!I19</f>
        <v>0.4</v>
      </c>
      <c r="I17" s="184">
        <f>Plantilla!X19</f>
        <v>0</v>
      </c>
      <c r="J17" s="184">
        <f>Plantilla!Y19</f>
        <v>7</v>
      </c>
      <c r="K17" s="184">
        <f>Plantilla!Z19</f>
        <v>9</v>
      </c>
      <c r="L17" s="184">
        <f>Plantilla!AA19</f>
        <v>1</v>
      </c>
      <c r="M17" s="184">
        <f>Plantilla!AB19</f>
        <v>1</v>
      </c>
      <c r="N17" s="184">
        <f>Plantilla!AC19</f>
        <v>6</v>
      </c>
      <c r="O17" s="184">
        <f>Plantilla!AD19</f>
        <v>1</v>
      </c>
      <c r="P17" s="146">
        <f t="shared" si="21"/>
        <v>19</v>
      </c>
      <c r="Q17" s="147">
        <f t="shared" ca="1" si="22"/>
        <v>104</v>
      </c>
      <c r="R17" s="92">
        <f t="shared" si="5"/>
        <v>0.4</v>
      </c>
      <c r="S17" s="200">
        <f t="shared" si="23"/>
        <v>0</v>
      </c>
      <c r="T17" s="200">
        <f>J17+T$2/5</f>
        <v>7</v>
      </c>
      <c r="U17" s="200">
        <f>K17+U$2/5</f>
        <v>17</v>
      </c>
      <c r="V17" s="200">
        <f t="shared" si="24"/>
        <v>1</v>
      </c>
      <c r="W17" s="200">
        <f t="shared" si="25"/>
        <v>1</v>
      </c>
      <c r="X17" s="200">
        <f>N17+X$2/4</f>
        <v>10.25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0">
        <v>550</v>
      </c>
      <c r="AI17" s="70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92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9.8000000000000007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99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17.8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8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50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9.5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57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19.5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56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10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63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18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37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8.5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44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18.5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52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9.0833333333333339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59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19.083333333333336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10.000000000000002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36</v>
      </c>
      <c r="E23" s="138">
        <f ca="1">Plantilla!F21</f>
        <v>0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36</v>
      </c>
      <c r="Q23" s="147">
        <f t="shared" ca="1" si="22"/>
        <v>7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15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22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8.0000000000000018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15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22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652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7.5519999999999996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52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8.9499999999999993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59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8.0000000000000018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83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90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8" t="s">
        <v>653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6.3099999999999987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8" t="s">
        <v>653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5.0480000000000009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16.666666666666668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15.727765885352309</v>
      </c>
      <c r="P3" s="244">
        <f ca="1">Evaluacion!Y3</f>
        <v>23.17888695073291</v>
      </c>
      <c r="Q3" s="244">
        <f ca="1">Evaluacion!Z3</f>
        <v>15.727765885352309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10.333333333333334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1.8675124176956839</v>
      </c>
      <c r="P5" s="244">
        <f ca="1">Evaluacion!AB14</f>
        <v>4.8256134824177881</v>
      </c>
      <c r="Q5" s="244">
        <f ca="1">O5</f>
        <v>1.8675124176956839</v>
      </c>
      <c r="R5" s="244">
        <f ca="1">Evaluacion!AD14</f>
        <v>2.6558293421487669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9.6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0.96872889148394259</v>
      </c>
      <c r="P7" s="244">
        <f ca="1">Evaluacion!BF12*N7</f>
        <v>1.1584799114653337</v>
      </c>
      <c r="Q7" s="244">
        <v>0</v>
      </c>
      <c r="R7" s="244">
        <f ca="1">Evaluacion!BG12*N7</f>
        <v>7.0030383965544791</v>
      </c>
      <c r="S7" s="244">
        <f ca="1">Evaluacion!BH12*N7</f>
        <v>2.4859001186571308</v>
      </c>
      <c r="T7" s="244">
        <f ca="1">Evaluacion!BI12*N7</f>
        <v>0.80228062834237179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10.333333333333334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0.3315137437755904</v>
      </c>
      <c r="P8" s="244">
        <f ca="1">Evaluacion!AY15*N8</f>
        <v>0.93548851859073145</v>
      </c>
      <c r="Q8" s="244">
        <f ca="1">O8</f>
        <v>0.3315137437755904</v>
      </c>
      <c r="R8" s="244">
        <f ca="1">Evaluacion!BA15*N8</f>
        <v>9.2137212964768285</v>
      </c>
      <c r="S8" s="244">
        <f ca="1">((Evaluacion!BB15+Evaluacion!BD15)/2)*N8</f>
        <v>0.75685986600647825</v>
      </c>
      <c r="T8" s="244">
        <f ca="1">Evaluacion!BC15*N8</f>
        <v>2.8907854343587327</v>
      </c>
      <c r="U8" s="244">
        <f ca="1">S8</f>
        <v>0.75685986600647825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8.4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1.0363631559636626</v>
      </c>
      <c r="Q9" s="244">
        <f ca="1">Evaluacion!BE13*N9</f>
        <v>0.86661401834892471</v>
      </c>
      <c r="R9" s="244">
        <f ca="1">Evaluacion!BG13*N9</f>
        <v>6.5485214954137545</v>
      </c>
      <c r="S9" s="244">
        <v>0</v>
      </c>
      <c r="T9" s="244">
        <f ca="1">Evaluacion!BI13*N9</f>
        <v>1.314186266055295</v>
      </c>
      <c r="U9" s="244">
        <f ca="1">Evaluacion!BH13*N9</f>
        <v>2.9535659357807362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9.5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2.4097665546951346</v>
      </c>
      <c r="S12" s="244">
        <f ca="1">N12*Evaluacion!CH18</f>
        <v>3.9913208100891784</v>
      </c>
      <c r="T12" s="244">
        <f ca="1">N12*Evaluacion!CI18</f>
        <v>5.832914153510556</v>
      </c>
      <c r="U12" s="244">
        <f ca="1">S12</f>
        <v>3.9913208100891784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10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4.3276488850445691</v>
      </c>
      <c r="S13" s="244">
        <f ca="1">N13*Evaluacion!CE19</f>
        <v>3.6360557613502968</v>
      </c>
      <c r="T13" s="244">
        <f ca="1">N13*Evaluacion!CF19</f>
        <v>6.6819471540891247</v>
      </c>
      <c r="U13" s="244">
        <f ca="1">S13</f>
        <v>3.6360557613502968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16.666666666666668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15.727765885352309</v>
      </c>
      <c r="O2" s="244">
        <f ca="1">Evaluacion!Y3</f>
        <v>23.17888695073291</v>
      </c>
      <c r="P2" s="244">
        <f ca="1">Evaluacion!Z3</f>
        <v>15.727765885352309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8.4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0.98216255412878151</v>
      </c>
      <c r="O8" s="244">
        <f ca="1">M8*Evaluacion!BF13</f>
        <v>1.174544910092151</v>
      </c>
      <c r="P8" s="244">
        <v>0</v>
      </c>
      <c r="Q8" s="244">
        <f ca="1">Evaluacion!BG13*M8</f>
        <v>7.4216576948022563</v>
      </c>
      <c r="R8" s="244">
        <f ca="1">Evaluacion!BH13*M8</f>
        <v>3.3473747272181682</v>
      </c>
      <c r="S8" s="244">
        <f ca="1">Evaluacion!BI13*M8</f>
        <v>1.4894111015293345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9.6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1.3129438996607115</v>
      </c>
      <c r="P9" s="244">
        <f ca="1">M9*Evaluacion!BE12</f>
        <v>1.0978927436818018</v>
      </c>
      <c r="Q9" s="244">
        <f ca="1">Evaluacion!BG12*M9</f>
        <v>7.9367768494284112</v>
      </c>
      <c r="R9" s="244">
        <v>0</v>
      </c>
      <c r="S9" s="244">
        <f ca="1">Evaluacion!BI12*M9</f>
        <v>0.90925137878802142</v>
      </c>
      <c r="T9" s="244">
        <f ca="1">Evaluacion!BH12*M9</f>
        <v>2.8173534678114152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10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4.5795226296767932</v>
      </c>
      <c r="R12" s="244">
        <f ca="1">M12*Evaluacion!CE19</f>
        <v>3.8476780543389388</v>
      </c>
      <c r="S12" s="244">
        <f ca="1">M12*Evaluacion!CF19</f>
        <v>7.0708435493006618</v>
      </c>
      <c r="T12" s="244">
        <f ca="1">R12</f>
        <v>3.8476780543389388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91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53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80</v>
      </c>
      <c r="E11" s="49">
        <f>Plantilla!X4</f>
        <v>16.666666666666668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15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36</v>
      </c>
      <c r="D13" s="3">
        <f ca="1">Plantilla!F21</f>
        <v>0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15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12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52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8.9499999999999993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83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99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77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89</v>
      </c>
      <c r="E22" s="49">
        <f>Plantilla!X5</f>
        <v>6.95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12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15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52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8.9499999999999993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36</v>
      </c>
      <c r="D8" s="86">
        <f ca="1">Plantilla!F21</f>
        <v>0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15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53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91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83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80</v>
      </c>
      <c r="E19" s="49">
        <f>Plantilla!X4</f>
        <v>16.666666666666668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89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99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77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52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8.9499999999999993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15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12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36</v>
      </c>
      <c r="D9" s="86">
        <f ca="1">Plantilla!F21</f>
        <v>0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15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53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83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80</v>
      </c>
      <c r="E14" s="49">
        <f>Plantilla!X4</f>
        <v>16.666666666666668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91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89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99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77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15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91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53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36</v>
      </c>
      <c r="D9" s="86">
        <f ca="1">Plantilla!F21</f>
        <v>0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12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15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52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8.9499999999999993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83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80</v>
      </c>
      <c r="E18" s="49">
        <f>Plantilla!X4</f>
        <v>16.666666666666668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89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99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77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6" t="s">
        <v>11</v>
      </c>
      <c r="E2" s="706"/>
      <c r="F2" s="707" t="s">
        <v>12</v>
      </c>
      <c r="G2" s="707"/>
      <c r="H2" s="708" t="s">
        <v>13</v>
      </c>
      <c r="I2" s="70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D5" sqref="D5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7" bestFit="1" customWidth="1"/>
    <col min="34" max="34" width="6.5703125" style="637" bestFit="1" customWidth="1"/>
    <col min="35" max="36" width="7.5703125" style="637" bestFit="1" customWidth="1"/>
    <col min="37" max="39" width="6.5703125" style="637" bestFit="1" customWidth="1"/>
    <col min="40" max="40" width="7" style="637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43718</v>
      </c>
      <c r="E1" s="664">
        <v>41471</v>
      </c>
      <c r="F1" s="664"/>
      <c r="G1" s="66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0"/>
      <c r="AG1" s="630"/>
      <c r="AH1" s="631"/>
      <c r="AI1" s="631"/>
      <c r="AJ1" s="632"/>
      <c r="AK1" s="631"/>
      <c r="AL1" s="631"/>
      <c r="AM1" s="631"/>
      <c r="AN1" s="631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7.8863636363636367</v>
      </c>
      <c r="J2" s="336"/>
      <c r="K2" s="336"/>
      <c r="M2" s="337">
        <f>AVERAGE(M4:M25)</f>
        <v>4.6545454545454552</v>
      </c>
      <c r="N2" s="336"/>
      <c r="O2" s="336"/>
      <c r="P2" s="336"/>
      <c r="Q2" s="337">
        <f t="shared" ref="Q2:V2" si="0">AVERAGE(Q4:Q25)</f>
        <v>4.5909090909090908</v>
      </c>
      <c r="R2" s="338">
        <f t="shared" si="0"/>
        <v>0.79361132559618675</v>
      </c>
      <c r="S2" s="338">
        <f t="shared" si="0"/>
        <v>0.87541537579515838</v>
      </c>
      <c r="T2" s="339">
        <f t="shared" si="0"/>
        <v>16668.18181818182</v>
      </c>
      <c r="U2" s="339">
        <f t="shared" si="0"/>
        <v>525</v>
      </c>
      <c r="V2" s="339">
        <f t="shared" si="0"/>
        <v>3306.181818181818</v>
      </c>
      <c r="W2" s="340"/>
      <c r="X2" s="341">
        <f>(X4+X5)/2</f>
        <v>11.808333333333334</v>
      </c>
      <c r="Y2" s="341">
        <f>AVERAGE(Y4:Y10)</f>
        <v>9.6228412698412704</v>
      </c>
      <c r="Z2" s="341">
        <f>AVERAGE(Z11:Z16)</f>
        <v>9.4944444444444454</v>
      </c>
      <c r="AA2" s="341">
        <f>AVERAGE(AA17:AA20)</f>
        <v>7</v>
      </c>
      <c r="AB2" s="341">
        <f>AVERAGE(AB5:AB25)</f>
        <v>6.4596825396825395</v>
      </c>
      <c r="AC2" s="341">
        <f>AVERAGE(AC21:AC25)</f>
        <v>6.15</v>
      </c>
      <c r="AD2" s="341">
        <f>AVERAGE(AD4:AD25)</f>
        <v>10.224595959595957</v>
      </c>
      <c r="AE2" s="340"/>
      <c r="AF2" s="633"/>
      <c r="AG2" s="633"/>
      <c r="AH2" s="634"/>
      <c r="AI2" s="634"/>
      <c r="AJ2" s="634"/>
      <c r="AK2" s="634"/>
      <c r="AL2" s="634"/>
      <c r="AM2" s="634"/>
      <c r="AN2" s="634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422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-1.7142857142857142</v>
      </c>
      <c r="D4" s="627" t="s">
        <v>344</v>
      </c>
      <c r="E4" s="133">
        <v>35</v>
      </c>
      <c r="F4" s="138">
        <f ca="1">-42406+$D$1-112-112-112-112-112-112-112-112-112-112-112</f>
        <v>80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4</v>
      </c>
      <c r="N4" s="178">
        <f>M4*10+19</f>
        <v>59</v>
      </c>
      <c r="O4" s="303">
        <v>42468</v>
      </c>
      <c r="P4" s="304">
        <f ca="1">IF((TODAY()-O4)&gt;335,1,((TODAY()-O4)^0.64)/(336^0.64))</f>
        <v>1</v>
      </c>
      <c r="Q4" s="178">
        <v>4</v>
      </c>
      <c r="R4" s="199">
        <f>(Q4/7)^0.5</f>
        <v>0.7559289460184544</v>
      </c>
      <c r="S4" s="199">
        <f>IF(Q4=7,1,((Q4+0.99)/7)^0.5)</f>
        <v>0.84430867747355465</v>
      </c>
      <c r="T4" s="111">
        <v>37160</v>
      </c>
      <c r="U4" s="268">
        <f t="shared" ref="U4:U20" si="3">T4-BG4</f>
        <v>2590</v>
      </c>
      <c r="V4" s="111">
        <v>13512</v>
      </c>
      <c r="W4" s="108">
        <f t="shared" ref="W4:W26" si="4">T4/V4</f>
        <v>2.7501480165778567</v>
      </c>
      <c r="X4" s="184">
        <f>16+12/18</f>
        <v>16.666666666666668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1379</v>
      </c>
      <c r="AF4" s="635">
        <f ca="1">(Z4+P4+J4)*(Q4/7)^0.5</f>
        <v>3.7296929540799639</v>
      </c>
      <c r="AG4" s="635">
        <f ca="1">(Z4+P4+J4)*(IF(Q4=7, (Q4/7)^0.5, ((Q4+1)/7)^0.5))</f>
        <v>4.1699234902624012</v>
      </c>
      <c r="AH4" s="108">
        <f ca="1">(((Y4+P4+J4)+(AB4+P4+J4)*2)/8)*(Q4/7)^0.5</f>
        <v>2.1205470012276106</v>
      </c>
      <c r="AI4" s="108">
        <f ca="1">(1.66*(AC4+J4+P4)+0.55*(AD4+J4+P4)-7.6)*(Q4/7)^0.5</f>
        <v>6.6062620390705753</v>
      </c>
      <c r="AJ4" s="108">
        <f ca="1">((AD4+J4+P4)*0.7+(AC4+J4+P4)*0.3)*(Q4/7)^0.5</f>
        <v>11.795454808096871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6">
        <f ca="1">(AD4+P4+(LOG(I4)*4/3))*(Q4/7)^0.5</f>
        <v>15.904957935860825</v>
      </c>
      <c r="AN4" s="636">
        <f ca="1">(AD4+P4+(LOG(I4)*4/3))*(IF(Q4=7, (Q4/7)^0.5, ((Q4+1)/7)^0.5))</f>
        <v>17.782283561929773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34570</v>
      </c>
      <c r="BH4" s="316"/>
      <c r="BJ4" s="136"/>
      <c r="BK4" s="139"/>
    </row>
    <row r="5" spans="1:63" s="81" customFormat="1" x14ac:dyDescent="0.25">
      <c r="A5" s="131" t="s">
        <v>428</v>
      </c>
      <c r="B5" s="131" t="s">
        <v>1</v>
      </c>
      <c r="C5" s="132">
        <f ca="1">((34*112)-(E5*112)-(F5))/112</f>
        <v>-5.7946428571428568</v>
      </c>
      <c r="D5" s="627" t="s">
        <v>93</v>
      </c>
      <c r="E5" s="133">
        <v>39</v>
      </c>
      <c r="F5" s="138">
        <f ca="1">82-41471+$D$1-112-112-112-112-112-112-112-112-112-112-112-112-112-112-112-112-112-112-112-112</f>
        <v>89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2</v>
      </c>
      <c r="R5" s="199">
        <f t="shared" ref="R5:R20" si="9">(Q5/7)^0.5</f>
        <v>0.53452248382484879</v>
      </c>
      <c r="S5" s="199">
        <f t="shared" ref="S5:S20" si="10">IF(Q5=7,1,((Q5+0.99)/7)^0.5)</f>
        <v>0.65356167049702141</v>
      </c>
      <c r="T5" s="111">
        <v>300</v>
      </c>
      <c r="U5" s="268">
        <f t="shared" si="3"/>
        <v>-60</v>
      </c>
      <c r="V5" s="111">
        <v>450</v>
      </c>
      <c r="W5" s="108">
        <f t="shared" si="4"/>
        <v>0.66666666666666663</v>
      </c>
      <c r="X5" s="184">
        <v>6.95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389</v>
      </c>
      <c r="AF5" s="635">
        <f t="shared" ref="AF5:AF20" si="11">(Z5+P5+J5)*(Q5/7)^0.5</f>
        <v>1.4953286822509462</v>
      </c>
      <c r="AG5" s="635">
        <f t="shared" ref="AG5:AG20" si="12">(Z5+P5+J5)*(IF(Q5=7, (Q5/7)^0.5, ((Q5+1)/7)^0.5))</f>
        <v>1.8313961346315892</v>
      </c>
      <c r="AH5" s="108">
        <f t="shared" ref="AH5:AH20" si="13">(((Y5+P5+J5)+(AB5+P5+J5)*2)/8)*(Q5/7)^0.5</f>
        <v>1.1520637535753437</v>
      </c>
      <c r="AI5" s="108">
        <f t="shared" ref="AI5:AI20" si="14">(1.66*(AC5+J5+P5)+0.55*(AD5+J5+P5)-7.6)*(Q5/7)^0.5</f>
        <v>3.3434292678518927</v>
      </c>
      <c r="AJ5" s="108">
        <f t="shared" ref="AJ5:AJ20" si="15">((AD5+J5+P5)*0.7+(AC5+J5+P5)*0.3)*(Q5/7)^0.5</f>
        <v>6.7149407368005951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6">
        <f t="shared" ref="AM5:AM20" si="18">(AD5+P5+(LOG(I5)*4/3))*(Q5/7)^0.5</f>
        <v>8.9171031214054537</v>
      </c>
      <c r="AN5" s="636">
        <f t="shared" ref="AN5:AN20" si="19">(AD5+P5+(LOG(I5)*4/3))*(IF(Q5=7, (Q5/7)^0.5, ((Q5+1)/7)^0.5))</f>
        <v>10.921176315611259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360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-2.8125</v>
      </c>
      <c r="D6" s="627" t="s">
        <v>95</v>
      </c>
      <c r="E6" s="133">
        <v>36</v>
      </c>
      <c r="F6" s="138">
        <f ca="1">84-41471+$D$1-112-112-112-112-112-112-112-112-112-112-112-112-112-112-112-112-112-112-112-112</f>
        <v>91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9500</v>
      </c>
      <c r="U6" s="268">
        <f t="shared" si="3"/>
        <v>-580</v>
      </c>
      <c r="V6" s="111">
        <v>2980</v>
      </c>
      <c r="W6" s="108">
        <f t="shared" si="4"/>
        <v>3.1879194630872485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1444</v>
      </c>
      <c r="AF6" s="635">
        <f t="shared" si="11"/>
        <v>13.85404271677152</v>
      </c>
      <c r="AG6" s="635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6">
        <f t="shared" si="18"/>
        <v>18.850665544221354</v>
      </c>
      <c r="AN6" s="636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10080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1.1160714285714286</v>
      </c>
      <c r="D7" s="627" t="s">
        <v>258</v>
      </c>
      <c r="E7" s="57">
        <v>32</v>
      </c>
      <c r="F7" s="58">
        <f ca="1">75-41471+$D$1-24-112-10-112-112+6-112-112-112+45-112-112-112-112-112-112-112-112-112-112-112-112-112-112</f>
        <v>99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5.0999999999999996</v>
      </c>
      <c r="N7" s="178">
        <f t="shared" si="8"/>
        <v>70</v>
      </c>
      <c r="O7" s="178" t="s">
        <v>256</v>
      </c>
      <c r="P7" s="304">
        <v>1.5</v>
      </c>
      <c r="Q7" s="179">
        <v>5</v>
      </c>
      <c r="R7" s="199">
        <f t="shared" si="9"/>
        <v>0.84515425472851657</v>
      </c>
      <c r="S7" s="199">
        <f t="shared" si="10"/>
        <v>0.92504826128926143</v>
      </c>
      <c r="T7" s="269">
        <v>11140</v>
      </c>
      <c r="U7" s="268">
        <f t="shared" si="3"/>
        <v>-270</v>
      </c>
      <c r="V7" s="269">
        <v>1710</v>
      </c>
      <c r="W7" s="108">
        <f t="shared" si="4"/>
        <v>6.5146198830409361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5">
        <f t="shared" si="11"/>
        <v>9.008478601621734</v>
      </c>
      <c r="AG7" s="635">
        <f t="shared" si="12"/>
        <v>9.8682938778216371</v>
      </c>
      <c r="AH7" s="108">
        <f t="shared" si="13"/>
        <v>3.73011579318135</v>
      </c>
      <c r="AI7" s="108">
        <f t="shared" si="14"/>
        <v>8.8810476113509687</v>
      </c>
      <c r="AJ7" s="108">
        <f t="shared" si="15"/>
        <v>10.884955812189798</v>
      </c>
      <c r="AK7" s="108">
        <f t="shared" si="16"/>
        <v>0.76030138343797071</v>
      </c>
      <c r="AL7" s="108">
        <f t="shared" si="17"/>
        <v>0.97039829384155785</v>
      </c>
      <c r="AM7" s="636">
        <f t="shared" si="18"/>
        <v>13.447264342633117</v>
      </c>
      <c r="AN7" s="636">
        <f t="shared" si="19"/>
        <v>14.730740034390074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11410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-2.4732142857142856</v>
      </c>
      <c r="D8" s="627" t="s">
        <v>364</v>
      </c>
      <c r="E8" s="133">
        <v>36</v>
      </c>
      <c r="F8" s="58">
        <f ca="1">46-41471+$D$1-112-112-112-112-112-112-112-112-112-112-112-112-112-112-112-112-112-112-112-112</f>
        <v>53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3.5</v>
      </c>
      <c r="N8" s="178">
        <f t="shared" si="8"/>
        <v>54</v>
      </c>
      <c r="O8" s="178" t="s">
        <v>256</v>
      </c>
      <c r="P8" s="304">
        <v>1.5</v>
      </c>
      <c r="Q8" s="178">
        <v>6</v>
      </c>
      <c r="R8" s="199">
        <f t="shared" si="9"/>
        <v>0.92582009977255142</v>
      </c>
      <c r="S8" s="199">
        <f t="shared" si="10"/>
        <v>0.99928545900129484</v>
      </c>
      <c r="T8" s="111">
        <v>16750</v>
      </c>
      <c r="U8" s="268">
        <f t="shared" si="3"/>
        <v>870</v>
      </c>
      <c r="V8" s="111">
        <v>5520</v>
      </c>
      <c r="W8" s="108">
        <f t="shared" si="4"/>
        <v>3.0344202898550723</v>
      </c>
      <c r="X8" s="184">
        <v>0</v>
      </c>
      <c r="Y8" s="185">
        <v>11.95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1740</v>
      </c>
      <c r="AF8" s="635">
        <f t="shared" si="11"/>
        <v>14.01360535939787</v>
      </c>
      <c r="AG8" s="635">
        <f t="shared" si="12"/>
        <v>15.136423764012715</v>
      </c>
      <c r="AH8" s="108">
        <f t="shared" si="13"/>
        <v>4.7921919598879255</v>
      </c>
      <c r="AI8" s="108">
        <f t="shared" si="14"/>
        <v>16.017147412842817</v>
      </c>
      <c r="AJ8" s="108">
        <f t="shared" si="15"/>
        <v>15.685636459587096</v>
      </c>
      <c r="AK8" s="108">
        <f t="shared" si="16"/>
        <v>1.0283139011210172</v>
      </c>
      <c r="AL8" s="108">
        <f t="shared" si="17"/>
        <v>1.2269496634808901</v>
      </c>
      <c r="AM8" s="636">
        <f t="shared" si="18"/>
        <v>19.149723737095329</v>
      </c>
      <c r="AN8" s="636">
        <f t="shared" si="19"/>
        <v>20.684065664376796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15880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-1.1071428571428572</v>
      </c>
      <c r="D9" s="627" t="s">
        <v>291</v>
      </c>
      <c r="E9" s="57">
        <v>35</v>
      </c>
      <c r="F9" s="58">
        <f ca="1">7-41471+$D$1-112-111-3-112-112-112-112-112-112-112-112-112-112-112-112-112-112-112-112-112-112</f>
        <v>12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</v>
      </c>
      <c r="N9" s="178">
        <f t="shared" si="8"/>
        <v>59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23630</v>
      </c>
      <c r="U9" s="268">
        <f t="shared" si="3"/>
        <v>350</v>
      </c>
      <c r="V9" s="269">
        <v>8170</v>
      </c>
      <c r="W9" s="108">
        <f t="shared" si="4"/>
        <v>2.8922888616891065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5">
        <f t="shared" si="11"/>
        <v>15.83660952311539</v>
      </c>
      <c r="AG9" s="635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6">
        <f t="shared" si="18"/>
        <v>17.653650315087059</v>
      </c>
      <c r="AN9" s="636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23280</v>
      </c>
      <c r="BH9" s="316"/>
      <c r="BJ9" s="136"/>
      <c r="BK9" s="139"/>
    </row>
    <row r="10" spans="1:63" s="82" customFormat="1" ht="14.25" customHeight="1" x14ac:dyDescent="0.25">
      <c r="A10" s="100" t="s">
        <v>427</v>
      </c>
      <c r="B10" s="79" t="s">
        <v>2</v>
      </c>
      <c r="C10" s="132">
        <f t="shared" ca="1" si="21"/>
        <v>-0.6875</v>
      </c>
      <c r="D10" s="627" t="s">
        <v>181</v>
      </c>
      <c r="E10" s="57">
        <v>34</v>
      </c>
      <c r="F10" s="58">
        <f ca="1">59-41471+$D$1-325-112-112-112-112-112-112-112-112-112-112-112-112-112-112-112-112-112</f>
        <v>77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5">
        <f t="shared" si="11"/>
        <v>4.3417346916240671</v>
      </c>
      <c r="AG10" s="635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6">
        <f t="shared" si="18"/>
        <v>5.7519284510780038</v>
      </c>
      <c r="AN10" s="636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1270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14.6875</v>
      </c>
      <c r="D11" s="314" t="s">
        <v>404</v>
      </c>
      <c r="E11" s="133">
        <v>19</v>
      </c>
      <c r="F11" s="58">
        <f ca="1">-43571+$D$1-112</f>
        <v>35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5.4</v>
      </c>
      <c r="N11" s="178">
        <f t="shared" si="8"/>
        <v>73</v>
      </c>
      <c r="O11" s="303">
        <v>43626</v>
      </c>
      <c r="P11" s="304">
        <f t="shared" ref="P11:P20" ca="1" si="22">IF((TODAY()-O11)&gt;335,1,((TODAY()-O11)^0.64)/(336^0.64))</f>
        <v>0.4364827370446035</v>
      </c>
      <c r="Q11" s="178">
        <v>4</v>
      </c>
      <c r="R11" s="199">
        <f t="shared" si="9"/>
        <v>0.7559289460184544</v>
      </c>
      <c r="S11" s="199">
        <f t="shared" si="10"/>
        <v>0.84430867747355465</v>
      </c>
      <c r="T11" s="111">
        <v>11900</v>
      </c>
      <c r="U11" s="268">
        <f t="shared" si="3"/>
        <v>310</v>
      </c>
      <c r="V11" s="111">
        <v>1884</v>
      </c>
      <c r="W11" s="108">
        <f t="shared" si="4"/>
        <v>6.3163481953290868</v>
      </c>
      <c r="X11" s="184">
        <v>0</v>
      </c>
      <c r="Y11" s="185">
        <v>4</v>
      </c>
      <c r="Z11" s="184">
        <f>9+3/5</f>
        <v>9.6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5">
        <f t="shared" ca="1" si="11"/>
        <v>7.764351123627903</v>
      </c>
      <c r="AG11" s="635">
        <f t="shared" ca="1" si="12"/>
        <v>8.6808084568044332</v>
      </c>
      <c r="AH11" s="108">
        <f t="shared" ca="1" si="13"/>
        <v>1.3241808847217102</v>
      </c>
      <c r="AI11" s="108">
        <f t="shared" ca="1" si="14"/>
        <v>6.6548273493452283</v>
      </c>
      <c r="AJ11" s="108">
        <f t="shared" ca="1" si="15"/>
        <v>5.2697856017670048</v>
      </c>
      <c r="AK11" s="108">
        <f t="shared" ca="1" si="16"/>
        <v>0.58370168659617439</v>
      </c>
      <c r="AL11" s="108">
        <f t="shared" ca="1" si="17"/>
        <v>0.38698897577165259</v>
      </c>
      <c r="AM11" s="636">
        <f t="shared" ca="1" si="18"/>
        <v>4.5621138950238196</v>
      </c>
      <c r="AN11" s="636">
        <f t="shared" ca="1" si="19"/>
        <v>5.1005983951848002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29</v>
      </c>
      <c r="AT11" s="320">
        <v>16</v>
      </c>
      <c r="AU11" s="320">
        <v>5</v>
      </c>
      <c r="AV11" s="320">
        <f>AR11*1+AS11*0.066</f>
        <v>7.9139999999999997</v>
      </c>
      <c r="AW11" s="320">
        <f>AR11*0.919+AS11*0.167</f>
        <v>10.356999999999999</v>
      </c>
      <c r="AX11" s="320">
        <f>AR11*1+AS11*0.236</f>
        <v>12.843999999999999</v>
      </c>
      <c r="AY11" s="320">
        <f>AR11*0.75+AS11*0.165</f>
        <v>9.2850000000000001</v>
      </c>
      <c r="AZ11" s="320">
        <f>AR11*0.73+AS11*0.38</f>
        <v>15.399999999999999</v>
      </c>
      <c r="BA11" s="320">
        <f>AR11*0.45+AS11*1</f>
        <v>31.7</v>
      </c>
      <c r="BB11" s="320">
        <f>AR11*0.65+AS11*0.95</f>
        <v>31.449999999999996</v>
      </c>
      <c r="BC11" s="320">
        <f>AR11*0.3+AS11*0.53</f>
        <v>17.170000000000002</v>
      </c>
      <c r="BD11" s="320">
        <f>AR11*0.4+AS11*0.44</f>
        <v>15.16</v>
      </c>
      <c r="BE11" s="320">
        <f>AR11*0.25+AS11*0.73</f>
        <v>22.669999999999998</v>
      </c>
      <c r="BF11" s="320">
        <f>AS11*0.46</f>
        <v>13.34</v>
      </c>
      <c r="BG11" s="111">
        <v>11590</v>
      </c>
      <c r="BH11" s="316">
        <v>2327</v>
      </c>
      <c r="BI11" s="641">
        <f>AU11+AT11+AS11+AR11</f>
        <v>56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15.196428571428571</v>
      </c>
      <c r="D12" s="314" t="s">
        <v>424</v>
      </c>
      <c r="E12" s="133">
        <v>18</v>
      </c>
      <c r="F12" s="58">
        <f ca="1">-43628+$D$1</f>
        <v>90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4.7</v>
      </c>
      <c r="N12" s="178">
        <f t="shared" si="8"/>
        <v>66</v>
      </c>
      <c r="O12" s="303">
        <v>43633</v>
      </c>
      <c r="P12" s="304">
        <f t="shared" ca="1" si="22"/>
        <v>0.41492631106246303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17880</v>
      </c>
      <c r="U12" s="268">
        <f t="shared" si="3"/>
        <v>1040</v>
      </c>
      <c r="V12" s="111">
        <v>1490</v>
      </c>
      <c r="W12" s="108">
        <f t="shared" si="4"/>
        <v>12</v>
      </c>
      <c r="X12" s="184">
        <v>0</v>
      </c>
      <c r="Y12" s="185">
        <v>3</v>
      </c>
      <c r="Z12" s="184">
        <f>8+2/5</f>
        <v>8.4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5">
        <f t="shared" ref="AF12" ca="1" si="23">(Z12+P12+J12)*(Q12/7)^0.5</f>
        <v>8.6303789031103175</v>
      </c>
      <c r="AG12" s="635">
        <f t="shared" ref="AG12" ca="1" si="24">(Z12+P12+J12)*(IF(Q12=7, (Q12/7)^0.5, ((Q12+1)/7)^0.5))</f>
        <v>9.3218746333446045</v>
      </c>
      <c r="AH12" s="108">
        <f t="shared" ca="1" si="13"/>
        <v>2.055971461456366</v>
      </c>
      <c r="AI12" s="108">
        <f t="shared" ca="1" si="14"/>
        <v>9.7001346857764918</v>
      </c>
      <c r="AJ12" s="108">
        <f t="shared" ca="1" si="15"/>
        <v>4.6493524740883458</v>
      </c>
      <c r="AK12" s="108">
        <f t="shared" ca="1" si="16"/>
        <v>0.5837499706675684</v>
      </c>
      <c r="AL12" s="108">
        <f t="shared" ca="1" si="17"/>
        <v>0.2445312243341223</v>
      </c>
      <c r="AM12" s="636">
        <f t="shared" ca="1" si="18"/>
        <v>2.4161716816794674</v>
      </c>
      <c r="AN12" s="636">
        <f t="shared" ca="1" si="19"/>
        <v>2.6097636919667808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22</v>
      </c>
      <c r="AT12" s="320">
        <v>27</v>
      </c>
      <c r="AU12" s="320">
        <v>1</v>
      </c>
      <c r="AV12" s="320">
        <f t="shared" ref="AV12:AV20" si="25">AR12*1+AS12*0.066</f>
        <v>4.452</v>
      </c>
      <c r="AW12" s="320">
        <f t="shared" ref="AW12:AW20" si="26">AR12*0.919+AS12*0.167</f>
        <v>6.4310000000000009</v>
      </c>
      <c r="AX12" s="320">
        <f t="shared" ref="AX12:AX20" si="27">AR12*1+AS12*0.236</f>
        <v>8.1920000000000002</v>
      </c>
      <c r="AY12" s="320">
        <f t="shared" ref="AY12:AY20" si="28">AR12*0.75+AS12*0.165</f>
        <v>5.8800000000000008</v>
      </c>
      <c r="AZ12" s="320">
        <f t="shared" ref="AZ12:AZ20" si="29">AR12*0.73+AS12*0.38</f>
        <v>10.549999999999999</v>
      </c>
      <c r="BA12" s="320">
        <f t="shared" ref="BA12:BA20" si="30">AR12*0.45+AS12*1</f>
        <v>23.35</v>
      </c>
      <c r="BB12" s="320">
        <f t="shared" ref="BB12:BB20" si="31">AR12*0.65+AS12*0.95</f>
        <v>22.849999999999998</v>
      </c>
      <c r="BC12" s="320">
        <f t="shared" ref="BC12:BC20" si="32">AR12*0.3+AS12*0.53</f>
        <v>12.56</v>
      </c>
      <c r="BD12" s="320">
        <f t="shared" ref="BD12:BD20" si="33">AR12*0.4+AS12*0.44</f>
        <v>10.879999999999999</v>
      </c>
      <c r="BE12" s="320">
        <f t="shared" ref="BE12:BE20" si="34">AR12*0.25+AS12*0.73</f>
        <v>16.809999999999999</v>
      </c>
      <c r="BF12" s="320">
        <f t="shared" ref="BF12:BF20" si="35">AS12*0.46</f>
        <v>10.120000000000001</v>
      </c>
      <c r="BG12" s="111">
        <v>16840</v>
      </c>
      <c r="BH12" s="316">
        <v>4689</v>
      </c>
      <c r="BI12" s="641">
        <f t="shared" ref="BI12:BI21" si="36">AU12+AT12+AS12+AR12</f>
        <v>53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14.544642857142858</v>
      </c>
      <c r="D13" s="314" t="s">
        <v>423</v>
      </c>
      <c r="E13" s="133">
        <v>19</v>
      </c>
      <c r="F13" s="58">
        <f ca="1">-43569+$D$1+14-112</f>
        <v>51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4.7</v>
      </c>
      <c r="N13" s="178">
        <f>M13*10+19</f>
        <v>66</v>
      </c>
      <c r="O13" s="303">
        <v>43630</v>
      </c>
      <c r="P13" s="304">
        <f ca="1">IF((TODAY()-O13)&gt;335,1,((TODAY()-O13)^0.64)/(336^0.64))</f>
        <v>0.42424015486581296</v>
      </c>
      <c r="Q13" s="178">
        <v>3</v>
      </c>
      <c r="R13" s="199">
        <f>(Q13/7)^0.5</f>
        <v>0.65465367070797709</v>
      </c>
      <c r="S13" s="199">
        <f>IF(Q13=7,1,((Q13+0.99)/7)^0.5)</f>
        <v>0.75498344352707503</v>
      </c>
      <c r="T13" s="111">
        <v>14330</v>
      </c>
      <c r="U13" s="268">
        <f>T13-BG13</f>
        <v>-520</v>
      </c>
      <c r="V13" s="111">
        <v>2436</v>
      </c>
      <c r="W13" s="108">
        <f>T13/V13</f>
        <v>5.8825944170771756</v>
      </c>
      <c r="X13" s="184">
        <v>0</v>
      </c>
      <c r="Y13" s="185">
        <v>4</v>
      </c>
      <c r="Z13" s="184">
        <f>10+2/6</f>
        <v>10.333333333333334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5">
        <f ca="1">(Z13+P13+J13)*(Q13/7)^0.5</f>
        <v>7.4589505463270864</v>
      </c>
      <c r="AG13" s="635">
        <f ca="1">(Z13+P13+J13)*(IF(Q13=7, (Q13/7)^0.5, ((Q13+1)/7)^0.5))</f>
        <v>8.6128542115880986</v>
      </c>
      <c r="AH13" s="108">
        <f ca="1">(((Y13+P13+J13)+(AB13+P13+J13)*2)/8)*(Q13/7)^0.5</f>
        <v>0.91497715158722281</v>
      </c>
      <c r="AI13" s="108">
        <f ca="1">(1.66*(AC13+J13+P13)+0.55*(AD13+J13+P13)-7.6)*(Q13/7)^0.5</f>
        <v>5.2526058969363332</v>
      </c>
      <c r="AJ13" s="108">
        <f ca="1">((AD13+J13+P13)*0.7+(AC13+J13+P13)*0.3)*(Q13/7)^0.5</f>
        <v>2.2653647587104673</v>
      </c>
      <c r="AK13" s="108">
        <f ca="1">(0.5*(AC13+P13+J13)+ 0.3*(AD13+P13+J13))/10</f>
        <v>0.4848321462260291</v>
      </c>
      <c r="AL13" s="108">
        <f ca="1">(0.4*(Y13+P13+J13)+0.3*(AD13+P13+J13))/10</f>
        <v>0.23422812794777537</v>
      </c>
      <c r="AM13" s="636">
        <f ca="1">(AD13+P13+(LOG(I13)*4/3))*(Q13/7)^0.5</f>
        <v>0.54049089685080076</v>
      </c>
      <c r="AN13" s="636">
        <f ca="1">(AD13+P13+(LOG(I13)*4/3))*(IF(Q13=7, (Q13/7)^0.5, ((Q13+1)/7)^0.5))</f>
        <v>0.62410512958270414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35</v>
      </c>
      <c r="AT13" s="320">
        <v>21</v>
      </c>
      <c r="AU13" s="320">
        <v>-1</v>
      </c>
      <c r="AV13" s="320">
        <f>AR13*1+AS13*0.066</f>
        <v>8.31</v>
      </c>
      <c r="AW13" s="320">
        <f>AR13*0.919+AS13*0.167</f>
        <v>11.359000000000002</v>
      </c>
      <c r="AX13" s="320">
        <f>AR13*1+AS13*0.236</f>
        <v>14.26</v>
      </c>
      <c r="AY13" s="320">
        <f>AR13*0.75+AS13*0.165</f>
        <v>10.275</v>
      </c>
      <c r="AZ13" s="320">
        <f>AR13*0.73+AS13*0.38</f>
        <v>17.68</v>
      </c>
      <c r="BA13" s="320">
        <f>AR13*0.45+AS13*1</f>
        <v>37.700000000000003</v>
      </c>
      <c r="BB13" s="320">
        <f>AR13*0.65+AS13*0.95</f>
        <v>37.15</v>
      </c>
      <c r="BC13" s="320">
        <f>AR13*0.3+AS13*0.53</f>
        <v>20.350000000000001</v>
      </c>
      <c r="BD13" s="320">
        <f>AR13*0.4+AS13*0.44</f>
        <v>17.8</v>
      </c>
      <c r="BE13" s="320">
        <f>AR13*0.25+AS13*0.73</f>
        <v>27.05</v>
      </c>
      <c r="BF13" s="320">
        <f>AS13*0.46</f>
        <v>16.100000000000001</v>
      </c>
      <c r="BG13" s="111">
        <v>14850</v>
      </c>
      <c r="BH13" s="316">
        <v>1887</v>
      </c>
      <c r="BI13" s="641">
        <f t="shared" si="36"/>
        <v>61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14.544642857142858</v>
      </c>
      <c r="D14" s="314" t="s">
        <v>418</v>
      </c>
      <c r="E14" s="133">
        <v>19</v>
      </c>
      <c r="F14" s="58">
        <f ca="1">-43569+$D$1+14-112</f>
        <v>51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0.43344036514721096</v>
      </c>
      <c r="Q14" s="178">
        <v>7</v>
      </c>
      <c r="R14" s="199">
        <f>(Q14/7)^0.5</f>
        <v>1</v>
      </c>
      <c r="S14" s="199">
        <f>IF(Q14=7,1,((Q14+0.99)/7)^0.5)</f>
        <v>1</v>
      </c>
      <c r="T14" s="111">
        <v>25290</v>
      </c>
      <c r="U14" s="268">
        <f>T14-BG14</f>
        <v>2370</v>
      </c>
      <c r="V14" s="111">
        <v>2604</v>
      </c>
      <c r="W14" s="108">
        <f>T14/V14</f>
        <v>9.7119815668202758</v>
      </c>
      <c r="X14" s="184">
        <v>0</v>
      </c>
      <c r="Y14" s="185">
        <v>2</v>
      </c>
      <c r="Z14" s="184">
        <f>10+2/6</f>
        <v>10.333333333333334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5">
        <f ca="1">(Z14+P14+J14)*(Q14/7)^0.5</f>
        <v>11.402935371440096</v>
      </c>
      <c r="AG14" s="635">
        <f ca="1">(Z14+P14+J14)*(IF(Q14=7, (Q14/7)^0.5, ((Q14+1)/7)^0.5))</f>
        <v>11.402935371440096</v>
      </c>
      <c r="AH14" s="108">
        <f ca="1">(((Y14+P14+J14)+(AB14+P14+J14)*2)/8)*(Q14/7)^0.5</f>
        <v>1.6511007642900353</v>
      </c>
      <c r="AI14" s="108">
        <f ca="1">(1.66*(AC14+J14+P14)+0.55*(AD14+J14+P14)-7.6)*(Q14/7)^0.5</f>
        <v>11.343820504215943</v>
      </c>
      <c r="AJ14" s="108">
        <f ca="1">((AD14+J14+P14)*0.7+(AC14+J14+P14)*0.3)*(Q14/7)^0.5</f>
        <v>7.6696020381067616</v>
      </c>
      <c r="AK14" s="108">
        <f ca="1">(0.5*(AC14+P14+J14)+ 0.3*(AD14+P14+J14))/10</f>
        <v>0.66556816304854094</v>
      </c>
      <c r="AL14" s="108">
        <f ca="1">(0.4*(Y14+P14+J14)+0.3*(AD14+P14+J14))/10</f>
        <v>0.33487214266747328</v>
      </c>
      <c r="AM14" s="636">
        <f ca="1">(AD14+P14+(LOG(I14)*4/3))*(Q14/7)^0.5</f>
        <v>6.8348136926991865</v>
      </c>
      <c r="AN14" s="636">
        <f ca="1">(AD14+P14+(LOG(I14)*4/3))*(IF(Q14=7, (Q14/7)^0.5, ((Q14+1)/7)^0.5))</f>
        <v>6.8348136926991865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35</v>
      </c>
      <c r="AT14" s="320">
        <v>21</v>
      </c>
      <c r="AU14" s="320">
        <v>5</v>
      </c>
      <c r="AV14" s="320">
        <f>AR14*1+AS14*0.066</f>
        <v>2.31</v>
      </c>
      <c r="AW14" s="320">
        <f>AR14*0.919+AS14*0.167</f>
        <v>5.8450000000000006</v>
      </c>
      <c r="AX14" s="320">
        <f>AR14*1+AS14*0.236</f>
        <v>8.26</v>
      </c>
      <c r="AY14" s="320">
        <f>AR14*0.75+AS14*0.165</f>
        <v>5.7750000000000004</v>
      </c>
      <c r="AZ14" s="320">
        <f>AR14*0.73+AS14*0.38</f>
        <v>13.3</v>
      </c>
      <c r="BA14" s="320">
        <f>AR14*0.45+AS14*1</f>
        <v>35</v>
      </c>
      <c r="BB14" s="320">
        <f>AR14*0.65+AS14*0.95</f>
        <v>33.25</v>
      </c>
      <c r="BC14" s="320">
        <f>AR14*0.3+AS14*0.53</f>
        <v>18.55</v>
      </c>
      <c r="BD14" s="320">
        <f>AR14*0.4+AS14*0.44</f>
        <v>15.4</v>
      </c>
      <c r="BE14" s="320">
        <f>AR14*0.25+AS14*0.73</f>
        <v>25.55</v>
      </c>
      <c r="BF14" s="320">
        <f>AS14*0.46</f>
        <v>16.100000000000001</v>
      </c>
      <c r="BG14" s="111">
        <v>22920</v>
      </c>
      <c r="BH14" s="316">
        <v>3853</v>
      </c>
      <c r="BI14" s="641">
        <f t="shared" si="36"/>
        <v>61</v>
      </c>
      <c r="BJ14" s="136"/>
      <c r="BK14" s="139"/>
    </row>
    <row r="15" spans="1:63" s="78" customFormat="1" x14ac:dyDescent="0.25">
      <c r="A15" s="131" t="s">
        <v>425</v>
      </c>
      <c r="B15" s="131" t="s">
        <v>62</v>
      </c>
      <c r="C15" s="132">
        <f ca="1">((34*112)-(E15*112)-(F15))/112</f>
        <v>14.669642857142858</v>
      </c>
      <c r="D15" s="314" t="s">
        <v>405</v>
      </c>
      <c r="E15" s="133">
        <v>19</v>
      </c>
      <c r="F15" s="58">
        <f ca="1">-43569+$D$1-112</f>
        <v>37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5.6</v>
      </c>
      <c r="N15" s="178">
        <f>M15*10+19</f>
        <v>75</v>
      </c>
      <c r="O15" s="303">
        <v>43626</v>
      </c>
      <c r="P15" s="304">
        <f ca="1">IF((TODAY()-O15)&gt;335,1,((TODAY()-O15)^0.64)/(336^0.64))</f>
        <v>0.4364827370446035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11180</v>
      </c>
      <c r="U15" s="268">
        <f>T15-BG15</f>
        <v>130</v>
      </c>
      <c r="V15" s="111">
        <v>1020</v>
      </c>
      <c r="W15" s="108">
        <f>T15/V15</f>
        <v>10.96078431372549</v>
      </c>
      <c r="X15" s="184">
        <v>0</v>
      </c>
      <c r="Y15" s="185">
        <v>6</v>
      </c>
      <c r="Z15" s="184">
        <f>8+2/4</f>
        <v>8.5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5">
        <f ca="1">(Z15+P15+J15)*(Q15/7)^0.5</f>
        <v>8.6962710732572504</v>
      </c>
      <c r="AG15" s="635">
        <f ca="1">(Z15+P15+J15)*(IF(Q15=7, (Q15/7)^0.5, ((Q15+1)/7)^0.5))</f>
        <v>9.3930463114742118</v>
      </c>
      <c r="AH15" s="108">
        <f ca="1">(((Y15+P15+J15)+(AB15+P15+J15)*2)/8)*(Q15/7)^0.5</f>
        <v>1.6987802341052884</v>
      </c>
      <c r="AI15" s="108">
        <f ca="1">(1.66*(AC15+J15+P15)+0.55*(AD15+J15+P15)-7.6)*(Q15/7)^0.5</f>
        <v>8.0857723721335955</v>
      </c>
      <c r="AJ15" s="108">
        <f ca="1">((AD15+J15+P15)*0.7+(AC15+J15+P15)*0.3)*(Q15/7)^0.5</f>
        <v>7.6778689635074446</v>
      </c>
      <c r="AK15" s="108">
        <f ca="1">(0.5*(AC15+P15+J15)+ 0.3*(AD15+P15+J15))/10</f>
        <v>0.61144370491793687</v>
      </c>
      <c r="AL15" s="108">
        <f ca="1">(0.4*(Y15+P15+J15)+0.3*(AD15+P15+J15))/10</f>
        <v>0.54251324180319482</v>
      </c>
      <c r="AM15" s="636">
        <f ca="1">(AD15+P15+(LOG(I15)*4/3))*(Q15/7)^0.5</f>
        <v>7.9084087414946103</v>
      </c>
      <c r="AN15" s="636">
        <f ca="1">(AD15+P15+(LOG(I15)*4/3))*(IF(Q15=7, (Q15/7)^0.5, ((Q15+1)/7)^0.5))</f>
        <v>8.5420577317747686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23</v>
      </c>
      <c r="AT15" s="320">
        <v>12</v>
      </c>
      <c r="AU15" s="320">
        <v>8</v>
      </c>
      <c r="AV15" s="320">
        <f>AR15*1+AS15*0.066</f>
        <v>15.518000000000001</v>
      </c>
      <c r="AW15" s="320">
        <f>AR15*0.919+AS15*0.167</f>
        <v>16.707000000000001</v>
      </c>
      <c r="AX15" s="320">
        <f>AR15*1+AS15*0.236</f>
        <v>19.428000000000001</v>
      </c>
      <c r="AY15" s="320">
        <f>AR15*0.75+AS15*0.165</f>
        <v>14.295</v>
      </c>
      <c r="AZ15" s="320">
        <f>AR15*0.73+AS15*0.38</f>
        <v>18.96</v>
      </c>
      <c r="BA15" s="320">
        <f>AR15*0.45+AS15*1</f>
        <v>29.3</v>
      </c>
      <c r="BB15" s="320">
        <f>AR15*0.65+AS15*0.95</f>
        <v>30.949999999999996</v>
      </c>
      <c r="BC15" s="320">
        <f>AR15*0.3+AS15*0.53</f>
        <v>16.39</v>
      </c>
      <c r="BD15" s="320">
        <f>AR15*0.4+AS15*0.44</f>
        <v>15.719999999999999</v>
      </c>
      <c r="BE15" s="320">
        <f>AR15*0.25+AS15*0.73</f>
        <v>20.29</v>
      </c>
      <c r="BF15" s="320">
        <f>AS15*0.46</f>
        <v>10.58</v>
      </c>
      <c r="BG15" s="111">
        <v>11050</v>
      </c>
      <c r="BH15" s="316">
        <v>1548</v>
      </c>
      <c r="BI15" s="641">
        <f>AU15+AT15+AS15+AR15</f>
        <v>57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14.178571428571429</v>
      </c>
      <c r="D16" s="314" t="s">
        <v>406</v>
      </c>
      <c r="E16" s="133">
        <v>19</v>
      </c>
      <c r="F16" s="58">
        <f ca="1">-43626+$D$1</f>
        <v>92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4.3</v>
      </c>
      <c r="N16" s="178">
        <f>M16*10+19</f>
        <v>62</v>
      </c>
      <c r="O16" s="303">
        <v>43626</v>
      </c>
      <c r="P16" s="304">
        <f ca="1">IF((TODAY()-O16)&gt;335,1,((TODAY()-O16)^0.64)/(336^0.64))</f>
        <v>0.4364827370446035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12070</v>
      </c>
      <c r="U16" s="268">
        <f>T16-BG16</f>
        <v>340</v>
      </c>
      <c r="V16" s="111">
        <v>870</v>
      </c>
      <c r="W16" s="108">
        <f>T16/V16</f>
        <v>13.873563218390805</v>
      </c>
      <c r="X16" s="184">
        <v>0</v>
      </c>
      <c r="Y16" s="185">
        <v>7</v>
      </c>
      <c r="Z16" s="184">
        <f>9+4/5</f>
        <v>9.8000000000000007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5">
        <f ca="1">(Z16+P16+J16)*(Q16/7)^0.5</f>
        <v>7.130246647630285</v>
      </c>
      <c r="AG16" s="635">
        <f ca="1">(Z16+P16+J16)*(IF(Q16=7, (Q16/7)^0.5, ((Q16+1)/7)^0.5))</f>
        <v>8.2332996427955436</v>
      </c>
      <c r="AH16" s="108">
        <f ca="1">(((Y16+P16+J16)+(AB16+P16+J16)*2)/8)*(Q16/7)^0.5</f>
        <v>1.4954658855869978</v>
      </c>
      <c r="AI16" s="108">
        <f ca="1">(1.66*(AC16+J16+P16)+0.55*(AD16+J16+P16)-7.6)*(Q16/7)^0.5</f>
        <v>3.844457591719161</v>
      </c>
      <c r="AJ16" s="108">
        <f ca="1">((AD16+J16+P16)*0.7+(AC16+J16+P16)*0.3)*(Q16/7)^0.5</f>
        <v>2.8095324209576349</v>
      </c>
      <c r="AK16" s="108">
        <f ca="1">(0.5*(AC16+P16+J16)+ 0.3*(AD16+P16+J16))/10</f>
        <v>0.44733053297255737</v>
      </c>
      <c r="AL16" s="108">
        <f ca="1">(0.4*(Y16+P16+J16)+0.3*(AD16+P16+J16))/10</f>
        <v>0.41641421635098769</v>
      </c>
      <c r="AM16" s="636">
        <f ca="1">(AD16+P16+(LOG(I16)*4/3))*(Q16/7)^0.5</f>
        <v>1.8763084261835297</v>
      </c>
      <c r="AN16" s="636">
        <f ca="1">(AD16+P16+(LOG(I16)*4/3))*(IF(Q16=7, (Q16/7)^0.5, ((Q16+1)/7)^0.5))</f>
        <v>2.1665743498796477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29</v>
      </c>
      <c r="AT16" s="320">
        <v>12</v>
      </c>
      <c r="AU16" s="320">
        <v>1</v>
      </c>
      <c r="AV16" s="320">
        <f>AR16*1+AS16*0.066</f>
        <v>19.914000000000001</v>
      </c>
      <c r="AW16" s="320">
        <f>AR16*0.919+AS16*0.167</f>
        <v>21.385000000000002</v>
      </c>
      <c r="AX16" s="320">
        <f>AR16*1+AS16*0.236</f>
        <v>24.844000000000001</v>
      </c>
      <c r="AY16" s="320">
        <f>AR16*0.75+AS16*0.165</f>
        <v>18.285</v>
      </c>
      <c r="AZ16" s="320">
        <f>AR16*0.73+AS16*0.38</f>
        <v>24.16</v>
      </c>
      <c r="BA16" s="320">
        <f>AR16*0.45+AS16*1</f>
        <v>37.1</v>
      </c>
      <c r="BB16" s="320">
        <f>AR16*0.65+AS16*0.95</f>
        <v>39.25</v>
      </c>
      <c r="BC16" s="320">
        <f>AR16*0.3+AS16*0.53</f>
        <v>20.77</v>
      </c>
      <c r="BD16" s="320">
        <f>AR16*0.4+AS16*0.44</f>
        <v>19.96</v>
      </c>
      <c r="BE16" s="320">
        <f>AR16*0.25+AS16*0.73</f>
        <v>25.669999999999998</v>
      </c>
      <c r="BF16" s="320">
        <f>AS16*0.46</f>
        <v>13.34</v>
      </c>
      <c r="BG16" s="111">
        <v>11730</v>
      </c>
      <c r="BH16" s="316">
        <v>1308</v>
      </c>
      <c r="BI16" s="641">
        <f t="shared" si="36"/>
        <v>60</v>
      </c>
      <c r="BJ16" s="136"/>
      <c r="BK16" s="139"/>
    </row>
    <row r="17" spans="1:63" s="78" customFormat="1" x14ac:dyDescent="0.25">
      <c r="A17" s="131" t="s">
        <v>426</v>
      </c>
      <c r="B17" s="131" t="s">
        <v>63</v>
      </c>
      <c r="C17" s="132">
        <f t="shared" ca="1" si="21"/>
        <v>10.553571428571429</v>
      </c>
      <c r="D17" s="342" t="s">
        <v>650</v>
      </c>
      <c r="E17" s="133">
        <v>23</v>
      </c>
      <c r="F17" s="58">
        <f ca="1">-43571+$D$1+15-112</f>
        <v>50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6.5</v>
      </c>
      <c r="N17" s="178">
        <f t="shared" si="8"/>
        <v>84</v>
      </c>
      <c r="O17" s="303">
        <v>43650</v>
      </c>
      <c r="P17" s="304">
        <f ca="1">IF((TODAY()-O17)&gt;335,1,((TODAY()-O17)^0.64)/(336^0.64))</f>
        <v>0.35970673264589692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111">
        <v>21560</v>
      </c>
      <c r="U17" s="268">
        <f>T17-BG17</f>
        <v>1680</v>
      </c>
      <c r="V17" s="111">
        <v>2316</v>
      </c>
      <c r="W17" s="108">
        <f t="shared" si="4"/>
        <v>9.3091537132987909</v>
      </c>
      <c r="X17" s="184">
        <v>0</v>
      </c>
      <c r="Y17" s="185">
        <v>3</v>
      </c>
      <c r="Z17" s="184">
        <f>9+6/12</f>
        <v>9.5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5">
        <f t="shared" ca="1" si="11"/>
        <v>8.8368631124376193</v>
      </c>
      <c r="AG17" s="635">
        <f t="shared" ca="1" si="12"/>
        <v>9.6802985285347898</v>
      </c>
      <c r="AH17" s="108">
        <f t="shared" ca="1" si="13"/>
        <v>1.8876258623097355</v>
      </c>
      <c r="AI17" s="108">
        <f t="shared" ca="1" si="14"/>
        <v>0.96565427337527232</v>
      </c>
      <c r="AJ17" s="108">
        <f t="shared" ca="1" si="15"/>
        <v>3.343360456702261</v>
      </c>
      <c r="AK17" s="108">
        <f t="shared" ca="1" si="16"/>
        <v>0.31647339528817514</v>
      </c>
      <c r="AL17" s="108">
        <f t="shared" ca="1" si="17"/>
        <v>0.27691422087715328</v>
      </c>
      <c r="AM17" s="636">
        <f t="shared" ca="1" si="18"/>
        <v>3.1271299648067439</v>
      </c>
      <c r="AN17" s="636">
        <f t="shared" ca="1" si="19"/>
        <v>3.4255992439499798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28</v>
      </c>
      <c r="AT17" s="320">
        <v>2</v>
      </c>
      <c r="AU17" s="320">
        <v>1</v>
      </c>
      <c r="AV17" s="320">
        <f t="shared" si="25"/>
        <v>4.8479999999999999</v>
      </c>
      <c r="AW17" s="320">
        <f t="shared" si="26"/>
        <v>7.4329999999999998</v>
      </c>
      <c r="AX17" s="320">
        <f t="shared" si="27"/>
        <v>9.6080000000000005</v>
      </c>
      <c r="AY17" s="320">
        <f t="shared" si="28"/>
        <v>6.87</v>
      </c>
      <c r="AZ17" s="320">
        <f t="shared" si="29"/>
        <v>12.83</v>
      </c>
      <c r="BA17" s="320">
        <f t="shared" si="30"/>
        <v>29.35</v>
      </c>
      <c r="BB17" s="320">
        <f t="shared" si="31"/>
        <v>28.549999999999997</v>
      </c>
      <c r="BC17" s="320">
        <f t="shared" si="32"/>
        <v>15.74</v>
      </c>
      <c r="BD17" s="320">
        <f t="shared" si="33"/>
        <v>13.52</v>
      </c>
      <c r="BE17" s="320">
        <f t="shared" si="34"/>
        <v>21.189999999999998</v>
      </c>
      <c r="BF17" s="320">
        <f t="shared" si="35"/>
        <v>12.88</v>
      </c>
      <c r="BG17" s="111">
        <v>19880</v>
      </c>
      <c r="BH17" s="316">
        <v>2017</v>
      </c>
      <c r="BI17" s="641">
        <f t="shared" si="36"/>
        <v>34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7.5</v>
      </c>
      <c r="D18" s="342" t="s">
        <v>441</v>
      </c>
      <c r="E18" s="133">
        <v>26</v>
      </c>
      <c r="F18" s="58">
        <f ca="1">-43570+$D$1+20-112</f>
        <v>56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6.2</v>
      </c>
      <c r="N18" s="178">
        <f t="shared" si="8"/>
        <v>81</v>
      </c>
      <c r="O18" s="303">
        <v>43639</v>
      </c>
      <c r="P18" s="304">
        <f t="shared" ca="1" si="22"/>
        <v>0.39593527945771984</v>
      </c>
      <c r="Q18" s="178">
        <v>3</v>
      </c>
      <c r="R18" s="199">
        <f t="shared" si="9"/>
        <v>0.65465367070797709</v>
      </c>
      <c r="S18" s="199">
        <f t="shared" si="10"/>
        <v>0.75498344352707503</v>
      </c>
      <c r="T18" s="111">
        <v>19760</v>
      </c>
      <c r="U18" s="268">
        <f t="shared" si="3"/>
        <v>-30</v>
      </c>
      <c r="V18" s="111">
        <v>2940</v>
      </c>
      <c r="W18" s="108">
        <f t="shared" si="4"/>
        <v>6.72108843537415</v>
      </c>
      <c r="X18" s="184">
        <v>0</v>
      </c>
      <c r="Y18" s="185">
        <v>3</v>
      </c>
      <c r="Z18" s="184">
        <f>10+0/7</f>
        <v>10</v>
      </c>
      <c r="AA18" s="185">
        <v>9</v>
      </c>
      <c r="AB18" s="184">
        <v>5</v>
      </c>
      <c r="AC18" s="185">
        <v>5</v>
      </c>
      <c r="AD18" s="184">
        <v>1</v>
      </c>
      <c r="AE18" s="312">
        <v>838</v>
      </c>
      <c r="AF18" s="635">
        <f t="shared" ca="1" si="11"/>
        <v>7.4588092421520464</v>
      </c>
      <c r="AG18" s="635">
        <f t="shared" ca="1" si="12"/>
        <v>8.6126910475811052</v>
      </c>
      <c r="AH18" s="108">
        <f t="shared" ca="1" si="13"/>
        <v>1.4059144155525662</v>
      </c>
      <c r="AI18" s="108">
        <f t="shared" ca="1" si="14"/>
        <v>2.8344393908946999</v>
      </c>
      <c r="AJ18" s="108">
        <f t="shared" ca="1" si="15"/>
        <v>2.3525106106298255</v>
      </c>
      <c r="AK18" s="108">
        <f t="shared" ca="1" si="16"/>
        <v>0.39148154523727896</v>
      </c>
      <c r="AL18" s="108">
        <f t="shared" ca="1" si="17"/>
        <v>0.2475463520826191</v>
      </c>
      <c r="AM18" s="636">
        <f t="shared" ca="1" si="18"/>
        <v>1.4923566178354983</v>
      </c>
      <c r="AN18" s="636">
        <f t="shared" ca="1" si="19"/>
        <v>1.7232249900684888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30.5</v>
      </c>
      <c r="AT18" s="320">
        <v>8</v>
      </c>
      <c r="AU18" s="320">
        <v>0</v>
      </c>
      <c r="AV18" s="320">
        <f t="shared" si="25"/>
        <v>5.0129999999999999</v>
      </c>
      <c r="AW18" s="320">
        <f t="shared" si="26"/>
        <v>7.8505000000000003</v>
      </c>
      <c r="AX18" s="320">
        <f t="shared" si="27"/>
        <v>10.198</v>
      </c>
      <c r="AY18" s="320">
        <f t="shared" si="28"/>
        <v>7.2825000000000006</v>
      </c>
      <c r="AZ18" s="320">
        <f t="shared" si="29"/>
        <v>13.78</v>
      </c>
      <c r="BA18" s="320">
        <f t="shared" si="30"/>
        <v>31.85</v>
      </c>
      <c r="BB18" s="320">
        <f t="shared" si="31"/>
        <v>30.924999999999997</v>
      </c>
      <c r="BC18" s="320">
        <f t="shared" si="32"/>
        <v>17.064999999999998</v>
      </c>
      <c r="BD18" s="320">
        <f t="shared" si="33"/>
        <v>14.620000000000001</v>
      </c>
      <c r="BE18" s="320">
        <f t="shared" si="34"/>
        <v>23.015000000000001</v>
      </c>
      <c r="BF18" s="320">
        <f t="shared" si="35"/>
        <v>14.030000000000001</v>
      </c>
      <c r="BG18" s="111">
        <v>19790</v>
      </c>
      <c r="BH18" s="316">
        <v>1486</v>
      </c>
      <c r="BI18" s="641">
        <f t="shared" si="36"/>
        <v>41.5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14.133928571428571</v>
      </c>
      <c r="D19" s="342" t="s">
        <v>421</v>
      </c>
      <c r="E19" s="133">
        <v>19</v>
      </c>
      <c r="F19" s="58">
        <f ca="1">-43626+$D$1+5</f>
        <v>97</v>
      </c>
      <c r="G19" s="134" t="s">
        <v>220</v>
      </c>
      <c r="H19" s="130">
        <v>4</v>
      </c>
      <c r="I19" s="102">
        <v>0.4</v>
      </c>
      <c r="J19" s="185">
        <f>LOG(I19+1)*4/3</f>
        <v>0.19483738090431735</v>
      </c>
      <c r="K19" s="98">
        <f>(H19)*(H19)*(I19)</f>
        <v>6.4</v>
      </c>
      <c r="L19" s="98">
        <f>(H19+1)*(H19+1)*I19</f>
        <v>10</v>
      </c>
      <c r="M19" s="135">
        <v>5.0999999999999996</v>
      </c>
      <c r="N19" s="178">
        <f>M19*10+19</f>
        <v>70</v>
      </c>
      <c r="O19" s="303">
        <v>43628</v>
      </c>
      <c r="P19" s="304">
        <f ca="1">IF((TODAY()-O19)&gt;335,1,((TODAY()-O19)^0.64)/(336^0.64))</f>
        <v>0.43038593336745762</v>
      </c>
      <c r="Q19" s="178">
        <v>5</v>
      </c>
      <c r="R19" s="199">
        <f>(Q19/7)^0.5</f>
        <v>0.84515425472851657</v>
      </c>
      <c r="S19" s="199">
        <f>IF(Q19=7,1,((Q19+0.99)/7)^0.5)</f>
        <v>0.92504826128926143</v>
      </c>
      <c r="T19" s="111">
        <v>13080</v>
      </c>
      <c r="U19" s="268">
        <f>T19-BG19</f>
        <v>-50</v>
      </c>
      <c r="V19" s="111">
        <v>948</v>
      </c>
      <c r="W19" s="108">
        <f>T19/V19</f>
        <v>13.79746835443038</v>
      </c>
      <c r="X19" s="184">
        <v>0</v>
      </c>
      <c r="Y19" s="185">
        <v>7</v>
      </c>
      <c r="Z19" s="184">
        <v>9</v>
      </c>
      <c r="AA19" s="185">
        <v>1</v>
      </c>
      <c r="AB19" s="184">
        <v>1</v>
      </c>
      <c r="AC19" s="185">
        <v>6</v>
      </c>
      <c r="AD19" s="184">
        <v>1</v>
      </c>
      <c r="AE19" s="312">
        <v>688</v>
      </c>
      <c r="AF19" s="635">
        <f ca="1">(Z19+P19+J19)*(Q19/7)^0.5</f>
        <v>8.1347984367689037</v>
      </c>
      <c r="AG19" s="635">
        <f ca="1">(Z19+P19+J19)*(IF(Q19=7, (Q19/7)^0.5, ((Q19+1)/7)^0.5))</f>
        <v>8.9112252091521835</v>
      </c>
      <c r="AH19" s="108">
        <f ca="1">(((Y19+P19+J19)+(AB19+P19+J19)*2)/8)*(Q19/7)^0.5</f>
        <v>1.1489523406491768</v>
      </c>
      <c r="AI19" s="108">
        <f ca="1">(1.66*(AC19+J19+P19)+0.55*(AD19+J19+P19)-7.6)*(Q19/7)^0.5</f>
        <v>3.6271852999690655</v>
      </c>
      <c r="AJ19" s="108">
        <f ca="1">((AD19+J19+P19)*0.7+(AC19+J19+P19)*0.3)*(Q19/7)^0.5</f>
        <v>2.6412957810335467</v>
      </c>
      <c r="AK19" s="108">
        <f ca="1">(0.5*(AC19+P19+J19)+ 0.3*(AD19+P19+J19))/10</f>
        <v>0.38001786514174196</v>
      </c>
      <c r="AL19" s="108">
        <f ca="1">(0.4*(Y19+P19+J19)+0.3*(AD19+P19+J19))/10</f>
        <v>0.35376563199902422</v>
      </c>
      <c r="AM19" s="636">
        <f ca="1">(AD19+P19+(LOG(I19)*4/3))*(Q19/7)^0.5</f>
        <v>0.76046916888149341</v>
      </c>
      <c r="AN19" s="636">
        <f ca="1">(AD19+P19+(LOG(I19)*4/3))*(IF(Q19=7, (Q19/7)^0.5, ((Q19+1)/7)^0.5))</f>
        <v>0.83305223616719926</v>
      </c>
      <c r="AO19" s="178">
        <v>4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0.157</v>
      </c>
      <c r="AR19" s="320">
        <v>18</v>
      </c>
      <c r="AS19" s="320">
        <v>25</v>
      </c>
      <c r="AT19" s="320">
        <v>12</v>
      </c>
      <c r="AU19" s="320">
        <v>0</v>
      </c>
      <c r="AV19" s="320">
        <f>AR19*1+AS19*0.066</f>
        <v>19.649999999999999</v>
      </c>
      <c r="AW19" s="320">
        <f>AR19*0.919+AS19*0.167</f>
        <v>20.717000000000002</v>
      </c>
      <c r="AX19" s="320">
        <f>AR19*1+AS19*0.236</f>
        <v>23.9</v>
      </c>
      <c r="AY19" s="320">
        <f>AR19*0.75+AS19*0.165</f>
        <v>17.625</v>
      </c>
      <c r="AZ19" s="320">
        <f>AR19*0.73+AS19*0.38</f>
        <v>22.64</v>
      </c>
      <c r="BA19" s="320">
        <f>AR19*0.45+AS19*1</f>
        <v>33.1</v>
      </c>
      <c r="BB19" s="320">
        <f>AR19*0.65+AS19*0.95</f>
        <v>35.450000000000003</v>
      </c>
      <c r="BC19" s="320">
        <f>AR19*0.3+AS19*0.53</f>
        <v>18.649999999999999</v>
      </c>
      <c r="BD19" s="320">
        <f>AR19*0.4+AS19*0.44</f>
        <v>18.2</v>
      </c>
      <c r="BE19" s="320">
        <f>AR19*0.25+AS19*0.73</f>
        <v>22.75</v>
      </c>
      <c r="BF19" s="320">
        <f>AS19*0.46</f>
        <v>11.5</v>
      </c>
      <c r="BG19" s="111">
        <v>13130</v>
      </c>
      <c r="BH19" s="316">
        <v>740</v>
      </c>
      <c r="BI19" s="641">
        <f>AU19+AT19+AS19+AR19</f>
        <v>55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9.5357142857142865</v>
      </c>
      <c r="D20" s="342" t="s">
        <v>649</v>
      </c>
      <c r="E20" s="133">
        <v>24</v>
      </c>
      <c r="F20" s="58">
        <f ca="1">-43570+$D$1+33-17-112</f>
        <v>52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0.35970673264589692</v>
      </c>
      <c r="Q20" s="178">
        <v>5</v>
      </c>
      <c r="R20" s="199">
        <f t="shared" si="9"/>
        <v>0.84515425472851657</v>
      </c>
      <c r="S20" s="199">
        <f t="shared" si="10"/>
        <v>0.92504826128926143</v>
      </c>
      <c r="T20" s="111">
        <v>48830</v>
      </c>
      <c r="U20" s="268">
        <f t="shared" si="3"/>
        <v>1450</v>
      </c>
      <c r="V20" s="111">
        <v>3636</v>
      </c>
      <c r="W20" s="108">
        <f t="shared" si="4"/>
        <v>13.429592959295929</v>
      </c>
      <c r="X20" s="184">
        <v>0</v>
      </c>
      <c r="Y20" s="185">
        <v>9</v>
      </c>
      <c r="Z20" s="184">
        <f>9+0.5/6</f>
        <v>9.0833333333333339</v>
      </c>
      <c r="AA20" s="185">
        <v>9</v>
      </c>
      <c r="AB20" s="184">
        <v>5</v>
      </c>
      <c r="AC20" s="185">
        <v>5</v>
      </c>
      <c r="AD20" s="184">
        <v>3</v>
      </c>
      <c r="AE20" s="312">
        <v>1040</v>
      </c>
      <c r="AF20" s="635">
        <f t="shared" ca="1" si="11"/>
        <v>8.7381939749719244</v>
      </c>
      <c r="AG20" s="635">
        <f t="shared" ca="1" si="12"/>
        <v>9.5722119038957114</v>
      </c>
      <c r="AH20" s="108">
        <f t="shared" ca="1" si="13"/>
        <v>2.4052574154256887</v>
      </c>
      <c r="AI20" s="108">
        <f t="shared" ca="1" si="14"/>
        <v>4.3317538148372678</v>
      </c>
      <c r="AJ20" s="108">
        <f t="shared" ca="1" si="15"/>
        <v>4.1039314782105576</v>
      </c>
      <c r="AK20" s="108">
        <f t="shared" ca="1" si="16"/>
        <v>0.44046697679148161</v>
      </c>
      <c r="AL20" s="108">
        <f t="shared" ca="1" si="17"/>
        <v>0.53790860469254642</v>
      </c>
      <c r="AM20" s="636">
        <f t="shared" ca="1" si="18"/>
        <v>3.4797612459214551</v>
      </c>
      <c r="AN20" s="636">
        <f t="shared" ca="1" si="19"/>
        <v>3.8118874582469253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25.5</v>
      </c>
      <c r="AT20" s="320">
        <v>8</v>
      </c>
      <c r="AU20" s="320">
        <v>1</v>
      </c>
      <c r="AV20" s="320">
        <f t="shared" si="25"/>
        <v>31.683</v>
      </c>
      <c r="AW20" s="320">
        <f t="shared" si="26"/>
        <v>31.828500000000002</v>
      </c>
      <c r="AX20" s="320">
        <f t="shared" si="27"/>
        <v>36.018000000000001</v>
      </c>
      <c r="AY20" s="320">
        <f t="shared" si="28"/>
        <v>26.7075</v>
      </c>
      <c r="AZ20" s="320">
        <f t="shared" si="29"/>
        <v>31.589999999999996</v>
      </c>
      <c r="BA20" s="320">
        <f t="shared" si="30"/>
        <v>39</v>
      </c>
      <c r="BB20" s="320">
        <f t="shared" si="31"/>
        <v>43.724999999999994</v>
      </c>
      <c r="BC20" s="320">
        <f t="shared" si="32"/>
        <v>22.515000000000001</v>
      </c>
      <c r="BD20" s="320">
        <f t="shared" si="33"/>
        <v>23.22</v>
      </c>
      <c r="BE20" s="320">
        <f t="shared" si="34"/>
        <v>26.114999999999998</v>
      </c>
      <c r="BF20" s="320">
        <f t="shared" si="35"/>
        <v>11.73</v>
      </c>
      <c r="BG20" s="111">
        <v>47380</v>
      </c>
      <c r="BH20" s="316">
        <v>3600</v>
      </c>
      <c r="BI20" s="641">
        <f t="shared" si="36"/>
        <v>64.5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-2</v>
      </c>
      <c r="D21" s="627" t="s">
        <v>107</v>
      </c>
      <c r="E21" s="133">
        <v>36</v>
      </c>
      <c r="F21" s="138">
        <f ca="1">75-41471+$D$1-24-112-10-112-40-8-112-112-112-112-112-112-112-112-112-112-112-112-112-112-112-112-112-112</f>
        <v>0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3.4</v>
      </c>
      <c r="N21" s="178">
        <f t="shared" ref="N21:N25" si="41">M21*10+19</f>
        <v>53</v>
      </c>
      <c r="O21" s="178" t="s">
        <v>256</v>
      </c>
      <c r="P21" s="304">
        <v>1.5</v>
      </c>
      <c r="Q21" s="178">
        <v>4</v>
      </c>
      <c r="R21" s="199">
        <f t="shared" ref="R21:R25" si="42">(Q21/7)^0.5</f>
        <v>0.7559289460184544</v>
      </c>
      <c r="S21" s="199">
        <f t="shared" ref="S21:S25" si="43">IF(Q21=7,1,((Q21+0.99)/7)^0.5)</f>
        <v>0.84430867747355465</v>
      </c>
      <c r="T21" s="111">
        <v>7430</v>
      </c>
      <c r="U21" s="268">
        <f t="shared" ref="U21:U25" si="44">T21-BG21</f>
        <v>1360</v>
      </c>
      <c r="V21" s="111">
        <v>1790</v>
      </c>
      <c r="W21" s="108">
        <f t="shared" ref="W21:W25" si="45">T21/V21</f>
        <v>4.1508379888268152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1365</v>
      </c>
      <c r="AF21" s="635">
        <f t="shared" ref="AF21:AF25" si="46">(Z21+P21+J21)*(Q21/7)^0.5</f>
        <v>10.320297616245579</v>
      </c>
      <c r="AG21" s="635">
        <f t="shared" ref="AG21:AG25" si="47">(Z21+P21+J21)*(IF(Q21=7, (Q21/7)^0.5, ((Q21+1)/7)^0.5))</f>
        <v>11.538443508977076</v>
      </c>
      <c r="AH21" s="108">
        <f t="shared" ref="AH21:AH25" si="48">(((Y21+P21+J21)+(AB21+P21+J21)*2)/8)*(Q21/7)^0.5</f>
        <v>3.4023805707431714</v>
      </c>
      <c r="AI21" s="108">
        <f t="shared" ref="AI21:AI25" si="49">(1.66*(AC21+J21+P21)+0.55*(AD21+J21+P21)-7.6)*(Q21/7)^0.5</f>
        <v>11.773940871344347</v>
      </c>
      <c r="AJ21" s="108">
        <f t="shared" ref="AJ21:AJ25" si="50">((AD21+J21+P21)*0.7+(AC21+J21+P21)*0.3)*(Q21/7)^0.5</f>
        <v>12.701473796203704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6">
        <f t="shared" ref="AM21:AM25" si="53">(AD21+P21+(LOG(I21)*4/3))*(Q21/7)^0.5</f>
        <v>15.845317829759216</v>
      </c>
      <c r="AN21" s="636">
        <f t="shared" ref="AN21:AN25" si="54">(AD21+P21+(LOG(I21)*4/3))*(IF(Q21=7, (Q21/7)^0.5, ((Q21+1)/7)^0.5))</f>
        <v>17.715603896215526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111">
        <v>6070</v>
      </c>
      <c r="BH21" s="318"/>
      <c r="BI21" s="641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0.8660714285714286</v>
      </c>
      <c r="D22" s="627" t="s">
        <v>225</v>
      </c>
      <c r="E22" s="133">
        <v>33</v>
      </c>
      <c r="F22" s="58">
        <f ca="1">7-41471+$D$1-112-111-112+4-112-116-112-112-112-112-112-112-112-112-112-112-112-112-112-112-112</f>
        <v>15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4.8</v>
      </c>
      <c r="N22" s="178">
        <f t="shared" si="41"/>
        <v>67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640">
        <v>46950</v>
      </c>
      <c r="U22" s="268">
        <f t="shared" si="44"/>
        <v>2090</v>
      </c>
      <c r="V22" s="111">
        <v>9890</v>
      </c>
      <c r="W22" s="108">
        <f t="shared" si="45"/>
        <v>4.7472194135490398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5">
        <f t="shared" si="46"/>
        <v>12.925671482707076</v>
      </c>
      <c r="AG22" s="635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6">
        <f t="shared" si="53"/>
        <v>16.056636785811651</v>
      </c>
      <c r="AN22" s="636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0">
        <v>44860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-2.1339285714285716</v>
      </c>
      <c r="D23" s="627" t="s">
        <v>169</v>
      </c>
      <c r="E23" s="57">
        <v>36</v>
      </c>
      <c r="F23" s="58">
        <f ca="1">7-41471+$D$1-112-111-112-112-112-112-112-112-112-112-112-112-112-112-112-112-112-112-112-112</f>
        <v>15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3.8</v>
      </c>
      <c r="N23" s="178">
        <f t="shared" si="41"/>
        <v>57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7870</v>
      </c>
      <c r="U23" s="268">
        <f t="shared" si="44"/>
        <v>-150</v>
      </c>
      <c r="V23" s="269">
        <v>4550</v>
      </c>
      <c r="W23" s="108">
        <f t="shared" si="45"/>
        <v>1.7296703296703297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5">
        <f t="shared" si="46"/>
        <v>16.944098574941133</v>
      </c>
      <c r="AG23" s="635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6">
        <f t="shared" si="53"/>
        <v>19.898479774232996</v>
      </c>
      <c r="AN23" s="636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8020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-1.4642857142857142</v>
      </c>
      <c r="D24" s="627" t="s">
        <v>102</v>
      </c>
      <c r="E24" s="133">
        <v>35</v>
      </c>
      <c r="F24" s="138">
        <f ca="1">74-41471+$D$1-112-112-29-112-112-112-112-112-112-112-112-112-112-112-112-112-112-112-112-112-112</f>
        <v>52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3.9</v>
      </c>
      <c r="N24" s="178">
        <f t="shared" si="41"/>
        <v>58</v>
      </c>
      <c r="O24" s="178" t="s">
        <v>256</v>
      </c>
      <c r="P24" s="304">
        <v>1.5</v>
      </c>
      <c r="Q24" s="178">
        <v>6</v>
      </c>
      <c r="R24" s="199">
        <f t="shared" si="42"/>
        <v>0.92582009977255142</v>
      </c>
      <c r="S24" s="199">
        <f t="shared" si="43"/>
        <v>0.99928545900129484</v>
      </c>
      <c r="T24" s="111">
        <v>2450</v>
      </c>
      <c r="U24" s="268">
        <f t="shared" si="44"/>
        <v>-580</v>
      </c>
      <c r="V24" s="111">
        <v>790</v>
      </c>
      <c r="W24" s="108">
        <f t="shared" si="45"/>
        <v>3.1012658227848102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8.9499999999999993</v>
      </c>
      <c r="AC24" s="185">
        <v>6.95</v>
      </c>
      <c r="AD24" s="184">
        <f>17.99+0.2+0.15+0.15+0.15+0.15+0.11+0.1</f>
        <v>18.999999999999993</v>
      </c>
      <c r="AE24" s="312">
        <v>1194</v>
      </c>
      <c r="AF24" s="635">
        <f t="shared" si="46"/>
        <v>11.140727445618877</v>
      </c>
      <c r="AG24" s="635">
        <f t="shared" si="47"/>
        <v>12.033360961115283</v>
      </c>
      <c r="AH24" s="108">
        <f t="shared" si="48"/>
        <v>3.9333121990957083</v>
      </c>
      <c r="AI24" s="108">
        <f t="shared" si="49"/>
        <v>19.628522766794237</v>
      </c>
      <c r="AJ24" s="108">
        <f t="shared" si="50"/>
        <v>17.09837978765524</v>
      </c>
      <c r="AK24" s="108">
        <f t="shared" si="51"/>
        <v>1.1641688768892222</v>
      </c>
      <c r="AL24" s="108">
        <f t="shared" si="52"/>
        <v>1.0593400291828317</v>
      </c>
      <c r="AM24" s="636">
        <f t="shared" si="53"/>
        <v>20.409225749343172</v>
      </c>
      <c r="AN24" s="636">
        <f t="shared" si="54"/>
        <v>22.04448332279366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3030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1.2589285714285714</v>
      </c>
      <c r="D25" s="627" t="s">
        <v>251</v>
      </c>
      <c r="E25" s="57">
        <v>32</v>
      </c>
      <c r="F25" s="58">
        <f ca="1">7-41471+$D$1-112-111-43-112-112-1-112-112-112-112-112-112-112-112-112-112-112-112-112-112-112</f>
        <v>83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4.8</v>
      </c>
      <c r="N25" s="178">
        <f t="shared" si="41"/>
        <v>67</v>
      </c>
      <c r="O25" s="178" t="s">
        <v>256</v>
      </c>
      <c r="P25" s="304">
        <v>1.5</v>
      </c>
      <c r="Q25" s="179">
        <v>2</v>
      </c>
      <c r="R25" s="199">
        <f t="shared" si="42"/>
        <v>0.53452248382484879</v>
      </c>
      <c r="S25" s="199">
        <f t="shared" si="43"/>
        <v>0.65356167049702141</v>
      </c>
      <c r="T25" s="269">
        <v>6370</v>
      </c>
      <c r="U25" s="268">
        <f t="shared" si="44"/>
        <v>-790</v>
      </c>
      <c r="V25" s="269">
        <v>2040</v>
      </c>
      <c r="W25" s="108">
        <f t="shared" si="45"/>
        <v>3.1225490196078431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5">
        <f t="shared" si="46"/>
        <v>4.6242059347321769</v>
      </c>
      <c r="AG25" s="635">
        <f t="shared" si="47"/>
        <v>5.6634725028217821</v>
      </c>
      <c r="AH25" s="108">
        <f t="shared" si="48"/>
        <v>2.2632544845111666</v>
      </c>
      <c r="AI25" s="108">
        <f t="shared" si="49"/>
        <v>10.239272447659632</v>
      </c>
      <c r="AJ25" s="108">
        <f t="shared" si="50"/>
        <v>7.9302274971888673</v>
      </c>
      <c r="AK25" s="108">
        <f t="shared" si="51"/>
        <v>1.0295877717461819</v>
      </c>
      <c r="AL25" s="108">
        <f t="shared" si="52"/>
        <v>0.76637680027790922</v>
      </c>
      <c r="AM25" s="636">
        <f t="shared" si="53"/>
        <v>8.8547858271729538</v>
      </c>
      <c r="AN25" s="636">
        <f t="shared" si="54"/>
        <v>10.844853529101004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7160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366700</v>
      </c>
      <c r="U26" s="68">
        <f t="shared" ref="U26:V26" si="56">SUM(U4:U25)</f>
        <v>11550</v>
      </c>
      <c r="V26" s="68">
        <f t="shared" si="56"/>
        <v>72736</v>
      </c>
      <c r="W26" s="107">
        <f t="shared" si="4"/>
        <v>5.0415200175978878</v>
      </c>
      <c r="X26"/>
      <c r="AD26" s="105"/>
      <c r="AE26" s="68"/>
      <c r="AH26" s="638"/>
      <c r="AI26" s="638"/>
      <c r="AJ26" s="638"/>
      <c r="AK26" s="638"/>
      <c r="AL26" s="638"/>
      <c r="AM26" s="638"/>
      <c r="AN26" s="638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39"/>
      <c r="AI27" s="639"/>
      <c r="AJ27" s="639"/>
      <c r="AK27" s="639"/>
      <c r="AL27" s="639"/>
      <c r="AM27" s="639"/>
      <c r="AN27" s="639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9" priority="467" operator="greaterThan">
      <formula>6</formula>
    </cfRule>
    <cfRule type="cellIs" dxfId="78" priority="468" operator="lessThan">
      <formula>5</formula>
    </cfRule>
  </conditionalFormatting>
  <conditionalFormatting sqref="R5:S25">
    <cfRule type="cellIs" dxfId="77" priority="461" operator="greaterThan">
      <formula>0.95</formula>
    </cfRule>
    <cfRule type="cellIs" dxfId="76" priority="462" operator="lessThan">
      <formula>0.85</formula>
    </cfRule>
  </conditionalFormatting>
  <conditionalFormatting sqref="Q4">
    <cfRule type="cellIs" dxfId="75" priority="340" operator="greaterThan">
      <formula>6</formula>
    </cfRule>
    <cfRule type="cellIs" dxfId="74" priority="341" operator="lessThan">
      <formula>5</formula>
    </cfRule>
  </conditionalFormatting>
  <conditionalFormatting sqref="R4:S4">
    <cfRule type="cellIs" dxfId="73" priority="338" operator="greaterThan">
      <formula>0.95</formula>
    </cfRule>
    <cfRule type="cellIs" dxfId="72" priority="339" operator="lessThan">
      <formula>0.85</formula>
    </cfRule>
  </conditionalFormatting>
  <conditionalFormatting sqref="AQ4:AQ25">
    <cfRule type="cellIs" dxfId="71" priority="56" operator="lessThan">
      <formula>0.07</formula>
    </cfRule>
    <cfRule type="cellIs" dxfId="70" priority="57" operator="greaterThan">
      <formula>0.1</formula>
    </cfRule>
  </conditionalFormatting>
  <conditionalFormatting sqref="V4:V25">
    <cfRule type="dataBar" priority="36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9" priority="3653" operator="greaterThan">
      <formula>10</formula>
    </cfRule>
    <cfRule type="colorScale" priority="3654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57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61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{9FD8BA70-E1FE-4D9E-9B38-FE4EA7CD1693}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9FD8BA70-E1FE-4D9E-9B38-FE4EA7CD1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9"/>
  <sheetViews>
    <sheetView workbookViewId="0">
      <selection activeCell="H18" sqref="H18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5" t="s">
        <v>446</v>
      </c>
      <c r="B1" s="665"/>
      <c r="C1" s="665"/>
      <c r="D1" s="665"/>
      <c r="E1" s="66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8" t="s">
        <v>581</v>
      </c>
      <c r="AE1" s="668"/>
      <c r="AF1" s="668"/>
      <c r="AG1" s="668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</row>
    <row r="2" spans="1:47" x14ac:dyDescent="0.25">
      <c r="A2" s="375" t="s">
        <v>71</v>
      </c>
      <c r="B2" s="375" t="s">
        <v>447</v>
      </c>
      <c r="C2" s="375" t="s">
        <v>61</v>
      </c>
      <c r="D2" s="376" t="s">
        <v>448</v>
      </c>
      <c r="E2" s="375" t="s">
        <v>449</v>
      </c>
      <c r="F2" s="375" t="s">
        <v>331</v>
      </c>
      <c r="G2" s="375" t="s">
        <v>1</v>
      </c>
      <c r="H2" s="375" t="s">
        <v>450</v>
      </c>
      <c r="I2" s="377" t="s">
        <v>2</v>
      </c>
      <c r="J2" s="377" t="s">
        <v>450</v>
      </c>
      <c r="K2" s="375" t="s">
        <v>321</v>
      </c>
      <c r="L2" s="375" t="s">
        <v>450</v>
      </c>
      <c r="M2" s="377" t="s">
        <v>260</v>
      </c>
      <c r="N2" s="377" t="s">
        <v>450</v>
      </c>
      <c r="O2" s="375" t="s">
        <v>262</v>
      </c>
      <c r="P2" s="375" t="s">
        <v>450</v>
      </c>
      <c r="Q2" s="377" t="s">
        <v>322</v>
      </c>
      <c r="R2" s="377" t="s">
        <v>450</v>
      </c>
      <c r="S2" s="375" t="s">
        <v>0</v>
      </c>
      <c r="T2" s="375" t="s">
        <v>450</v>
      </c>
      <c r="U2" s="376" t="s">
        <v>451</v>
      </c>
      <c r="V2" s="376" t="s">
        <v>75</v>
      </c>
      <c r="W2" s="376" t="s">
        <v>67</v>
      </c>
      <c r="X2" s="376" t="s">
        <v>452</v>
      </c>
      <c r="Y2" s="376" t="s">
        <v>0</v>
      </c>
      <c r="Z2" s="376" t="s">
        <v>453</v>
      </c>
      <c r="AA2" s="378" t="s">
        <v>454</v>
      </c>
      <c r="AB2" s="379"/>
    </row>
    <row r="3" spans="1:47" x14ac:dyDescent="0.25">
      <c r="A3" s="669" t="s">
        <v>455</v>
      </c>
      <c r="B3" s="669"/>
      <c r="C3" s="669"/>
      <c r="D3" s="669"/>
      <c r="E3" s="669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1"/>
      <c r="AA3" s="383"/>
      <c r="AB3" s="374"/>
      <c r="AD3" s="666" t="s">
        <v>456</v>
      </c>
      <c r="AE3" s="666"/>
      <c r="AF3" s="666"/>
      <c r="AG3" s="666"/>
      <c r="AH3" s="667" t="s">
        <v>457</v>
      </c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</row>
    <row r="4" spans="1:47" x14ac:dyDescent="0.25">
      <c r="A4" s="384" t="s">
        <v>456</v>
      </c>
      <c r="B4" s="384"/>
      <c r="C4" s="384"/>
      <c r="D4" s="384"/>
      <c r="E4" s="384"/>
      <c r="F4" s="384"/>
      <c r="G4" s="384" t="s">
        <v>457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5"/>
      <c r="AA4" s="386"/>
      <c r="AB4" s="387"/>
      <c r="AD4" s="424" t="s">
        <v>71</v>
      </c>
      <c r="AE4" s="424" t="s">
        <v>447</v>
      </c>
      <c r="AF4" s="424" t="s">
        <v>61</v>
      </c>
      <c r="AG4" s="449" t="s">
        <v>448</v>
      </c>
      <c r="AH4" s="450" t="s">
        <v>1</v>
      </c>
      <c r="AI4" s="450" t="s">
        <v>485</v>
      </c>
      <c r="AJ4" s="450" t="s">
        <v>2</v>
      </c>
      <c r="AK4" s="450" t="s">
        <v>486</v>
      </c>
      <c r="AL4" s="450" t="s">
        <v>321</v>
      </c>
      <c r="AM4" s="450" t="s">
        <v>487</v>
      </c>
      <c r="AN4" s="450" t="s">
        <v>260</v>
      </c>
      <c r="AO4" s="450" t="s">
        <v>488</v>
      </c>
      <c r="AP4" s="450" t="s">
        <v>322</v>
      </c>
      <c r="AQ4" s="450" t="s">
        <v>489</v>
      </c>
      <c r="AR4" s="450" t="s">
        <v>262</v>
      </c>
      <c r="AS4" s="450" t="s">
        <v>490</v>
      </c>
      <c r="AT4" s="450" t="s">
        <v>0</v>
      </c>
      <c r="AU4" s="450" t="s">
        <v>491</v>
      </c>
    </row>
    <row r="5" spans="1:47" x14ac:dyDescent="0.25">
      <c r="A5" s="384" t="s">
        <v>71</v>
      </c>
      <c r="B5" s="384" t="s">
        <v>447</v>
      </c>
      <c r="C5" s="384" t="s">
        <v>61</v>
      </c>
      <c r="D5" s="385" t="s">
        <v>448</v>
      </c>
      <c r="E5" s="384" t="s">
        <v>449</v>
      </c>
      <c r="F5" s="384" t="s">
        <v>331</v>
      </c>
      <c r="G5" s="384" t="s">
        <v>1</v>
      </c>
      <c r="H5" s="384" t="s">
        <v>450</v>
      </c>
      <c r="I5" s="388" t="s">
        <v>2</v>
      </c>
      <c r="J5" s="388" t="s">
        <v>450</v>
      </c>
      <c r="K5" s="384" t="s">
        <v>321</v>
      </c>
      <c r="L5" s="384" t="s">
        <v>450</v>
      </c>
      <c r="M5" s="388" t="s">
        <v>260</v>
      </c>
      <c r="N5" s="388" t="s">
        <v>450</v>
      </c>
      <c r="O5" s="384" t="s">
        <v>262</v>
      </c>
      <c r="P5" s="384" t="s">
        <v>450</v>
      </c>
      <c r="Q5" s="388" t="s">
        <v>322</v>
      </c>
      <c r="R5" s="388" t="s">
        <v>450</v>
      </c>
      <c r="S5" s="384" t="s">
        <v>0</v>
      </c>
      <c r="T5" s="384" t="s">
        <v>450</v>
      </c>
      <c r="U5" s="385" t="s">
        <v>451</v>
      </c>
      <c r="V5" s="385" t="s">
        <v>75</v>
      </c>
      <c r="W5" s="385" t="s">
        <v>67</v>
      </c>
      <c r="X5" s="385" t="s">
        <v>452</v>
      </c>
      <c r="Y5" s="385" t="s">
        <v>0</v>
      </c>
      <c r="Z5" s="385" t="s">
        <v>453</v>
      </c>
      <c r="AA5" s="386" t="s">
        <v>454</v>
      </c>
      <c r="AB5" s="379"/>
      <c r="AD5" s="490" t="s">
        <v>99</v>
      </c>
      <c r="AE5" s="426">
        <v>17</v>
      </c>
      <c r="AF5" s="427">
        <v>1798</v>
      </c>
      <c r="AG5" s="429" t="s">
        <v>220</v>
      </c>
      <c r="AH5" s="451"/>
      <c r="AI5" s="451"/>
      <c r="AJ5" s="452">
        <v>3</v>
      </c>
      <c r="AK5" s="452">
        <v>3.99</v>
      </c>
      <c r="AL5" s="452">
        <v>2</v>
      </c>
      <c r="AM5" s="452">
        <v>2.99</v>
      </c>
      <c r="AN5" s="451"/>
      <c r="AO5" s="453">
        <v>3.99</v>
      </c>
      <c r="AP5" s="451"/>
      <c r="AQ5" s="453">
        <v>3.99</v>
      </c>
      <c r="AR5" s="452">
        <v>2</v>
      </c>
      <c r="AS5" s="452">
        <v>2.99</v>
      </c>
      <c r="AT5" s="451"/>
      <c r="AU5" s="451"/>
    </row>
    <row r="6" spans="1:47" ht="15.75" x14ac:dyDescent="0.25">
      <c r="A6" s="442" t="s">
        <v>656</v>
      </c>
      <c r="B6" s="402">
        <v>16</v>
      </c>
      <c r="C6" s="390">
        <f ca="1">2+$A$33-$A$32</f>
        <v>76</v>
      </c>
      <c r="D6" s="391"/>
      <c r="E6" s="430">
        <f ca="1">F6-$A$33</f>
        <v>62</v>
      </c>
      <c r="F6" s="392">
        <v>43780</v>
      </c>
      <c r="G6" s="402"/>
      <c r="H6" s="398">
        <v>1.99</v>
      </c>
      <c r="I6" s="395">
        <v>3</v>
      </c>
      <c r="J6" s="396">
        <v>5.99</v>
      </c>
      <c r="K6" s="428"/>
      <c r="L6" s="398">
        <v>4.99</v>
      </c>
      <c r="M6" s="428"/>
      <c r="N6" s="398">
        <v>2.99</v>
      </c>
      <c r="O6" s="428"/>
      <c r="P6" s="397">
        <v>6.99</v>
      </c>
      <c r="Q6" s="395">
        <v>4</v>
      </c>
      <c r="R6" s="396">
        <v>5.99</v>
      </c>
      <c r="S6" s="428"/>
      <c r="T6" s="428"/>
      <c r="U6" s="408" t="s">
        <v>657</v>
      </c>
      <c r="V6" s="400"/>
      <c r="W6" s="400">
        <f>COUNTA(H6,J6,L6,N6,P6,R6,T6)</f>
        <v>6</v>
      </c>
      <c r="X6" s="400">
        <v>0</v>
      </c>
      <c r="Y6" s="400">
        <v>0</v>
      </c>
      <c r="Z6" s="400"/>
      <c r="AA6" s="401" t="s">
        <v>465</v>
      </c>
      <c r="AB6" s="369"/>
      <c r="AD6" s="490" t="s">
        <v>98</v>
      </c>
      <c r="AE6" s="426">
        <v>16</v>
      </c>
      <c r="AF6" s="427">
        <v>1849</v>
      </c>
      <c r="AG6" s="429"/>
      <c r="AH6" s="451"/>
      <c r="AI6" s="451"/>
      <c r="AJ6" s="452">
        <v>4</v>
      </c>
      <c r="AK6" s="452">
        <v>4.99</v>
      </c>
      <c r="AL6" s="451"/>
      <c r="AM6" s="451"/>
      <c r="AN6" s="452">
        <v>0</v>
      </c>
      <c r="AO6" s="452">
        <v>0.99</v>
      </c>
      <c r="AP6" s="454">
        <v>3</v>
      </c>
      <c r="AQ6" s="453">
        <v>4.99</v>
      </c>
      <c r="AR6" s="452">
        <v>1</v>
      </c>
      <c r="AS6" s="452">
        <v>1.99</v>
      </c>
      <c r="AT6" s="451"/>
      <c r="AU6" s="451"/>
    </row>
    <row r="7" spans="1:47" ht="15.75" x14ac:dyDescent="0.25">
      <c r="A7" s="441" t="s">
        <v>461</v>
      </c>
      <c r="B7" s="369">
        <v>16</v>
      </c>
      <c r="C7" s="414">
        <f ca="1">58+$A$33-$A$32-112</f>
        <v>20</v>
      </c>
      <c r="D7" s="415" t="s">
        <v>105</v>
      </c>
      <c r="E7" s="430">
        <f ca="1">F7-$A$33</f>
        <v>92</v>
      </c>
      <c r="F7" s="392">
        <v>43810</v>
      </c>
      <c r="G7" s="368"/>
      <c r="H7" s="398">
        <v>0.99</v>
      </c>
      <c r="I7" s="394">
        <v>1</v>
      </c>
      <c r="J7" s="405">
        <v>1.99</v>
      </c>
      <c r="K7" s="406">
        <v>5</v>
      </c>
      <c r="L7" s="652">
        <v>5.99</v>
      </c>
      <c r="M7" s="395">
        <v>3</v>
      </c>
      <c r="N7" s="398">
        <v>4.99</v>
      </c>
      <c r="O7" s="368"/>
      <c r="P7" s="398">
        <v>2.99</v>
      </c>
      <c r="Q7" s="406">
        <v>4</v>
      </c>
      <c r="R7" s="407">
        <v>4.99</v>
      </c>
      <c r="S7" s="368"/>
      <c r="T7" s="368"/>
      <c r="U7" s="370" t="s">
        <v>463</v>
      </c>
      <c r="V7" s="369"/>
      <c r="W7" s="400">
        <f>COUNTA(H7,J7,L7,N7,P7,R7,T7)</f>
        <v>6</v>
      </c>
      <c r="X7" s="400">
        <v>0</v>
      </c>
      <c r="Y7" s="400">
        <v>0</v>
      </c>
      <c r="Z7" s="400"/>
      <c r="AA7" s="401" t="s">
        <v>465</v>
      </c>
      <c r="AB7" s="374"/>
      <c r="AD7" s="490" t="s">
        <v>492</v>
      </c>
      <c r="AE7" s="426">
        <v>18</v>
      </c>
      <c r="AF7" s="427">
        <v>1773</v>
      </c>
      <c r="AG7" s="429"/>
      <c r="AH7" s="451"/>
      <c r="AI7" s="451"/>
      <c r="AJ7" s="452">
        <v>4</v>
      </c>
      <c r="AK7" s="452">
        <v>4.99</v>
      </c>
      <c r="AL7" s="452">
        <v>2</v>
      </c>
      <c r="AM7" s="452">
        <v>2.99</v>
      </c>
      <c r="AN7" s="451"/>
      <c r="AO7" s="451"/>
      <c r="AP7" s="451"/>
      <c r="AQ7" s="451"/>
      <c r="AR7" s="454">
        <v>4</v>
      </c>
      <c r="AS7" s="453">
        <v>4.99</v>
      </c>
      <c r="AT7" s="451"/>
      <c r="AU7" s="453">
        <v>2.99</v>
      </c>
    </row>
    <row r="8" spans="1:47" ht="15.75" x14ac:dyDescent="0.25">
      <c r="A8" s="440" t="s">
        <v>669</v>
      </c>
      <c r="B8" s="402">
        <v>16</v>
      </c>
      <c r="C8" s="390">
        <f ca="1">52+$A$33-$A$32-112</f>
        <v>14</v>
      </c>
      <c r="D8" s="403" t="s">
        <v>220</v>
      </c>
      <c r="E8" s="430">
        <f ca="1">F8-$A$33</f>
        <v>98</v>
      </c>
      <c r="F8" s="392">
        <v>43816</v>
      </c>
      <c r="G8" s="402"/>
      <c r="H8" s="428"/>
      <c r="I8" s="428"/>
      <c r="J8" s="398">
        <v>2.99</v>
      </c>
      <c r="K8" s="428"/>
      <c r="L8" s="396">
        <v>5.99</v>
      </c>
      <c r="M8" s="395">
        <v>2</v>
      </c>
      <c r="N8" s="398">
        <v>3.99</v>
      </c>
      <c r="O8" s="428"/>
      <c r="P8" s="398">
        <v>1.99</v>
      </c>
      <c r="Q8" s="619">
        <v>3</v>
      </c>
      <c r="R8" s="620">
        <v>3.99</v>
      </c>
      <c r="S8" s="428"/>
      <c r="T8" s="402"/>
      <c r="U8" s="399" t="s">
        <v>463</v>
      </c>
      <c r="V8" s="400"/>
      <c r="W8" s="400">
        <f t="shared" ref="W8" si="0">COUNTA(H8,J8,L8,N8,P8,R8,T8)</f>
        <v>5</v>
      </c>
      <c r="X8" s="400">
        <v>0</v>
      </c>
      <c r="Y8" s="400">
        <v>0</v>
      </c>
      <c r="Z8" s="412"/>
      <c r="AA8" s="401" t="s">
        <v>465</v>
      </c>
      <c r="AB8" s="387"/>
      <c r="AD8" s="490" t="s">
        <v>95</v>
      </c>
      <c r="AE8" s="426">
        <v>17</v>
      </c>
      <c r="AF8" s="427">
        <v>1752</v>
      </c>
      <c r="AG8" s="429"/>
      <c r="AH8" s="451"/>
      <c r="AI8" s="451">
        <v>1.99</v>
      </c>
      <c r="AJ8" s="455">
        <v>6</v>
      </c>
      <c r="AK8" s="456">
        <v>6.99</v>
      </c>
      <c r="AL8" s="457">
        <v>4</v>
      </c>
      <c r="AM8" s="457">
        <v>4.99</v>
      </c>
      <c r="AN8" s="452">
        <v>3</v>
      </c>
      <c r="AO8" s="452">
        <v>3.99</v>
      </c>
      <c r="AP8" s="454">
        <v>2</v>
      </c>
      <c r="AQ8" s="453">
        <v>3.99</v>
      </c>
      <c r="AR8" s="452">
        <v>2</v>
      </c>
      <c r="AS8" s="452">
        <v>2.99</v>
      </c>
      <c r="AT8" s="451"/>
      <c r="AU8" s="451"/>
    </row>
    <row r="9" spans="1:47" x14ac:dyDescent="0.25">
      <c r="A9" s="670" t="s">
        <v>460</v>
      </c>
      <c r="B9" s="670"/>
      <c r="C9" s="670"/>
      <c r="D9" s="670"/>
      <c r="E9" s="670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4"/>
      <c r="V9" s="434"/>
      <c r="W9" s="434"/>
      <c r="X9" s="434"/>
      <c r="Y9" s="434"/>
      <c r="Z9" s="434"/>
      <c r="AA9" s="435"/>
      <c r="AB9" s="379"/>
      <c r="AD9" s="490" t="s">
        <v>97</v>
      </c>
      <c r="AE9" s="426">
        <v>17</v>
      </c>
      <c r="AF9" s="427">
        <v>1701</v>
      </c>
      <c r="AG9" s="429"/>
      <c r="AH9" s="451"/>
      <c r="AI9" s="451"/>
      <c r="AJ9" s="452">
        <v>1</v>
      </c>
      <c r="AK9" s="452">
        <v>1.99</v>
      </c>
      <c r="AL9" s="457">
        <v>5</v>
      </c>
      <c r="AM9" s="458">
        <v>5.99</v>
      </c>
      <c r="AN9" s="452">
        <v>2</v>
      </c>
      <c r="AO9" s="452">
        <v>2.99</v>
      </c>
      <c r="AP9" s="452">
        <v>2</v>
      </c>
      <c r="AQ9" s="452">
        <v>2.99</v>
      </c>
      <c r="AR9" s="452">
        <v>2</v>
      </c>
      <c r="AS9" s="452">
        <v>2.99</v>
      </c>
      <c r="AT9" s="451"/>
      <c r="AU9" s="451"/>
    </row>
    <row r="10" spans="1:47" ht="15.75" x14ac:dyDescent="0.25">
      <c r="A10" s="436" t="s">
        <v>456</v>
      </c>
      <c r="B10" s="436"/>
      <c r="C10" s="436"/>
      <c r="D10" s="436"/>
      <c r="E10" s="436"/>
      <c r="F10" s="436"/>
      <c r="G10" s="436" t="s">
        <v>457</v>
      </c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7"/>
      <c r="V10" s="437"/>
      <c r="W10" s="437"/>
      <c r="X10" s="437"/>
      <c r="Y10" s="437"/>
      <c r="Z10" s="437"/>
      <c r="AA10" s="438"/>
      <c r="AB10" s="368"/>
      <c r="AD10" s="490" t="s">
        <v>493</v>
      </c>
      <c r="AE10" s="426">
        <v>17</v>
      </c>
      <c r="AF10" s="427">
        <v>1714</v>
      </c>
      <c r="AG10" s="429" t="s">
        <v>96</v>
      </c>
      <c r="AH10" s="459"/>
      <c r="AI10" s="459"/>
      <c r="AJ10" s="460">
        <v>5</v>
      </c>
      <c r="AK10" s="461">
        <v>5.99</v>
      </c>
      <c r="AL10" s="462">
        <v>2</v>
      </c>
      <c r="AM10" s="462">
        <v>2.99</v>
      </c>
      <c r="AN10" s="462">
        <v>4</v>
      </c>
      <c r="AO10" s="462">
        <v>4.99</v>
      </c>
      <c r="AP10" s="462">
        <v>5</v>
      </c>
      <c r="AQ10" s="463">
        <v>5.99</v>
      </c>
      <c r="AR10" s="459"/>
      <c r="AS10" s="464">
        <v>5.99</v>
      </c>
      <c r="AT10" s="459"/>
      <c r="AU10" s="453">
        <v>2.99</v>
      </c>
    </row>
    <row r="11" spans="1:47" ht="15.75" x14ac:dyDescent="0.25">
      <c r="A11" s="436" t="s">
        <v>71</v>
      </c>
      <c r="B11" s="436" t="s">
        <v>447</v>
      </c>
      <c r="C11" s="436" t="s">
        <v>61</v>
      </c>
      <c r="D11" s="437" t="s">
        <v>448</v>
      </c>
      <c r="E11" s="436" t="s">
        <v>449</v>
      </c>
      <c r="F11" s="436" t="s">
        <v>331</v>
      </c>
      <c r="G11" s="436" t="s">
        <v>1</v>
      </c>
      <c r="H11" s="436" t="s">
        <v>450</v>
      </c>
      <c r="I11" s="439" t="s">
        <v>2</v>
      </c>
      <c r="J11" s="439" t="s">
        <v>450</v>
      </c>
      <c r="K11" s="436" t="s">
        <v>321</v>
      </c>
      <c r="L11" s="436" t="s">
        <v>450</v>
      </c>
      <c r="M11" s="439" t="s">
        <v>260</v>
      </c>
      <c r="N11" s="439" t="s">
        <v>450</v>
      </c>
      <c r="O11" s="436" t="s">
        <v>262</v>
      </c>
      <c r="P11" s="436" t="s">
        <v>450</v>
      </c>
      <c r="Q11" s="439" t="s">
        <v>322</v>
      </c>
      <c r="R11" s="439" t="s">
        <v>450</v>
      </c>
      <c r="S11" s="436" t="s">
        <v>0</v>
      </c>
      <c r="T11" s="436" t="s">
        <v>450</v>
      </c>
      <c r="U11" s="437" t="s">
        <v>451</v>
      </c>
      <c r="V11" s="437" t="s">
        <v>75</v>
      </c>
      <c r="W11" s="437" t="s">
        <v>67</v>
      </c>
      <c r="X11" s="437" t="s">
        <v>452</v>
      </c>
      <c r="Y11" s="437" t="s">
        <v>0</v>
      </c>
      <c r="Z11" s="437" t="s">
        <v>453</v>
      </c>
      <c r="AA11" s="438" t="s">
        <v>454</v>
      </c>
      <c r="AB11" s="368"/>
      <c r="AD11" s="490" t="s">
        <v>494</v>
      </c>
      <c r="AE11" s="426">
        <v>17</v>
      </c>
      <c r="AF11" s="427">
        <v>1719</v>
      </c>
      <c r="AG11" s="429" t="s">
        <v>220</v>
      </c>
      <c r="AH11" s="459"/>
      <c r="AI11" s="459"/>
      <c r="AJ11" s="465">
        <v>2</v>
      </c>
      <c r="AK11" s="459"/>
      <c r="AL11" s="465">
        <v>2</v>
      </c>
      <c r="AM11" s="459"/>
      <c r="AN11" s="459"/>
      <c r="AO11" s="465">
        <v>2.99</v>
      </c>
      <c r="AP11" s="460">
        <v>5</v>
      </c>
      <c r="AQ11" s="461">
        <v>5.99</v>
      </c>
      <c r="AR11" s="460">
        <v>4</v>
      </c>
      <c r="AS11" s="460">
        <v>4.99</v>
      </c>
      <c r="AT11" s="459"/>
      <c r="AU11" s="459"/>
    </row>
    <row r="12" spans="1:47" ht="15.75" x14ac:dyDescent="0.25">
      <c r="A12" s="440" t="s">
        <v>672</v>
      </c>
      <c r="B12" s="428">
        <v>16</v>
      </c>
      <c r="C12" s="427">
        <f ca="1">9+$A$33-$A$32-74</f>
        <v>9</v>
      </c>
      <c r="D12" s="429"/>
      <c r="E12" s="430">
        <f ca="1">F12-$A$33</f>
        <v>104</v>
      </c>
      <c r="F12" s="392">
        <v>43822</v>
      </c>
      <c r="G12" s="428"/>
      <c r="H12" s="428"/>
      <c r="I12" s="395">
        <v>3</v>
      </c>
      <c r="J12" s="428"/>
      <c r="K12" s="428"/>
      <c r="L12" s="428"/>
      <c r="M12" s="395">
        <v>3</v>
      </c>
      <c r="N12" s="428"/>
      <c r="O12" s="428"/>
      <c r="P12" s="398">
        <v>2.99</v>
      </c>
      <c r="Q12" s="428"/>
      <c r="R12" s="398">
        <v>4.99</v>
      </c>
      <c r="S12" s="428"/>
      <c r="T12" s="428"/>
      <c r="U12" s="428"/>
      <c r="V12" s="400"/>
      <c r="W12" s="400">
        <f>COUNTA(H12,J12,L12,N12,P12,R12,T12)</f>
        <v>2</v>
      </c>
      <c r="X12" s="400">
        <v>0</v>
      </c>
      <c r="Y12" s="400">
        <v>0</v>
      </c>
      <c r="Z12" s="400"/>
      <c r="AA12" s="401"/>
      <c r="AB12" s="369"/>
      <c r="AD12" s="490" t="s">
        <v>495</v>
      </c>
      <c r="AE12" s="426">
        <v>18</v>
      </c>
      <c r="AF12" s="427">
        <v>1715</v>
      </c>
      <c r="AG12" s="429"/>
      <c r="AH12" s="459"/>
      <c r="AI12" s="459"/>
      <c r="AJ12" s="459"/>
      <c r="AK12" s="465">
        <v>2.99</v>
      </c>
      <c r="AL12" s="462">
        <v>2</v>
      </c>
      <c r="AM12" s="462">
        <v>2.99</v>
      </c>
      <c r="AN12" s="465">
        <v>5</v>
      </c>
      <c r="AO12" s="466">
        <v>6.99</v>
      </c>
      <c r="AP12" s="460">
        <v>3</v>
      </c>
      <c r="AQ12" s="460">
        <v>3.99</v>
      </c>
      <c r="AR12" s="459"/>
      <c r="AS12" s="464">
        <v>5.99</v>
      </c>
      <c r="AT12" s="459"/>
      <c r="AU12" s="459"/>
    </row>
    <row r="13" spans="1:47" ht="15.75" x14ac:dyDescent="0.25">
      <c r="A13" s="665" t="s">
        <v>469</v>
      </c>
      <c r="B13" s="665"/>
      <c r="C13" s="665"/>
      <c r="D13" s="665"/>
      <c r="E13" s="665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1"/>
      <c r="V13" s="371"/>
      <c r="W13" s="371"/>
      <c r="X13" s="371"/>
      <c r="Y13" s="371"/>
      <c r="Z13" s="371"/>
      <c r="AA13" s="413"/>
      <c r="AB13" s="425"/>
      <c r="AD13" s="490" t="s">
        <v>101</v>
      </c>
      <c r="AE13" s="426">
        <v>18</v>
      </c>
      <c r="AF13" s="427">
        <v>1707</v>
      </c>
      <c r="AG13" s="429" t="s">
        <v>94</v>
      </c>
      <c r="AH13" s="459"/>
      <c r="AI13" s="459"/>
      <c r="AJ13" s="465">
        <v>1</v>
      </c>
      <c r="AK13" s="465">
        <v>2.99</v>
      </c>
      <c r="AL13" s="465">
        <v>6</v>
      </c>
      <c r="AM13" s="466">
        <v>7</v>
      </c>
      <c r="AN13" s="460">
        <v>4</v>
      </c>
      <c r="AO13" s="460">
        <v>4.99</v>
      </c>
      <c r="AP13" s="459"/>
      <c r="AQ13" s="459"/>
      <c r="AR13" s="462">
        <v>3</v>
      </c>
      <c r="AS13" s="462">
        <v>3.99</v>
      </c>
      <c r="AT13" s="459"/>
      <c r="AU13" s="465">
        <v>4.99</v>
      </c>
    </row>
    <row r="14" spans="1:47" ht="15.75" x14ac:dyDescent="0.25">
      <c r="A14" s="375" t="s">
        <v>456</v>
      </c>
      <c r="B14" s="375"/>
      <c r="C14" s="375"/>
      <c r="D14" s="375"/>
      <c r="E14" s="375"/>
      <c r="F14" s="375"/>
      <c r="G14" s="375" t="s">
        <v>457</v>
      </c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6"/>
      <c r="V14" s="376"/>
      <c r="W14" s="376"/>
      <c r="X14" s="376"/>
      <c r="Y14" s="376"/>
      <c r="Z14" s="376"/>
      <c r="AA14" s="413"/>
      <c r="AB14" s="368"/>
      <c r="AD14" s="490" t="s">
        <v>102</v>
      </c>
      <c r="AE14" s="426">
        <v>17</v>
      </c>
      <c r="AF14" s="427">
        <v>1601</v>
      </c>
      <c r="AG14" s="429" t="s">
        <v>105</v>
      </c>
      <c r="AH14" s="459"/>
      <c r="AI14" s="465">
        <v>1.99</v>
      </c>
      <c r="AJ14" s="465">
        <v>4</v>
      </c>
      <c r="AK14" s="464">
        <v>5.99</v>
      </c>
      <c r="AL14" s="462">
        <v>2</v>
      </c>
      <c r="AM14" s="462">
        <v>2.99</v>
      </c>
      <c r="AN14" s="462">
        <v>2</v>
      </c>
      <c r="AO14" s="462">
        <v>2.99</v>
      </c>
      <c r="AP14" s="462">
        <v>6</v>
      </c>
      <c r="AQ14" s="467">
        <v>6.99</v>
      </c>
      <c r="AR14" s="462">
        <v>2</v>
      </c>
      <c r="AS14" s="462">
        <v>2.99</v>
      </c>
      <c r="AT14" s="459"/>
      <c r="AU14" s="466">
        <v>7</v>
      </c>
    </row>
    <row r="15" spans="1:47" ht="15.75" x14ac:dyDescent="0.25">
      <c r="A15" s="375" t="s">
        <v>71</v>
      </c>
      <c r="B15" s="375" t="s">
        <v>447</v>
      </c>
      <c r="C15" s="375" t="s">
        <v>61</v>
      </c>
      <c r="D15" s="376" t="s">
        <v>448</v>
      </c>
      <c r="E15" s="375" t="s">
        <v>449</v>
      </c>
      <c r="F15" s="375" t="s">
        <v>331</v>
      </c>
      <c r="G15" s="375" t="s">
        <v>1</v>
      </c>
      <c r="H15" s="375" t="s">
        <v>450</v>
      </c>
      <c r="I15" s="377" t="s">
        <v>2</v>
      </c>
      <c r="J15" s="377" t="s">
        <v>450</v>
      </c>
      <c r="K15" s="375" t="s">
        <v>321</v>
      </c>
      <c r="L15" s="375" t="s">
        <v>450</v>
      </c>
      <c r="M15" s="377" t="s">
        <v>260</v>
      </c>
      <c r="N15" s="377" t="s">
        <v>450</v>
      </c>
      <c r="O15" s="375" t="s">
        <v>262</v>
      </c>
      <c r="P15" s="375" t="s">
        <v>450</v>
      </c>
      <c r="Q15" s="377" t="s">
        <v>322</v>
      </c>
      <c r="R15" s="377" t="s">
        <v>450</v>
      </c>
      <c r="S15" s="375" t="s">
        <v>0</v>
      </c>
      <c r="T15" s="375" t="s">
        <v>450</v>
      </c>
      <c r="U15" s="376" t="s">
        <v>451</v>
      </c>
      <c r="V15" s="376" t="s">
        <v>75</v>
      </c>
      <c r="W15" s="376" t="s">
        <v>67</v>
      </c>
      <c r="X15" s="376" t="s">
        <v>452</v>
      </c>
      <c r="Y15" s="376" t="s">
        <v>0</v>
      </c>
      <c r="Z15" s="376" t="s">
        <v>453</v>
      </c>
      <c r="AA15" s="413" t="s">
        <v>454</v>
      </c>
      <c r="AB15" s="374"/>
      <c r="AD15" s="490" t="s">
        <v>496</v>
      </c>
      <c r="AE15" s="426">
        <v>18</v>
      </c>
      <c r="AF15" s="427">
        <v>1658</v>
      </c>
      <c r="AG15" s="429"/>
      <c r="AH15" s="459"/>
      <c r="AI15" s="459"/>
      <c r="AJ15" s="460">
        <v>4</v>
      </c>
      <c r="AK15" s="460">
        <v>4.99</v>
      </c>
      <c r="AL15" s="460">
        <v>2</v>
      </c>
      <c r="AM15" s="460">
        <v>2.99</v>
      </c>
      <c r="AN15" s="460">
        <v>4</v>
      </c>
      <c r="AO15" s="460">
        <v>4.99</v>
      </c>
      <c r="AP15" s="465">
        <v>6</v>
      </c>
      <c r="AQ15" s="466">
        <v>6.99</v>
      </c>
      <c r="AR15" s="460">
        <v>5</v>
      </c>
      <c r="AS15" s="461">
        <v>5.99</v>
      </c>
      <c r="AT15" s="462">
        <v>4</v>
      </c>
      <c r="AU15" s="462">
        <v>4.99</v>
      </c>
    </row>
    <row r="16" spans="1:47" ht="15.75" x14ac:dyDescent="0.25">
      <c r="A16" s="440"/>
      <c r="B16" s="402"/>
      <c r="C16" s="390">
        <f ca="1">11+$A$33-$A$32</f>
        <v>85</v>
      </c>
      <c r="D16" s="403"/>
      <c r="E16" s="404">
        <f ca="1">F16-A33</f>
        <v>-43718</v>
      </c>
      <c r="F16" s="392"/>
      <c r="G16" s="402"/>
      <c r="H16" s="402"/>
      <c r="I16" s="428"/>
      <c r="J16" s="428"/>
      <c r="K16" s="428"/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00"/>
      <c r="W16" s="400">
        <f>COUNTA(H16,J16,L16,N16,P16,R16,T16)</f>
        <v>0</v>
      </c>
      <c r="X16" s="400">
        <v>0</v>
      </c>
      <c r="Y16" s="400">
        <v>0</v>
      </c>
      <c r="Z16" s="412"/>
      <c r="AA16" s="401"/>
      <c r="AB16" s="387"/>
      <c r="AD16" s="490" t="s">
        <v>169</v>
      </c>
      <c r="AE16" s="426">
        <v>17</v>
      </c>
      <c r="AF16" s="427">
        <v>1676</v>
      </c>
      <c r="AG16" s="429"/>
      <c r="AH16" s="468"/>
      <c r="AI16" s="465">
        <v>1.99</v>
      </c>
      <c r="AJ16" s="465">
        <v>1</v>
      </c>
      <c r="AK16" s="468"/>
      <c r="AL16" s="462">
        <v>6</v>
      </c>
      <c r="AM16" s="467">
        <v>6.99</v>
      </c>
      <c r="AN16" s="468"/>
      <c r="AO16" s="465">
        <v>1.99</v>
      </c>
      <c r="AP16" s="465">
        <v>5</v>
      </c>
      <c r="AQ16" s="466">
        <v>6.99</v>
      </c>
      <c r="AR16" s="462">
        <v>1</v>
      </c>
      <c r="AS16" s="462">
        <v>1.99</v>
      </c>
      <c r="AT16" s="468"/>
      <c r="AU16" s="465">
        <v>2.99</v>
      </c>
    </row>
    <row r="17" spans="1:47" ht="15.75" x14ac:dyDescent="0.25">
      <c r="A17" s="440"/>
      <c r="B17" s="402"/>
      <c r="C17" s="390">
        <f ca="1">9+$A$33-$A$32-74</f>
        <v>9</v>
      </c>
      <c r="D17" s="403"/>
      <c r="E17" s="430">
        <f ca="1">F17-$A$33</f>
        <v>-43718</v>
      </c>
      <c r="F17" s="392"/>
      <c r="G17" s="402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00"/>
      <c r="W17" s="400">
        <f>COUNTA(H17,J17,L17,N17,P17,R17,T17)</f>
        <v>0</v>
      </c>
      <c r="X17" s="400">
        <v>0</v>
      </c>
      <c r="Y17" s="400">
        <v>0</v>
      </c>
      <c r="Z17" s="400"/>
      <c r="AA17" s="401"/>
      <c r="AB17" s="379"/>
      <c r="AD17" s="490" t="s">
        <v>107</v>
      </c>
      <c r="AE17" s="426">
        <v>18</v>
      </c>
      <c r="AF17" s="427">
        <v>1549</v>
      </c>
      <c r="AG17" s="429" t="s">
        <v>94</v>
      </c>
      <c r="AH17" s="469"/>
      <c r="AI17" s="469"/>
      <c r="AJ17" s="460">
        <v>3</v>
      </c>
      <c r="AK17" s="460">
        <v>3.99</v>
      </c>
      <c r="AL17" s="462">
        <v>3</v>
      </c>
      <c r="AM17" s="462">
        <v>3.99</v>
      </c>
      <c r="AN17" s="460">
        <v>5</v>
      </c>
      <c r="AO17" s="461">
        <v>5.99</v>
      </c>
      <c r="AP17" s="469"/>
      <c r="AQ17" s="465">
        <v>2.99</v>
      </c>
      <c r="AR17" s="462">
        <v>4</v>
      </c>
      <c r="AS17" s="462">
        <v>4.99</v>
      </c>
      <c r="AT17" s="462">
        <v>4</v>
      </c>
      <c r="AU17" s="462">
        <v>4.99</v>
      </c>
    </row>
    <row r="18" spans="1:47" ht="15.75" x14ac:dyDescent="0.25">
      <c r="A18" s="442"/>
      <c r="B18" s="402"/>
      <c r="C18" s="390">
        <f ca="1">3+$A$33-$A$32</f>
        <v>77</v>
      </c>
      <c r="D18" s="391"/>
      <c r="E18" s="430">
        <f ca="1">F18-$A$33</f>
        <v>-43718</v>
      </c>
      <c r="F18" s="392"/>
      <c r="G18" s="402"/>
      <c r="H18" s="402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00">
        <f>COUNTA(H18,J18,L18,N18,P18,R18,T18)</f>
        <v>0</v>
      </c>
      <c r="X18" s="400">
        <v>0</v>
      </c>
      <c r="Y18" s="400">
        <v>0</v>
      </c>
      <c r="Z18" s="400"/>
      <c r="AA18" s="401"/>
      <c r="AD18" s="490" t="s">
        <v>497</v>
      </c>
      <c r="AE18" s="426">
        <v>16</v>
      </c>
      <c r="AF18" s="427">
        <v>1633</v>
      </c>
      <c r="AG18" s="429" t="s">
        <v>96</v>
      </c>
      <c r="AH18" s="470"/>
      <c r="AI18" s="470"/>
      <c r="AJ18" s="462">
        <v>2</v>
      </c>
      <c r="AK18" s="462">
        <v>2.99</v>
      </c>
      <c r="AL18" s="460">
        <v>5</v>
      </c>
      <c r="AM18" s="461">
        <v>5.99</v>
      </c>
      <c r="AN18" s="462">
        <v>2</v>
      </c>
      <c r="AO18" s="462">
        <v>2.99</v>
      </c>
      <c r="AP18" s="460">
        <v>4</v>
      </c>
      <c r="AQ18" s="460">
        <v>4.99</v>
      </c>
      <c r="AR18" s="470"/>
      <c r="AS18" s="465">
        <v>4.99</v>
      </c>
      <c r="AT18" s="470"/>
      <c r="AU18" s="465">
        <v>1.99</v>
      </c>
    </row>
    <row r="19" spans="1:47" ht="15.75" x14ac:dyDescent="0.25">
      <c r="A19" s="440"/>
      <c r="B19" s="389"/>
      <c r="C19" s="390">
        <f ca="1">37+$A$33-$A$32</f>
        <v>111</v>
      </c>
      <c r="D19" s="403"/>
      <c r="E19" s="430">
        <v>0</v>
      </c>
      <c r="F19" s="392"/>
      <c r="G19" s="393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393"/>
      <c r="T19" s="393"/>
      <c r="U19" s="399"/>
      <c r="V19" s="400"/>
      <c r="W19" s="400">
        <f t="shared" ref="W19" si="1">COUNTA(H19,J19,L19,N19,P19,R19,T19)</f>
        <v>0</v>
      </c>
      <c r="X19" s="400">
        <v>0</v>
      </c>
      <c r="Y19" s="400">
        <v>0</v>
      </c>
      <c r="Z19" s="400"/>
      <c r="AA19" s="401"/>
      <c r="AB19" s="402"/>
      <c r="AD19" s="490" t="s">
        <v>181</v>
      </c>
      <c r="AE19" s="426">
        <v>16</v>
      </c>
      <c r="AF19" s="427">
        <v>1626</v>
      </c>
      <c r="AG19" s="429"/>
      <c r="AH19" s="468"/>
      <c r="AI19" s="468"/>
      <c r="AJ19" s="462">
        <v>4</v>
      </c>
      <c r="AK19" s="462">
        <v>4.99</v>
      </c>
      <c r="AL19" s="462">
        <v>5</v>
      </c>
      <c r="AM19" s="463">
        <v>5.99</v>
      </c>
      <c r="AN19" s="462">
        <v>4</v>
      </c>
      <c r="AO19" s="462">
        <v>4.99</v>
      </c>
      <c r="AP19" s="468"/>
      <c r="AQ19" s="468"/>
      <c r="AR19" s="460">
        <v>2</v>
      </c>
      <c r="AS19" s="460">
        <v>2.99</v>
      </c>
      <c r="AT19" s="462">
        <v>1</v>
      </c>
      <c r="AU19" s="462">
        <v>1.99</v>
      </c>
    </row>
    <row r="20" spans="1:47" ht="15.75" x14ac:dyDescent="0.25">
      <c r="A20" s="442" t="s">
        <v>670</v>
      </c>
      <c r="B20" s="428">
        <v>15</v>
      </c>
      <c r="C20" s="427">
        <f ca="1">-2+$A$33-$A$32</f>
        <v>72</v>
      </c>
      <c r="D20" s="391"/>
      <c r="E20" s="430">
        <f ca="1">F20-$A$33</f>
        <v>152</v>
      </c>
      <c r="F20" s="392">
        <v>43870</v>
      </c>
      <c r="G20" s="428"/>
      <c r="H20" s="397">
        <v>6.99</v>
      </c>
      <c r="I20" s="428"/>
      <c r="J20" s="398">
        <v>1.99</v>
      </c>
      <c r="K20" s="428"/>
      <c r="L20" s="428"/>
      <c r="M20" s="428"/>
      <c r="N20" s="428"/>
      <c r="O20" s="428"/>
      <c r="P20" s="428"/>
      <c r="Q20" s="395">
        <v>0</v>
      </c>
      <c r="R20" s="428"/>
      <c r="S20" s="428"/>
      <c r="T20" s="428"/>
      <c r="U20" s="408" t="s">
        <v>482</v>
      </c>
      <c r="V20" s="400"/>
      <c r="W20" s="400">
        <f>COUNTA(H20,J20,L20,N20,P20,R20,T20)</f>
        <v>2</v>
      </c>
      <c r="X20" s="400">
        <v>0</v>
      </c>
      <c r="Y20" s="400">
        <v>0</v>
      </c>
      <c r="Z20" s="400"/>
      <c r="AA20" s="401" t="s">
        <v>459</v>
      </c>
      <c r="AB20" s="368"/>
      <c r="AD20" s="490" t="s">
        <v>498</v>
      </c>
      <c r="AE20" s="426">
        <v>17</v>
      </c>
      <c r="AF20" s="427">
        <v>1561</v>
      </c>
      <c r="AG20" s="429" t="s">
        <v>94</v>
      </c>
      <c r="AH20" s="459"/>
      <c r="AI20" s="459"/>
      <c r="AJ20" s="462">
        <v>4</v>
      </c>
      <c r="AK20" s="462">
        <v>4.99</v>
      </c>
      <c r="AL20" s="460">
        <v>5</v>
      </c>
      <c r="AM20" s="461">
        <v>5.99</v>
      </c>
      <c r="AN20" s="462">
        <v>4</v>
      </c>
      <c r="AO20" s="462">
        <v>4.99</v>
      </c>
      <c r="AP20" s="459"/>
      <c r="AQ20" s="459"/>
      <c r="AR20" s="459"/>
      <c r="AS20" s="465">
        <v>2.99</v>
      </c>
      <c r="AT20" s="462">
        <v>3</v>
      </c>
      <c r="AU20" s="462">
        <v>3.99</v>
      </c>
    </row>
    <row r="21" spans="1:47" ht="15.75" x14ac:dyDescent="0.25">
      <c r="A21" s="442" t="s">
        <v>471</v>
      </c>
      <c r="B21" s="402">
        <v>18</v>
      </c>
      <c r="C21" s="390">
        <f ca="1">103+$A$33-$A$32-112</f>
        <v>65</v>
      </c>
      <c r="D21" s="391"/>
      <c r="E21" s="430">
        <v>0</v>
      </c>
      <c r="F21" s="392">
        <f t="shared" ref="F21:F28" ca="1" si="2">TODAY()</f>
        <v>43718</v>
      </c>
      <c r="G21" s="402"/>
      <c r="H21" s="398">
        <v>1.99</v>
      </c>
      <c r="I21" s="394">
        <v>4</v>
      </c>
      <c r="J21" s="405">
        <v>4.99</v>
      </c>
      <c r="K21" s="394">
        <v>3</v>
      </c>
      <c r="L21" s="405">
        <v>3.99</v>
      </c>
      <c r="M21" s="394">
        <v>1</v>
      </c>
      <c r="N21" s="405">
        <v>1.99</v>
      </c>
      <c r="O21" s="402"/>
      <c r="P21" s="396">
        <v>5.99</v>
      </c>
      <c r="Q21" s="395">
        <v>4</v>
      </c>
      <c r="R21" s="396">
        <v>5.99</v>
      </c>
      <c r="S21" s="402"/>
      <c r="T21" s="396">
        <v>5.99</v>
      </c>
      <c r="U21" s="408" t="s">
        <v>472</v>
      </c>
      <c r="V21" s="400"/>
      <c r="W21" s="400">
        <f t="shared" ref="W21:W28" si="3">COUNTA(H21,J21,L21,N21,P21,R21,T21)</f>
        <v>7</v>
      </c>
      <c r="X21" s="400">
        <v>0</v>
      </c>
      <c r="Y21" s="400">
        <v>3</v>
      </c>
      <c r="Z21" s="400"/>
      <c r="AA21" s="401" t="s">
        <v>465</v>
      </c>
      <c r="AB21" s="368"/>
      <c r="AD21" s="490" t="s">
        <v>499</v>
      </c>
      <c r="AE21" s="426">
        <v>17</v>
      </c>
      <c r="AF21" s="427">
        <v>1515</v>
      </c>
      <c r="AG21" s="429"/>
      <c r="AH21" s="468"/>
      <c r="AI21" s="468"/>
      <c r="AJ21" s="460">
        <v>3</v>
      </c>
      <c r="AK21" s="460">
        <v>3.99</v>
      </c>
      <c r="AL21" s="462">
        <v>4</v>
      </c>
      <c r="AM21" s="462">
        <v>4.99</v>
      </c>
      <c r="AN21" s="462">
        <v>5</v>
      </c>
      <c r="AO21" s="463">
        <v>5.99</v>
      </c>
      <c r="AP21" s="468"/>
      <c r="AQ21" s="468"/>
      <c r="AR21" s="462">
        <v>3</v>
      </c>
      <c r="AS21" s="462">
        <v>3.99</v>
      </c>
      <c r="AT21" s="468"/>
      <c r="AU21" s="468"/>
    </row>
    <row r="22" spans="1:47" ht="15.75" x14ac:dyDescent="0.25">
      <c r="A22" s="442" t="s">
        <v>473</v>
      </c>
      <c r="B22" s="402">
        <v>18</v>
      </c>
      <c r="C22" s="390">
        <f ca="1">92+$A$33-$A$32-112</f>
        <v>54</v>
      </c>
      <c r="D22" s="391"/>
      <c r="E22" s="430">
        <v>0</v>
      </c>
      <c r="F22" s="392">
        <f t="shared" ca="1" si="2"/>
        <v>43718</v>
      </c>
      <c r="G22" s="402"/>
      <c r="H22" s="398">
        <v>1.99</v>
      </c>
      <c r="I22" s="394">
        <v>4</v>
      </c>
      <c r="J22" s="405">
        <v>4.99</v>
      </c>
      <c r="K22" s="394">
        <v>3</v>
      </c>
      <c r="L22" s="405">
        <v>3.99</v>
      </c>
      <c r="M22" s="402"/>
      <c r="N22" s="398">
        <v>2.99</v>
      </c>
      <c r="O22" s="402"/>
      <c r="P22" s="396">
        <v>5.99</v>
      </c>
      <c r="Q22" s="394">
        <v>3</v>
      </c>
      <c r="R22" s="405">
        <v>3.99</v>
      </c>
      <c r="S22" s="402"/>
      <c r="T22" s="402"/>
      <c r="U22" s="408" t="s">
        <v>474</v>
      </c>
      <c r="V22" s="400"/>
      <c r="W22" s="400">
        <f t="shared" si="3"/>
        <v>6</v>
      </c>
      <c r="X22" s="400">
        <v>0</v>
      </c>
      <c r="Y22" s="400">
        <v>0</v>
      </c>
      <c r="Z22" s="400"/>
      <c r="AA22" s="401" t="s">
        <v>465</v>
      </c>
      <c r="AB22" s="368"/>
      <c r="AD22" s="490" t="s">
        <v>500</v>
      </c>
      <c r="AE22" s="426">
        <v>19</v>
      </c>
      <c r="AF22" s="427">
        <v>1502</v>
      </c>
      <c r="AG22" s="429"/>
      <c r="AH22" s="468"/>
      <c r="AI22" s="465">
        <v>1.99</v>
      </c>
      <c r="AJ22" s="468"/>
      <c r="AK22" s="465">
        <v>2.99</v>
      </c>
      <c r="AL22" s="465">
        <v>3</v>
      </c>
      <c r="AM22" s="468"/>
      <c r="AN22" s="468"/>
      <c r="AO22" s="468"/>
      <c r="AP22" s="460">
        <v>5</v>
      </c>
      <c r="AQ22" s="471">
        <v>5.99</v>
      </c>
      <c r="AR22" s="468"/>
      <c r="AS22" s="465">
        <v>2.99</v>
      </c>
      <c r="AT22" s="468"/>
      <c r="AU22" s="468"/>
    </row>
    <row r="23" spans="1:47" ht="15.75" x14ac:dyDescent="0.25">
      <c r="A23" s="442" t="s">
        <v>475</v>
      </c>
      <c r="B23" s="389">
        <v>18</v>
      </c>
      <c r="C23" s="416">
        <f ca="1">75+$A$33-$A$32-112</f>
        <v>37</v>
      </c>
      <c r="D23" s="368"/>
      <c r="E23" s="430">
        <v>0</v>
      </c>
      <c r="F23" s="392">
        <f t="shared" ca="1" si="2"/>
        <v>43718</v>
      </c>
      <c r="G23" s="368"/>
      <c r="H23" s="398">
        <v>1.99</v>
      </c>
      <c r="I23" s="394">
        <v>3</v>
      </c>
      <c r="J23" s="405">
        <v>3.99</v>
      </c>
      <c r="K23" s="394">
        <v>3</v>
      </c>
      <c r="L23" s="405">
        <v>3.99</v>
      </c>
      <c r="M23" s="395">
        <v>4</v>
      </c>
      <c r="N23" s="396">
        <v>5.99</v>
      </c>
      <c r="O23" s="406">
        <v>4</v>
      </c>
      <c r="P23" s="407">
        <v>4.99</v>
      </c>
      <c r="Q23" s="368"/>
      <c r="R23" s="398">
        <v>3.99</v>
      </c>
      <c r="S23" s="368"/>
      <c r="T23" s="368"/>
      <c r="U23" s="399" t="s">
        <v>463</v>
      </c>
      <c r="V23" s="368"/>
      <c r="W23" s="400">
        <f t="shared" si="3"/>
        <v>6</v>
      </c>
      <c r="X23" s="370">
        <v>0</v>
      </c>
      <c r="Y23" s="370">
        <v>0</v>
      </c>
      <c r="Z23" s="368"/>
      <c r="AA23" s="401" t="s">
        <v>465</v>
      </c>
      <c r="AB23" s="368"/>
      <c r="AD23" s="490" t="s">
        <v>501</v>
      </c>
      <c r="AE23" s="426">
        <v>18</v>
      </c>
      <c r="AF23" s="427">
        <v>1561</v>
      </c>
      <c r="AG23" s="429"/>
      <c r="AH23" s="459"/>
      <c r="AI23" s="459"/>
      <c r="AJ23" s="465">
        <v>1</v>
      </c>
      <c r="AK23" s="465">
        <v>2.99</v>
      </c>
      <c r="AL23" s="460">
        <v>3</v>
      </c>
      <c r="AM23" s="460">
        <v>3.99</v>
      </c>
      <c r="AN23" s="459"/>
      <c r="AO23" s="464">
        <v>5.99</v>
      </c>
      <c r="AP23" s="465">
        <v>3</v>
      </c>
      <c r="AQ23" s="465">
        <v>4.99</v>
      </c>
      <c r="AR23" s="462">
        <v>1</v>
      </c>
      <c r="AS23" s="462">
        <v>1.99</v>
      </c>
      <c r="AT23" s="459"/>
      <c r="AU23" s="459"/>
    </row>
    <row r="24" spans="1:47" ht="15.75" x14ac:dyDescent="0.25">
      <c r="A24" s="442" t="s">
        <v>476</v>
      </c>
      <c r="B24" s="402">
        <v>18</v>
      </c>
      <c r="C24" s="390">
        <f ca="1">75+$A$33-$A$32-112</f>
        <v>37</v>
      </c>
      <c r="D24" s="403" t="s">
        <v>94</v>
      </c>
      <c r="E24" s="430">
        <v>0</v>
      </c>
      <c r="F24" s="392">
        <f t="shared" ca="1" si="2"/>
        <v>43718</v>
      </c>
      <c r="G24" s="402"/>
      <c r="H24" s="402"/>
      <c r="I24" s="394">
        <v>2</v>
      </c>
      <c r="J24" s="405">
        <v>2.99</v>
      </c>
      <c r="K24" s="394">
        <v>2</v>
      </c>
      <c r="L24" s="405">
        <v>2.99</v>
      </c>
      <c r="M24" s="395">
        <v>5</v>
      </c>
      <c r="N24" s="397">
        <v>6.99</v>
      </c>
      <c r="O24" s="402"/>
      <c r="P24" s="396">
        <v>5.99</v>
      </c>
      <c r="Q24" s="395">
        <v>2</v>
      </c>
      <c r="R24" s="398">
        <v>3.99</v>
      </c>
      <c r="S24" s="402"/>
      <c r="T24" s="398">
        <v>3.99</v>
      </c>
      <c r="U24" s="399" t="s">
        <v>463</v>
      </c>
      <c r="V24" s="400"/>
      <c r="W24" s="400">
        <f t="shared" si="3"/>
        <v>6</v>
      </c>
      <c r="X24" s="400">
        <v>0</v>
      </c>
      <c r="Y24" s="400">
        <v>0</v>
      </c>
      <c r="Z24" s="411">
        <v>1896</v>
      </c>
      <c r="AA24" s="401" t="s">
        <v>459</v>
      </c>
      <c r="AB24" s="402"/>
      <c r="AD24" s="490" t="s">
        <v>502</v>
      </c>
      <c r="AE24" s="426">
        <v>18</v>
      </c>
      <c r="AF24" s="427">
        <v>1540</v>
      </c>
      <c r="AG24" s="429" t="s">
        <v>105</v>
      </c>
      <c r="AH24" s="468"/>
      <c r="AI24" s="468"/>
      <c r="AJ24" s="468"/>
      <c r="AK24" s="465">
        <v>4.99</v>
      </c>
      <c r="AL24" s="462">
        <v>5.5</v>
      </c>
      <c r="AM24" s="463">
        <v>5.99</v>
      </c>
      <c r="AN24" s="462">
        <v>1</v>
      </c>
      <c r="AO24" s="462">
        <v>1.99</v>
      </c>
      <c r="AP24" s="462">
        <v>2</v>
      </c>
      <c r="AQ24" s="462">
        <v>2.99</v>
      </c>
      <c r="AR24" s="462">
        <v>3</v>
      </c>
      <c r="AS24" s="462">
        <v>3.99</v>
      </c>
      <c r="AT24" s="468"/>
      <c r="AU24" s="468"/>
    </row>
    <row r="25" spans="1:47" ht="15.75" x14ac:dyDescent="0.25">
      <c r="A25" s="440" t="s">
        <v>477</v>
      </c>
      <c r="B25" s="389">
        <v>18</v>
      </c>
      <c r="C25" s="390">
        <f ca="1">48+$A$33-$A$32-112</f>
        <v>10</v>
      </c>
      <c r="D25" s="403" t="s">
        <v>67</v>
      </c>
      <c r="E25" s="430">
        <v>0</v>
      </c>
      <c r="F25" s="392">
        <f t="shared" ca="1" si="2"/>
        <v>43718</v>
      </c>
      <c r="G25" s="393"/>
      <c r="H25" s="398">
        <v>1.99</v>
      </c>
      <c r="I25" s="621">
        <v>4</v>
      </c>
      <c r="J25" s="629">
        <v>4.99</v>
      </c>
      <c r="K25" s="394">
        <v>3</v>
      </c>
      <c r="L25" s="405">
        <v>3.99</v>
      </c>
      <c r="M25" s="394">
        <v>2</v>
      </c>
      <c r="N25" s="405">
        <v>2.99</v>
      </c>
      <c r="O25" s="394">
        <v>2</v>
      </c>
      <c r="P25" s="405">
        <v>2.99</v>
      </c>
      <c r="Q25" s="395">
        <v>4</v>
      </c>
      <c r="R25" s="397">
        <v>6.99</v>
      </c>
      <c r="S25" s="393"/>
      <c r="T25" s="393"/>
      <c r="U25" s="399" t="s">
        <v>463</v>
      </c>
      <c r="V25" s="400" t="s">
        <v>464</v>
      </c>
      <c r="W25" s="400">
        <f t="shared" si="3"/>
        <v>6</v>
      </c>
      <c r="X25" s="400">
        <v>0</v>
      </c>
      <c r="Y25" s="400">
        <v>0</v>
      </c>
      <c r="Z25" s="411">
        <v>1969</v>
      </c>
      <c r="AA25" s="401" t="s">
        <v>465</v>
      </c>
      <c r="AB25" s="368"/>
      <c r="AD25" s="490" t="s">
        <v>503</v>
      </c>
      <c r="AE25" s="426">
        <v>18</v>
      </c>
      <c r="AF25" s="427">
        <v>1501</v>
      </c>
      <c r="AG25" s="429" t="s">
        <v>67</v>
      </c>
      <c r="AH25" s="468"/>
      <c r="AI25" s="465">
        <v>1.99</v>
      </c>
      <c r="AJ25" s="468"/>
      <c r="AK25" s="465">
        <v>1.99</v>
      </c>
      <c r="AL25" s="460">
        <v>5</v>
      </c>
      <c r="AM25" s="461">
        <v>5.99</v>
      </c>
      <c r="AN25" s="468"/>
      <c r="AO25" s="465">
        <v>3.99</v>
      </c>
      <c r="AP25" s="462">
        <v>3</v>
      </c>
      <c r="AQ25" s="462">
        <v>3.99</v>
      </c>
      <c r="AR25" s="460">
        <v>2</v>
      </c>
      <c r="AS25" s="460">
        <v>2.99</v>
      </c>
      <c r="AT25" s="468"/>
      <c r="AU25" s="468"/>
    </row>
    <row r="26" spans="1:47" ht="15.75" x14ac:dyDescent="0.25">
      <c r="A26" s="443" t="s">
        <v>478</v>
      </c>
      <c r="B26" s="389">
        <v>17</v>
      </c>
      <c r="C26" s="390">
        <f ca="1">76+$A$33-$A$32-112</f>
        <v>38</v>
      </c>
      <c r="D26" s="403" t="s">
        <v>67</v>
      </c>
      <c r="E26" s="430">
        <v>0</v>
      </c>
      <c r="F26" s="392">
        <f t="shared" ca="1" si="2"/>
        <v>43718</v>
      </c>
      <c r="G26" s="393"/>
      <c r="H26" s="398">
        <v>0.99</v>
      </c>
      <c r="I26" s="394">
        <v>3</v>
      </c>
      <c r="J26" s="405">
        <v>3.99</v>
      </c>
      <c r="K26" s="406">
        <v>4</v>
      </c>
      <c r="L26" s="407">
        <v>4.99</v>
      </c>
      <c r="M26" s="393"/>
      <c r="N26" s="398">
        <v>3.99</v>
      </c>
      <c r="O26" s="393"/>
      <c r="P26" s="397">
        <v>6.99</v>
      </c>
      <c r="Q26" s="393"/>
      <c r="R26" s="398">
        <v>4.99</v>
      </c>
      <c r="S26" s="393"/>
      <c r="T26" s="393"/>
      <c r="U26" s="408" t="s">
        <v>479</v>
      </c>
      <c r="V26" s="400" t="s">
        <v>464</v>
      </c>
      <c r="W26" s="400">
        <f t="shared" si="3"/>
        <v>6</v>
      </c>
      <c r="X26" s="400">
        <v>0</v>
      </c>
      <c r="Y26" s="400">
        <v>0</v>
      </c>
      <c r="Z26" s="411">
        <v>1968</v>
      </c>
      <c r="AA26" s="401" t="s">
        <v>459</v>
      </c>
      <c r="AB26" s="402"/>
      <c r="AD26" s="490" t="s">
        <v>504</v>
      </c>
      <c r="AE26" s="426">
        <v>16</v>
      </c>
      <c r="AF26" s="427">
        <v>1510</v>
      </c>
      <c r="AG26" s="429"/>
      <c r="AH26" s="459"/>
      <c r="AI26" s="465">
        <v>1.99</v>
      </c>
      <c r="AJ26" s="462">
        <v>3</v>
      </c>
      <c r="AK26" s="463">
        <v>3.99</v>
      </c>
      <c r="AL26" s="462">
        <v>5.4</v>
      </c>
      <c r="AM26" s="463">
        <v>5.99</v>
      </c>
      <c r="AN26" s="462">
        <v>2</v>
      </c>
      <c r="AO26" s="462">
        <v>2.99</v>
      </c>
      <c r="AP26" s="459"/>
      <c r="AQ26" s="459"/>
      <c r="AR26" s="462">
        <v>4</v>
      </c>
      <c r="AS26" s="462">
        <v>4.99</v>
      </c>
      <c r="AT26" s="468"/>
      <c r="AU26" s="465">
        <v>3.99</v>
      </c>
    </row>
    <row r="27" spans="1:47" ht="15.75" x14ac:dyDescent="0.25">
      <c r="A27" s="440" t="s">
        <v>480</v>
      </c>
      <c r="B27" s="389">
        <v>17</v>
      </c>
      <c r="C27" s="390">
        <f ca="1">27+$A$33-$A$32</f>
        <v>101</v>
      </c>
      <c r="D27" s="403"/>
      <c r="E27" s="430">
        <v>0</v>
      </c>
      <c r="F27" s="392">
        <f t="shared" ca="1" si="2"/>
        <v>43718</v>
      </c>
      <c r="G27" s="393"/>
      <c r="H27" s="393"/>
      <c r="I27" s="393"/>
      <c r="J27" s="393"/>
      <c r="K27" s="395">
        <v>2</v>
      </c>
      <c r="L27" s="393"/>
      <c r="M27" s="393"/>
      <c r="N27" s="393"/>
      <c r="O27" s="393"/>
      <c r="P27" s="397">
        <v>7</v>
      </c>
      <c r="Q27" s="393"/>
      <c r="R27" s="393"/>
      <c r="S27" s="393"/>
      <c r="T27" s="393"/>
      <c r="U27" s="399" t="s">
        <v>463</v>
      </c>
      <c r="V27" s="400" t="s">
        <v>464</v>
      </c>
      <c r="W27" s="400">
        <f t="shared" si="3"/>
        <v>1</v>
      </c>
      <c r="X27" s="400">
        <v>0</v>
      </c>
      <c r="Y27" s="400">
        <v>0</v>
      </c>
      <c r="Z27" s="400"/>
      <c r="AA27" s="401" t="s">
        <v>465</v>
      </c>
      <c r="AB27" s="368"/>
      <c r="AD27" s="490" t="s">
        <v>505</v>
      </c>
      <c r="AE27" s="426">
        <v>17</v>
      </c>
      <c r="AF27" s="427">
        <v>1456</v>
      </c>
      <c r="AG27" s="429"/>
      <c r="AH27" s="472"/>
      <c r="AI27" s="472"/>
      <c r="AJ27" s="472"/>
      <c r="AK27" s="465">
        <v>3.99</v>
      </c>
      <c r="AL27" s="462">
        <v>2</v>
      </c>
      <c r="AM27" s="462">
        <v>2.99</v>
      </c>
      <c r="AN27" s="462">
        <v>4</v>
      </c>
      <c r="AO27" s="462">
        <v>4.99</v>
      </c>
      <c r="AP27" s="462">
        <v>5</v>
      </c>
      <c r="AQ27" s="463">
        <v>5.99</v>
      </c>
      <c r="AR27" s="462">
        <v>6</v>
      </c>
      <c r="AS27" s="467">
        <v>6.99</v>
      </c>
      <c r="AT27" s="472"/>
      <c r="AU27" s="472"/>
    </row>
    <row r="28" spans="1:47" ht="15.75" x14ac:dyDescent="0.25">
      <c r="A28" s="444" t="s">
        <v>481</v>
      </c>
      <c r="B28" s="402">
        <v>17</v>
      </c>
      <c r="C28" s="390">
        <f ca="1">68+$A$33-$A$32-112</f>
        <v>30</v>
      </c>
      <c r="D28" s="391"/>
      <c r="E28" s="430">
        <v>0</v>
      </c>
      <c r="F28" s="392">
        <f t="shared" ca="1" si="2"/>
        <v>43718</v>
      </c>
      <c r="G28" s="402"/>
      <c r="H28" s="397">
        <v>6.99</v>
      </c>
      <c r="I28" s="621">
        <v>2</v>
      </c>
      <c r="J28" s="629">
        <v>2.99</v>
      </c>
      <c r="K28" s="409">
        <v>1</v>
      </c>
      <c r="L28" s="410">
        <v>1.99</v>
      </c>
      <c r="M28" s="394">
        <v>0</v>
      </c>
      <c r="N28" s="405">
        <v>0.99</v>
      </c>
      <c r="O28" s="402"/>
      <c r="P28" s="398">
        <v>0.99</v>
      </c>
      <c r="Q28" s="402"/>
      <c r="R28" s="398">
        <v>1.99</v>
      </c>
      <c r="S28" s="402"/>
      <c r="T28" s="398">
        <v>1.99</v>
      </c>
      <c r="U28" s="408" t="s">
        <v>482</v>
      </c>
      <c r="V28" s="400"/>
      <c r="W28" s="400">
        <f t="shared" si="3"/>
        <v>7</v>
      </c>
      <c r="X28" s="400">
        <v>0</v>
      </c>
      <c r="Y28" s="400">
        <v>0</v>
      </c>
      <c r="Z28" s="400">
        <v>1808</v>
      </c>
      <c r="AA28" s="401" t="s">
        <v>465</v>
      </c>
      <c r="AB28" s="368"/>
      <c r="AD28" s="490" t="s">
        <v>506</v>
      </c>
      <c r="AE28" s="426">
        <v>17</v>
      </c>
      <c r="AF28" s="427">
        <v>1439</v>
      </c>
      <c r="AG28" s="429" t="s">
        <v>220</v>
      </c>
      <c r="AH28" s="468"/>
      <c r="AI28" s="468"/>
      <c r="AJ28" s="462">
        <v>2</v>
      </c>
      <c r="AK28" s="462">
        <v>2.99</v>
      </c>
      <c r="AL28" s="460">
        <v>4</v>
      </c>
      <c r="AM28" s="460">
        <v>4.99</v>
      </c>
      <c r="AN28" s="468"/>
      <c r="AO28" s="465">
        <v>3.99</v>
      </c>
      <c r="AP28" s="468"/>
      <c r="AQ28" s="465">
        <v>3.99</v>
      </c>
      <c r="AR28" s="462">
        <v>4</v>
      </c>
      <c r="AS28" s="462">
        <v>4.99</v>
      </c>
      <c r="AT28" s="468"/>
      <c r="AU28" s="468"/>
    </row>
    <row r="29" spans="1:47" ht="15.75" x14ac:dyDescent="0.25">
      <c r="A29" s="442" t="s">
        <v>462</v>
      </c>
      <c r="B29" s="389">
        <v>16</v>
      </c>
      <c r="C29" s="390">
        <f ca="1">4+$A$33-$A$32</f>
        <v>78</v>
      </c>
      <c r="D29" s="403"/>
      <c r="E29" s="430">
        <f ca="1">F29-$A$33</f>
        <v>34</v>
      </c>
      <c r="F29" s="392">
        <v>43752</v>
      </c>
      <c r="G29" s="393"/>
      <c r="H29" s="398">
        <v>1.99</v>
      </c>
      <c r="I29" s="394">
        <v>2</v>
      </c>
      <c r="J29" s="405">
        <v>2.99</v>
      </c>
      <c r="K29" s="619">
        <v>4</v>
      </c>
      <c r="L29" s="620">
        <v>4.99</v>
      </c>
      <c r="M29" s="619">
        <v>4</v>
      </c>
      <c r="N29" s="620">
        <v>4.99</v>
      </c>
      <c r="O29" s="395">
        <v>4</v>
      </c>
      <c r="P29" s="396">
        <v>5.99</v>
      </c>
      <c r="Q29" s="393"/>
      <c r="R29" s="398">
        <v>2.99</v>
      </c>
      <c r="S29" s="393"/>
      <c r="T29" s="393"/>
      <c r="U29" s="399" t="s">
        <v>463</v>
      </c>
      <c r="V29" s="400" t="s">
        <v>464</v>
      </c>
      <c r="W29" s="400">
        <f>COUNTA(H29,J29,L29,N29,P29,R29,T29)</f>
        <v>6</v>
      </c>
      <c r="X29" s="400">
        <v>0</v>
      </c>
      <c r="Y29" s="400">
        <v>0</v>
      </c>
      <c r="Z29" s="400"/>
      <c r="AA29" s="401" t="s">
        <v>465</v>
      </c>
      <c r="AB29" s="402"/>
      <c r="AD29" s="490" t="s">
        <v>225</v>
      </c>
      <c r="AE29" s="426">
        <v>17</v>
      </c>
      <c r="AF29" s="427">
        <v>1340</v>
      </c>
      <c r="AG29" s="429" t="s">
        <v>220</v>
      </c>
      <c r="AH29" s="468"/>
      <c r="AI29" s="468"/>
      <c r="AJ29" s="460">
        <v>2</v>
      </c>
      <c r="AK29" s="460">
        <v>2.99</v>
      </c>
      <c r="AL29" s="462">
        <v>6.1</v>
      </c>
      <c r="AM29" s="467">
        <v>6.2</v>
      </c>
      <c r="AN29" s="462">
        <v>4</v>
      </c>
      <c r="AO29" s="462">
        <v>4.99</v>
      </c>
      <c r="AP29" s="462">
        <v>4</v>
      </c>
      <c r="AQ29" s="462">
        <v>4.99</v>
      </c>
      <c r="AR29" s="463">
        <v>5</v>
      </c>
      <c r="AS29" s="463">
        <v>5.99</v>
      </c>
      <c r="AT29" s="468"/>
      <c r="AU29" s="468"/>
    </row>
    <row r="30" spans="1:47" ht="15.75" x14ac:dyDescent="0.25">
      <c r="A30" s="402"/>
      <c r="B30" s="402"/>
      <c r="C30" s="416"/>
      <c r="D30" s="417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7"/>
      <c r="V30" s="417"/>
      <c r="W30" s="417"/>
      <c r="X30" s="417"/>
      <c r="Y30" s="417"/>
      <c r="Z30" s="417"/>
      <c r="AA30" s="418"/>
      <c r="AB30" s="368"/>
      <c r="AD30" s="490" t="s">
        <v>507</v>
      </c>
      <c r="AE30" s="426">
        <v>19</v>
      </c>
      <c r="AF30" s="427">
        <v>1416</v>
      </c>
      <c r="AG30" s="429" t="s">
        <v>67</v>
      </c>
      <c r="AH30" s="470"/>
      <c r="AI30" s="465">
        <v>1.99</v>
      </c>
      <c r="AJ30" s="465">
        <v>5</v>
      </c>
      <c r="AK30" s="466">
        <v>6.99</v>
      </c>
      <c r="AL30" s="462">
        <v>1</v>
      </c>
      <c r="AM30" s="462">
        <v>1.99</v>
      </c>
      <c r="AN30" s="462">
        <v>3</v>
      </c>
      <c r="AO30" s="462">
        <v>3.99</v>
      </c>
      <c r="AP30" s="470"/>
      <c r="AQ30" s="465">
        <v>3.99</v>
      </c>
      <c r="AR30" s="462">
        <v>2</v>
      </c>
      <c r="AS30" s="462">
        <v>2.99</v>
      </c>
      <c r="AT30" s="470"/>
      <c r="AU30" s="465">
        <v>2.99</v>
      </c>
    </row>
    <row r="31" spans="1:47" ht="15.75" x14ac:dyDescent="0.25">
      <c r="A31" s="445" t="s">
        <v>484</v>
      </c>
      <c r="B31" s="447"/>
      <c r="C31" s="447"/>
      <c r="D31" s="428"/>
      <c r="E31" s="414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D31" s="490" t="s">
        <v>508</v>
      </c>
      <c r="AE31" s="426">
        <v>19</v>
      </c>
      <c r="AF31" s="427">
        <v>1289</v>
      </c>
      <c r="AG31" s="429"/>
      <c r="AH31" s="470"/>
      <c r="AI31" s="470"/>
      <c r="AJ31" s="470"/>
      <c r="AK31" s="464">
        <v>5.99</v>
      </c>
      <c r="AL31" s="460">
        <v>4</v>
      </c>
      <c r="AM31" s="460">
        <v>4.99</v>
      </c>
      <c r="AN31" s="470"/>
      <c r="AO31" s="465">
        <v>2.99</v>
      </c>
      <c r="AP31" s="465">
        <v>5</v>
      </c>
      <c r="AQ31" s="464">
        <v>5.99</v>
      </c>
      <c r="AR31" s="462">
        <v>5</v>
      </c>
      <c r="AS31" s="463">
        <v>5.99</v>
      </c>
      <c r="AT31" s="462">
        <v>2</v>
      </c>
      <c r="AU31" s="462">
        <v>2.99</v>
      </c>
    </row>
    <row r="32" spans="1:47" ht="15.75" x14ac:dyDescent="0.25">
      <c r="A32" s="446">
        <v>43644</v>
      </c>
      <c r="B32" s="448"/>
      <c r="C32" s="447"/>
      <c r="D32" s="428"/>
      <c r="E32" s="414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368"/>
      <c r="AA32" s="419"/>
      <c r="AB32" s="368"/>
      <c r="AD32" s="490" t="s">
        <v>509</v>
      </c>
      <c r="AE32" s="426">
        <v>17</v>
      </c>
      <c r="AF32" s="427">
        <v>1296</v>
      </c>
      <c r="AG32" s="429"/>
      <c r="AH32" s="473"/>
      <c r="AI32" s="465">
        <v>1.99</v>
      </c>
      <c r="AJ32" s="462">
        <v>2</v>
      </c>
      <c r="AK32" s="462">
        <v>2.99</v>
      </c>
      <c r="AL32" s="460">
        <v>3</v>
      </c>
      <c r="AM32" s="460">
        <v>3.99</v>
      </c>
      <c r="AN32" s="462">
        <v>3</v>
      </c>
      <c r="AO32" s="462">
        <v>3.99</v>
      </c>
      <c r="AP32" s="462">
        <v>6</v>
      </c>
      <c r="AQ32" s="467">
        <v>6.99</v>
      </c>
      <c r="AR32" s="460">
        <v>6</v>
      </c>
      <c r="AS32" s="474">
        <v>6.99</v>
      </c>
      <c r="AT32" s="473"/>
      <c r="AU32" s="473"/>
    </row>
    <row r="33" spans="1:47" ht="15.75" x14ac:dyDescent="0.25">
      <c r="A33" s="431">
        <f ca="1">TODAY()</f>
        <v>43718</v>
      </c>
      <c r="B33" s="428"/>
      <c r="C33" s="428"/>
      <c r="D33" s="428"/>
      <c r="E33" s="402"/>
      <c r="F33" s="369" t="s">
        <v>580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A33" s="368"/>
      <c r="AD33" s="490" t="s">
        <v>510</v>
      </c>
      <c r="AE33" s="426">
        <v>17</v>
      </c>
      <c r="AF33" s="427">
        <v>1291</v>
      </c>
      <c r="AG33" s="429"/>
      <c r="AH33" s="468"/>
      <c r="AI33" s="468"/>
      <c r="AJ33" s="462">
        <v>1</v>
      </c>
      <c r="AK33" s="462">
        <v>1.99</v>
      </c>
      <c r="AL33" s="465">
        <v>4</v>
      </c>
      <c r="AM33" s="466">
        <v>6.99</v>
      </c>
      <c r="AN33" s="462">
        <v>3</v>
      </c>
      <c r="AO33" s="462">
        <v>3.99</v>
      </c>
      <c r="AP33" s="468"/>
      <c r="AQ33" s="465">
        <v>2.99</v>
      </c>
      <c r="AR33" s="462">
        <v>3</v>
      </c>
      <c r="AS33" s="462">
        <v>3.99</v>
      </c>
      <c r="AT33" s="468"/>
      <c r="AU33" s="468"/>
    </row>
    <row r="34" spans="1:47" ht="15.75" x14ac:dyDescent="0.25">
      <c r="A34" s="431"/>
      <c r="B34" s="432"/>
      <c r="C34" s="432"/>
      <c r="D34" s="428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D34" s="490" t="s">
        <v>511</v>
      </c>
      <c r="AE34" s="426">
        <v>17</v>
      </c>
      <c r="AF34" s="427">
        <v>1328</v>
      </c>
      <c r="AG34" s="429"/>
      <c r="AH34" s="468"/>
      <c r="AI34" s="468"/>
      <c r="AJ34" s="462">
        <v>3</v>
      </c>
      <c r="AK34" s="462">
        <v>3.99</v>
      </c>
      <c r="AL34" s="462">
        <v>6</v>
      </c>
      <c r="AM34" s="467">
        <v>6.99</v>
      </c>
      <c r="AN34" s="462">
        <v>3</v>
      </c>
      <c r="AO34" s="462">
        <v>3.99</v>
      </c>
      <c r="AP34" s="460">
        <v>4</v>
      </c>
      <c r="AQ34" s="460">
        <v>4.99</v>
      </c>
      <c r="AR34" s="462">
        <v>4</v>
      </c>
      <c r="AS34" s="462">
        <v>4.99</v>
      </c>
      <c r="AT34" s="468"/>
      <c r="AU34" s="468"/>
    </row>
    <row r="35" spans="1:47" ht="15.75" x14ac:dyDescent="0.25">
      <c r="A35" s="428"/>
      <c r="B35" s="428"/>
      <c r="C35" s="428"/>
      <c r="D35" s="428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D35" s="490" t="s">
        <v>512</v>
      </c>
      <c r="AE35" s="426">
        <v>17</v>
      </c>
      <c r="AF35" s="427">
        <v>-628</v>
      </c>
      <c r="AG35" s="429"/>
      <c r="AH35" s="468"/>
      <c r="AI35" s="468"/>
      <c r="AJ35" s="460">
        <v>6</v>
      </c>
      <c r="AK35" s="474">
        <v>6.99</v>
      </c>
      <c r="AL35" s="460">
        <v>4</v>
      </c>
      <c r="AM35" s="460">
        <v>4.99</v>
      </c>
      <c r="AN35" s="462">
        <v>1</v>
      </c>
      <c r="AO35" s="462">
        <v>1.99</v>
      </c>
      <c r="AP35" s="468"/>
      <c r="AQ35" s="465">
        <v>3.99</v>
      </c>
      <c r="AR35" s="462">
        <v>1</v>
      </c>
      <c r="AS35" s="462">
        <v>1.99</v>
      </c>
      <c r="AT35" s="468"/>
      <c r="AU35" s="465">
        <v>4.99</v>
      </c>
    </row>
    <row r="36" spans="1:47" ht="15.75" x14ac:dyDescent="0.25">
      <c r="AD36" s="490" t="s">
        <v>513</v>
      </c>
      <c r="AE36" s="426">
        <v>17</v>
      </c>
      <c r="AF36" s="427">
        <v>1272</v>
      </c>
      <c r="AG36" s="429"/>
      <c r="AH36" s="475"/>
      <c r="AI36" s="475"/>
      <c r="AJ36" s="462">
        <v>2</v>
      </c>
      <c r="AK36" s="462">
        <v>2.99</v>
      </c>
      <c r="AL36" s="460">
        <v>6</v>
      </c>
      <c r="AM36" s="474">
        <v>6.99</v>
      </c>
      <c r="AN36" s="462">
        <v>3</v>
      </c>
      <c r="AO36" s="462">
        <v>3.99</v>
      </c>
      <c r="AP36" s="462">
        <v>3</v>
      </c>
      <c r="AQ36" s="462">
        <v>3.99</v>
      </c>
      <c r="AR36" s="462">
        <v>2</v>
      </c>
      <c r="AS36" s="462">
        <v>2.99</v>
      </c>
      <c r="AT36" s="462">
        <v>2</v>
      </c>
      <c r="AU36" s="462">
        <v>2.99</v>
      </c>
    </row>
    <row r="37" spans="1:47" ht="15.75" x14ac:dyDescent="0.25">
      <c r="AD37" s="490" t="s">
        <v>258</v>
      </c>
      <c r="AE37" s="426">
        <v>18</v>
      </c>
      <c r="AF37" s="427">
        <v>1200</v>
      </c>
      <c r="AG37" s="429"/>
      <c r="AH37" s="470"/>
      <c r="AI37" s="470"/>
      <c r="AJ37" s="462">
        <v>6</v>
      </c>
      <c r="AK37" s="467">
        <v>6.99</v>
      </c>
      <c r="AL37" s="462">
        <v>6.7</v>
      </c>
      <c r="AM37" s="467">
        <v>6.99</v>
      </c>
      <c r="AN37" s="462">
        <v>5</v>
      </c>
      <c r="AO37" s="463">
        <v>5.99</v>
      </c>
      <c r="AP37" s="462">
        <v>2</v>
      </c>
      <c r="AQ37" s="462">
        <v>2.99</v>
      </c>
      <c r="AR37" s="462">
        <v>3</v>
      </c>
      <c r="AS37" s="462">
        <v>3.99</v>
      </c>
      <c r="AT37" s="470"/>
      <c r="AU37" s="465">
        <v>2.99</v>
      </c>
    </row>
    <row r="38" spans="1:47" ht="15.75" x14ac:dyDescent="0.25">
      <c r="AD38" s="490" t="s">
        <v>514</v>
      </c>
      <c r="AE38" s="426">
        <v>18</v>
      </c>
      <c r="AF38" s="427">
        <v>1220</v>
      </c>
      <c r="AG38" s="429"/>
      <c r="AH38" s="468"/>
      <c r="AI38" s="465">
        <v>1.99</v>
      </c>
      <c r="AJ38" s="460">
        <v>6</v>
      </c>
      <c r="AK38" s="474">
        <v>6.99</v>
      </c>
      <c r="AL38" s="468"/>
      <c r="AM38" s="465">
        <v>3.99</v>
      </c>
      <c r="AN38" s="462">
        <v>3</v>
      </c>
      <c r="AO38" s="462">
        <v>3.99</v>
      </c>
      <c r="AP38" s="462">
        <v>2</v>
      </c>
      <c r="AQ38" s="462">
        <v>2.99</v>
      </c>
      <c r="AR38" s="462">
        <v>4</v>
      </c>
      <c r="AS38" s="462">
        <v>4.99</v>
      </c>
      <c r="AT38" s="468"/>
      <c r="AU38" s="464">
        <v>5.99</v>
      </c>
    </row>
    <row r="39" spans="1:47" ht="15.75" x14ac:dyDescent="0.25">
      <c r="AD39" s="490" t="s">
        <v>515</v>
      </c>
      <c r="AE39" s="426">
        <v>18</v>
      </c>
      <c r="AF39" s="427">
        <v>-673</v>
      </c>
      <c r="AG39" s="429"/>
      <c r="AH39" s="468"/>
      <c r="AI39" s="465">
        <v>1.99</v>
      </c>
      <c r="AJ39" s="462">
        <v>2</v>
      </c>
      <c r="AK39" s="462">
        <v>2.99</v>
      </c>
      <c r="AL39" s="462">
        <v>2</v>
      </c>
      <c r="AM39" s="462">
        <v>2.99</v>
      </c>
      <c r="AN39" s="462">
        <v>5</v>
      </c>
      <c r="AO39" s="463">
        <v>5.99</v>
      </c>
      <c r="AP39" s="465">
        <v>5</v>
      </c>
      <c r="AQ39" s="466">
        <v>6.99</v>
      </c>
      <c r="AR39" s="462">
        <v>4</v>
      </c>
      <c r="AS39" s="462">
        <v>4.99</v>
      </c>
      <c r="AT39" s="468"/>
      <c r="AU39" s="465">
        <v>4.99</v>
      </c>
    </row>
    <row r="40" spans="1:47" ht="15.75" x14ac:dyDescent="0.25">
      <c r="AD40" s="490" t="s">
        <v>297</v>
      </c>
      <c r="AE40" s="426">
        <v>17</v>
      </c>
      <c r="AF40" s="427">
        <v>1145</v>
      </c>
      <c r="AG40" s="429" t="s">
        <v>220</v>
      </c>
      <c r="AH40" s="468"/>
      <c r="AI40" s="465">
        <v>1.99</v>
      </c>
      <c r="AJ40" s="462">
        <v>5</v>
      </c>
      <c r="AK40" s="463">
        <v>5.99</v>
      </c>
      <c r="AL40" s="476">
        <v>7</v>
      </c>
      <c r="AM40" s="477">
        <v>7</v>
      </c>
      <c r="AN40" s="462">
        <v>1</v>
      </c>
      <c r="AO40" s="462">
        <v>1.99</v>
      </c>
      <c r="AP40" s="468"/>
      <c r="AQ40" s="465">
        <v>2.99</v>
      </c>
      <c r="AR40" s="462">
        <v>1</v>
      </c>
      <c r="AS40" s="462">
        <v>1.99</v>
      </c>
      <c r="AT40" s="468"/>
      <c r="AU40" s="468"/>
    </row>
    <row r="41" spans="1:47" ht="15.75" x14ac:dyDescent="0.25">
      <c r="AD41" s="490" t="s">
        <v>516</v>
      </c>
      <c r="AE41" s="426">
        <v>19</v>
      </c>
      <c r="AF41" s="427">
        <v>1042</v>
      </c>
      <c r="AG41" s="429" t="s">
        <v>94</v>
      </c>
      <c r="AH41" s="468"/>
      <c r="AI41" s="465">
        <v>1.99</v>
      </c>
      <c r="AJ41" s="465">
        <v>5</v>
      </c>
      <c r="AK41" s="466">
        <v>6.99</v>
      </c>
      <c r="AL41" s="460">
        <v>4</v>
      </c>
      <c r="AM41" s="460">
        <v>4.99</v>
      </c>
      <c r="AN41" s="462">
        <v>1</v>
      </c>
      <c r="AO41" s="462">
        <v>1.99</v>
      </c>
      <c r="AP41" s="468"/>
      <c r="AQ41" s="465">
        <v>2.99</v>
      </c>
      <c r="AR41" s="465">
        <v>2</v>
      </c>
      <c r="AS41" s="465">
        <v>3.99</v>
      </c>
      <c r="AT41" s="468"/>
      <c r="AU41" s="465">
        <v>1.99</v>
      </c>
    </row>
    <row r="42" spans="1:47" ht="15.75" x14ac:dyDescent="0.25">
      <c r="AD42" s="490" t="s">
        <v>517</v>
      </c>
      <c r="AE42" s="426">
        <v>19</v>
      </c>
      <c r="AF42" s="427">
        <v>-813</v>
      </c>
      <c r="AG42" s="429"/>
      <c r="AH42" s="470"/>
      <c r="AI42" s="465">
        <v>0.99</v>
      </c>
      <c r="AJ42" s="462">
        <v>3</v>
      </c>
      <c r="AK42" s="462">
        <v>3.99</v>
      </c>
      <c r="AL42" s="460">
        <v>5</v>
      </c>
      <c r="AM42" s="461">
        <v>5.99</v>
      </c>
      <c r="AN42" s="462">
        <v>5</v>
      </c>
      <c r="AO42" s="463">
        <v>5.99</v>
      </c>
      <c r="AP42" s="470"/>
      <c r="AQ42" s="470">
        <v>3.99</v>
      </c>
      <c r="AR42" s="470"/>
      <c r="AS42" s="478">
        <v>5.99</v>
      </c>
      <c r="AT42" s="470"/>
      <c r="AU42" s="470"/>
    </row>
    <row r="43" spans="1:47" ht="15.75" x14ac:dyDescent="0.25">
      <c r="AA43" s="564"/>
      <c r="AD43" s="490" t="s">
        <v>518</v>
      </c>
      <c r="AE43" s="426">
        <v>18</v>
      </c>
      <c r="AF43" s="427">
        <v>4</v>
      </c>
      <c r="AG43" s="429" t="s">
        <v>94</v>
      </c>
      <c r="AH43" s="468"/>
      <c r="AI43" s="465">
        <v>1.99</v>
      </c>
      <c r="AJ43" s="462">
        <v>4</v>
      </c>
      <c r="AK43" s="462">
        <v>4.99</v>
      </c>
      <c r="AL43" s="462">
        <v>3</v>
      </c>
      <c r="AM43" s="462">
        <v>3.99</v>
      </c>
      <c r="AN43" s="468"/>
      <c r="AO43" s="466">
        <v>6.99</v>
      </c>
      <c r="AP43" s="468"/>
      <c r="AQ43" s="465">
        <v>3.99</v>
      </c>
      <c r="AR43" s="462">
        <v>2</v>
      </c>
      <c r="AS43" s="462">
        <v>2.99</v>
      </c>
      <c r="AT43" s="468"/>
      <c r="AU43" s="468">
        <v>3.99</v>
      </c>
    </row>
    <row r="44" spans="1:47" ht="15.75" x14ac:dyDescent="0.25">
      <c r="AD44" s="490" t="s">
        <v>519</v>
      </c>
      <c r="AE44" s="426">
        <v>16</v>
      </c>
      <c r="AF44" s="427">
        <v>-718</v>
      </c>
      <c r="AG44" s="429" t="s">
        <v>220</v>
      </c>
      <c r="AH44" s="470"/>
      <c r="AI44" s="465">
        <v>1.99</v>
      </c>
      <c r="AJ44" s="462">
        <v>1</v>
      </c>
      <c r="AK44" s="462">
        <v>1.99</v>
      </c>
      <c r="AL44" s="460">
        <v>6</v>
      </c>
      <c r="AM44" s="474">
        <v>6.99</v>
      </c>
      <c r="AN44" s="470"/>
      <c r="AO44" s="465">
        <v>3.99</v>
      </c>
      <c r="AP44" s="470"/>
      <c r="AQ44" s="465">
        <v>3.99</v>
      </c>
      <c r="AR44" s="462">
        <v>2</v>
      </c>
      <c r="AS44" s="462">
        <v>2.99</v>
      </c>
      <c r="AT44" s="470"/>
      <c r="AU44" s="465">
        <v>2.99</v>
      </c>
    </row>
    <row r="45" spans="1:47" ht="15.75" x14ac:dyDescent="0.25">
      <c r="AD45" s="490" t="s">
        <v>520</v>
      </c>
      <c r="AE45" s="426">
        <v>18</v>
      </c>
      <c r="AF45" s="427">
        <v>1028</v>
      </c>
      <c r="AG45" s="429"/>
      <c r="AH45" s="479"/>
      <c r="AI45" s="479"/>
      <c r="AJ45" s="460">
        <v>5</v>
      </c>
      <c r="AK45" s="461">
        <v>5.99</v>
      </c>
      <c r="AL45" s="462">
        <v>6</v>
      </c>
      <c r="AM45" s="467">
        <v>6.99</v>
      </c>
      <c r="AN45" s="462">
        <v>2</v>
      </c>
      <c r="AO45" s="462">
        <v>2.99</v>
      </c>
      <c r="AP45" s="479"/>
      <c r="AQ45" s="465">
        <v>2.99</v>
      </c>
      <c r="AR45" s="462">
        <v>4</v>
      </c>
      <c r="AS45" s="462">
        <v>4.99</v>
      </c>
      <c r="AT45" s="479"/>
      <c r="AU45" s="479"/>
    </row>
    <row r="46" spans="1:47" ht="15.75" x14ac:dyDescent="0.25">
      <c r="AD46" s="490" t="s">
        <v>521</v>
      </c>
      <c r="AE46" s="426">
        <v>17</v>
      </c>
      <c r="AF46" s="427">
        <v>932</v>
      </c>
      <c r="AG46" s="429"/>
      <c r="AH46" s="468"/>
      <c r="AI46" s="468"/>
      <c r="AJ46" s="462">
        <v>2</v>
      </c>
      <c r="AK46" s="462">
        <v>2.99</v>
      </c>
      <c r="AL46" s="460">
        <v>7</v>
      </c>
      <c r="AM46" s="474">
        <v>7</v>
      </c>
      <c r="AN46" s="460">
        <v>3</v>
      </c>
      <c r="AO46" s="460">
        <v>3.99</v>
      </c>
      <c r="AP46" s="462">
        <v>1</v>
      </c>
      <c r="AQ46" s="462">
        <v>1.99</v>
      </c>
      <c r="AR46" s="468"/>
      <c r="AS46" s="465">
        <v>3.99</v>
      </c>
      <c r="AT46" s="468"/>
      <c r="AU46" s="468"/>
    </row>
    <row r="47" spans="1:47" ht="15.75" x14ac:dyDescent="0.25">
      <c r="AD47" s="490" t="s">
        <v>522</v>
      </c>
      <c r="AE47" s="426">
        <v>18</v>
      </c>
      <c r="AF47" s="427">
        <v>1032</v>
      </c>
      <c r="AG47" s="429" t="s">
        <v>105</v>
      </c>
      <c r="AH47" s="479"/>
      <c r="AI47" s="465">
        <v>1.99</v>
      </c>
      <c r="AJ47" s="479"/>
      <c r="AK47" s="465">
        <v>2.99</v>
      </c>
      <c r="AL47" s="462">
        <v>3</v>
      </c>
      <c r="AM47" s="462">
        <v>3.99</v>
      </c>
      <c r="AN47" s="462">
        <v>5</v>
      </c>
      <c r="AO47" s="463">
        <v>5.99</v>
      </c>
      <c r="AP47" s="462">
        <v>6</v>
      </c>
      <c r="AQ47" s="467">
        <v>6.99</v>
      </c>
      <c r="AR47" s="462">
        <v>2</v>
      </c>
      <c r="AS47" s="462">
        <v>2.99</v>
      </c>
      <c r="AT47" s="462">
        <v>4</v>
      </c>
      <c r="AU47" s="462">
        <v>4.99</v>
      </c>
    </row>
    <row r="48" spans="1:47" ht="15.75" x14ac:dyDescent="0.25">
      <c r="AD48" s="490" t="s">
        <v>523</v>
      </c>
      <c r="AE48" s="426">
        <v>17</v>
      </c>
      <c r="AF48" s="427">
        <v>959</v>
      </c>
      <c r="AG48" s="429"/>
      <c r="AH48" s="480"/>
      <c r="AI48" s="480">
        <v>1.99</v>
      </c>
      <c r="AJ48" s="480"/>
      <c r="AK48" s="465">
        <v>3.99</v>
      </c>
      <c r="AL48" s="460">
        <v>5</v>
      </c>
      <c r="AM48" s="461">
        <v>5.99</v>
      </c>
      <c r="AN48" s="479"/>
      <c r="AO48" s="465">
        <v>2.99</v>
      </c>
      <c r="AP48" s="462">
        <v>5</v>
      </c>
      <c r="AQ48" s="463">
        <v>5.99</v>
      </c>
      <c r="AR48" s="460">
        <v>4</v>
      </c>
      <c r="AS48" s="460">
        <v>4.99</v>
      </c>
      <c r="AT48" s="479"/>
      <c r="AU48" s="479">
        <v>3.99</v>
      </c>
    </row>
    <row r="49" spans="30:47" ht="15.75" x14ac:dyDescent="0.25">
      <c r="AD49" s="490" t="s">
        <v>524</v>
      </c>
      <c r="AE49" s="426">
        <v>17</v>
      </c>
      <c r="AF49" s="427">
        <v>852</v>
      </c>
      <c r="AG49" s="429"/>
      <c r="AH49" s="470"/>
      <c r="AI49" s="470"/>
      <c r="AJ49" s="470"/>
      <c r="AK49" s="465">
        <v>4.99</v>
      </c>
      <c r="AL49" s="462">
        <v>3</v>
      </c>
      <c r="AM49" s="462">
        <v>3.99</v>
      </c>
      <c r="AN49" s="460">
        <v>5</v>
      </c>
      <c r="AO49" s="461">
        <v>5.99</v>
      </c>
      <c r="AP49" s="470"/>
      <c r="AQ49" s="465">
        <v>2.99</v>
      </c>
      <c r="AR49" s="462">
        <v>4</v>
      </c>
      <c r="AS49" s="462">
        <v>4.99</v>
      </c>
      <c r="AT49" s="470"/>
      <c r="AU49" s="470"/>
    </row>
    <row r="50" spans="30:47" ht="15.75" x14ac:dyDescent="0.25">
      <c r="AD50" s="490" t="s">
        <v>525</v>
      </c>
      <c r="AE50" s="426">
        <v>18</v>
      </c>
      <c r="AF50" s="427">
        <v>908</v>
      </c>
      <c r="AG50" s="429" t="s">
        <v>220</v>
      </c>
      <c r="AH50" s="479"/>
      <c r="AI50" s="479"/>
      <c r="AJ50" s="465">
        <v>4</v>
      </c>
      <c r="AK50" s="464">
        <v>5.99</v>
      </c>
      <c r="AL50" s="462">
        <v>3</v>
      </c>
      <c r="AM50" s="462">
        <v>3.99</v>
      </c>
      <c r="AN50" s="460">
        <v>6</v>
      </c>
      <c r="AO50" s="474">
        <v>6.99</v>
      </c>
      <c r="AP50" s="465">
        <v>6</v>
      </c>
      <c r="AQ50" s="466">
        <v>7</v>
      </c>
      <c r="AR50" s="462">
        <v>4</v>
      </c>
      <c r="AS50" s="462">
        <v>4.99</v>
      </c>
      <c r="AT50" s="479"/>
      <c r="AU50" s="465">
        <v>2.99</v>
      </c>
    </row>
    <row r="51" spans="30:47" ht="15.75" x14ac:dyDescent="0.25">
      <c r="AD51" s="490" t="s">
        <v>526</v>
      </c>
      <c r="AE51" s="426">
        <v>17</v>
      </c>
      <c r="AF51" s="427">
        <v>856</v>
      </c>
      <c r="AG51" s="429" t="s">
        <v>220</v>
      </c>
      <c r="AH51" s="468"/>
      <c r="AI51" s="465">
        <v>0.99</v>
      </c>
      <c r="AJ51" s="465">
        <v>4</v>
      </c>
      <c r="AK51" s="464">
        <v>5.99</v>
      </c>
      <c r="AL51" s="462">
        <v>3</v>
      </c>
      <c r="AM51" s="462">
        <v>3.99</v>
      </c>
      <c r="AN51" s="462">
        <v>3</v>
      </c>
      <c r="AO51" s="462">
        <v>3.99</v>
      </c>
      <c r="AP51" s="462">
        <v>5.3</v>
      </c>
      <c r="AQ51" s="463">
        <v>5.99</v>
      </c>
      <c r="AR51" s="465">
        <v>5</v>
      </c>
      <c r="AS51" s="466">
        <v>6.99</v>
      </c>
      <c r="AT51" s="468"/>
      <c r="AU51" s="468"/>
    </row>
    <row r="52" spans="30:47" ht="15.75" x14ac:dyDescent="0.25">
      <c r="AD52" s="490" t="s">
        <v>527</v>
      </c>
      <c r="AE52" s="426">
        <v>18</v>
      </c>
      <c r="AF52" s="427">
        <v>-975</v>
      </c>
      <c r="AG52" s="429" t="s">
        <v>105</v>
      </c>
      <c r="AH52" s="468"/>
      <c r="AI52" s="465">
        <v>1.99</v>
      </c>
      <c r="AJ52" s="465">
        <v>4</v>
      </c>
      <c r="AK52" s="464">
        <v>5.99</v>
      </c>
      <c r="AL52" s="460">
        <v>5</v>
      </c>
      <c r="AM52" s="461">
        <v>5.99</v>
      </c>
      <c r="AN52" s="460">
        <v>4</v>
      </c>
      <c r="AO52" s="460">
        <v>4.99</v>
      </c>
      <c r="AP52" s="462">
        <v>4</v>
      </c>
      <c r="AQ52" s="462">
        <v>4.99</v>
      </c>
      <c r="AR52" s="460">
        <v>3</v>
      </c>
      <c r="AS52" s="460">
        <v>3.99</v>
      </c>
      <c r="AT52" s="468"/>
      <c r="AU52" s="468"/>
    </row>
    <row r="53" spans="30:47" ht="15.75" x14ac:dyDescent="0.25">
      <c r="AD53" s="490" t="s">
        <v>528</v>
      </c>
      <c r="AE53" s="426">
        <v>17</v>
      </c>
      <c r="AF53" s="427">
        <v>724</v>
      </c>
      <c r="AG53" s="429"/>
      <c r="AH53" s="468"/>
      <c r="AI53" s="465">
        <v>1.99</v>
      </c>
      <c r="AJ53" s="462">
        <v>4</v>
      </c>
      <c r="AK53" s="462">
        <v>4.99</v>
      </c>
      <c r="AL53" s="460">
        <v>6</v>
      </c>
      <c r="AM53" s="474">
        <v>6.99</v>
      </c>
      <c r="AN53" s="468"/>
      <c r="AO53" s="465">
        <v>3.99</v>
      </c>
      <c r="AP53" s="462">
        <v>2</v>
      </c>
      <c r="AQ53" s="462">
        <v>2.99</v>
      </c>
      <c r="AR53" s="462">
        <v>3</v>
      </c>
      <c r="AS53" s="462">
        <v>3.99</v>
      </c>
      <c r="AT53" s="468"/>
      <c r="AU53" s="464">
        <v>5.99</v>
      </c>
    </row>
    <row r="54" spans="30:47" ht="15.75" x14ac:dyDescent="0.25">
      <c r="AD54" s="490" t="s">
        <v>529</v>
      </c>
      <c r="AE54" s="426">
        <v>17</v>
      </c>
      <c r="AF54" s="427">
        <v>789</v>
      </c>
      <c r="AG54" s="429" t="s">
        <v>105</v>
      </c>
      <c r="AH54" s="470"/>
      <c r="AI54" s="470"/>
      <c r="AJ54" s="460">
        <v>5</v>
      </c>
      <c r="AK54" s="461">
        <v>5.99</v>
      </c>
      <c r="AL54" s="470"/>
      <c r="AM54" s="465">
        <v>2.99</v>
      </c>
      <c r="AN54" s="465">
        <v>5</v>
      </c>
      <c r="AO54" s="466">
        <v>7</v>
      </c>
      <c r="AP54" s="462">
        <v>3</v>
      </c>
      <c r="AQ54" s="462">
        <v>3.99</v>
      </c>
      <c r="AR54" s="462">
        <v>3</v>
      </c>
      <c r="AS54" s="462">
        <v>3.99</v>
      </c>
      <c r="AT54" s="470"/>
      <c r="AU54" s="465">
        <v>3.99</v>
      </c>
    </row>
    <row r="55" spans="30:47" ht="15.75" x14ac:dyDescent="0.25">
      <c r="AD55" s="490" t="s">
        <v>530</v>
      </c>
      <c r="AE55" s="426">
        <v>16</v>
      </c>
      <c r="AF55" s="427">
        <v>796</v>
      </c>
      <c r="AG55" s="429" t="s">
        <v>220</v>
      </c>
      <c r="AH55" s="479"/>
      <c r="AI55" s="479"/>
      <c r="AJ55" s="462">
        <v>2</v>
      </c>
      <c r="AK55" s="462">
        <v>2.99</v>
      </c>
      <c r="AL55" s="460">
        <v>5</v>
      </c>
      <c r="AM55" s="461">
        <v>5.99</v>
      </c>
      <c r="AN55" s="460">
        <v>5</v>
      </c>
      <c r="AO55" s="461">
        <v>5.99</v>
      </c>
      <c r="AP55" s="462">
        <v>4</v>
      </c>
      <c r="AQ55" s="462">
        <v>4.99</v>
      </c>
      <c r="AR55" s="462">
        <v>3</v>
      </c>
      <c r="AS55" s="462">
        <v>3.99</v>
      </c>
      <c r="AT55" s="479"/>
      <c r="AU55" s="479"/>
    </row>
    <row r="56" spans="30:47" ht="15.75" x14ac:dyDescent="0.25">
      <c r="AD56" s="490" t="s">
        <v>531</v>
      </c>
      <c r="AE56" s="426">
        <v>17</v>
      </c>
      <c r="AF56" s="427">
        <v>681</v>
      </c>
      <c r="AG56" s="429" t="s">
        <v>67</v>
      </c>
      <c r="AH56" s="468"/>
      <c r="AI56" s="465">
        <v>1.99</v>
      </c>
      <c r="AJ56" s="462">
        <v>3</v>
      </c>
      <c r="AK56" s="462">
        <v>3.99</v>
      </c>
      <c r="AL56" s="460">
        <v>5</v>
      </c>
      <c r="AM56" s="461">
        <v>5.99</v>
      </c>
      <c r="AN56" s="468"/>
      <c r="AO56" s="465">
        <v>2.99</v>
      </c>
      <c r="AP56" s="462">
        <v>4</v>
      </c>
      <c r="AQ56" s="462">
        <v>4.99</v>
      </c>
      <c r="AR56" s="462">
        <v>4</v>
      </c>
      <c r="AS56" s="462">
        <v>4.99</v>
      </c>
      <c r="AT56" s="462">
        <v>2</v>
      </c>
      <c r="AU56" s="462">
        <v>2.99</v>
      </c>
    </row>
    <row r="57" spans="30:47" ht="15.75" x14ac:dyDescent="0.25">
      <c r="AD57" s="490" t="s">
        <v>532</v>
      </c>
      <c r="AE57" s="426">
        <v>19</v>
      </c>
      <c r="AF57" s="427">
        <v>686</v>
      </c>
      <c r="AG57" s="429" t="s">
        <v>94</v>
      </c>
      <c r="AH57" s="479"/>
      <c r="AI57" s="465">
        <v>1.99</v>
      </c>
      <c r="AJ57" s="462">
        <v>2</v>
      </c>
      <c r="AK57" s="462">
        <v>2.99</v>
      </c>
      <c r="AL57" s="462">
        <v>3</v>
      </c>
      <c r="AM57" s="462">
        <v>3.99</v>
      </c>
      <c r="AN57" s="465">
        <v>4</v>
      </c>
      <c r="AO57" s="464">
        <v>5.99</v>
      </c>
      <c r="AP57" s="462">
        <v>4</v>
      </c>
      <c r="AQ57" s="462">
        <v>4.99</v>
      </c>
      <c r="AR57" s="462">
        <v>5</v>
      </c>
      <c r="AS57" s="463">
        <v>5.99</v>
      </c>
      <c r="AT57" s="479"/>
      <c r="AU57" s="465">
        <v>3.99</v>
      </c>
    </row>
    <row r="58" spans="30:47" ht="15.75" x14ac:dyDescent="0.25">
      <c r="AD58" s="490" t="s">
        <v>533</v>
      </c>
      <c r="AE58" s="426">
        <v>17</v>
      </c>
      <c r="AF58" s="427">
        <v>736</v>
      </c>
      <c r="AG58" s="429" t="s">
        <v>67</v>
      </c>
      <c r="AH58" s="468"/>
      <c r="AI58" s="465">
        <v>1.99</v>
      </c>
      <c r="AJ58" s="462">
        <v>1</v>
      </c>
      <c r="AK58" s="462">
        <v>1.99</v>
      </c>
      <c r="AL58" s="460">
        <v>6</v>
      </c>
      <c r="AM58" s="474">
        <v>6.99</v>
      </c>
      <c r="AN58" s="468"/>
      <c r="AO58" s="465">
        <v>2.99</v>
      </c>
      <c r="AP58" s="468"/>
      <c r="AQ58" s="465">
        <v>3.99</v>
      </c>
      <c r="AR58" s="468"/>
      <c r="AS58" s="465">
        <v>3.99</v>
      </c>
      <c r="AT58" s="468"/>
      <c r="AU58" s="465">
        <v>2.99</v>
      </c>
    </row>
    <row r="59" spans="30:47" ht="15.75" x14ac:dyDescent="0.25">
      <c r="AD59" s="490" t="s">
        <v>534</v>
      </c>
      <c r="AE59" s="426">
        <v>16</v>
      </c>
      <c r="AF59" s="427">
        <v>774</v>
      </c>
      <c r="AG59" s="429"/>
      <c r="AH59" s="479"/>
      <c r="AI59" s="465">
        <v>1.99</v>
      </c>
      <c r="AJ59" s="465">
        <v>4</v>
      </c>
      <c r="AK59" s="464">
        <v>5.99</v>
      </c>
      <c r="AL59" s="465">
        <v>4</v>
      </c>
      <c r="AM59" s="464">
        <v>5.99</v>
      </c>
      <c r="AN59" s="462">
        <v>5</v>
      </c>
      <c r="AO59" s="463">
        <v>5.99</v>
      </c>
      <c r="AP59" s="479"/>
      <c r="AQ59" s="465">
        <v>3.99</v>
      </c>
      <c r="AR59" s="479"/>
      <c r="AS59" s="465">
        <v>3.99</v>
      </c>
      <c r="AT59" s="479"/>
      <c r="AU59" s="465">
        <v>2.99</v>
      </c>
    </row>
    <row r="60" spans="30:47" ht="15.75" x14ac:dyDescent="0.25">
      <c r="AD60" s="490" t="s">
        <v>535</v>
      </c>
      <c r="AE60" s="426">
        <v>17</v>
      </c>
      <c r="AF60" s="427">
        <v>761</v>
      </c>
      <c r="AG60" s="429" t="s">
        <v>220</v>
      </c>
      <c r="AH60" s="470"/>
      <c r="AI60" s="465">
        <v>1.99</v>
      </c>
      <c r="AJ60" s="460">
        <v>3</v>
      </c>
      <c r="AK60" s="460">
        <v>3.99</v>
      </c>
      <c r="AL60" s="465">
        <v>5</v>
      </c>
      <c r="AM60" s="466">
        <v>6.99</v>
      </c>
      <c r="AN60" s="470"/>
      <c r="AO60" s="465">
        <v>2.99</v>
      </c>
      <c r="AP60" s="462">
        <v>2</v>
      </c>
      <c r="AQ60" s="462">
        <v>2.99</v>
      </c>
      <c r="AR60" s="470"/>
      <c r="AS60" s="464">
        <v>5.99</v>
      </c>
      <c r="AT60" s="462">
        <v>2</v>
      </c>
      <c r="AU60" s="462">
        <v>2.99</v>
      </c>
    </row>
    <row r="61" spans="30:47" ht="15.75" x14ac:dyDescent="0.25">
      <c r="AD61" s="490" t="s">
        <v>536</v>
      </c>
      <c r="AE61" s="426">
        <v>19</v>
      </c>
      <c r="AF61" s="427">
        <v>633</v>
      </c>
      <c r="AG61" s="429"/>
      <c r="AH61" s="468"/>
      <c r="AI61" s="468"/>
      <c r="AJ61" s="465">
        <v>5</v>
      </c>
      <c r="AK61" s="466">
        <v>6.99</v>
      </c>
      <c r="AL61" s="460">
        <v>4</v>
      </c>
      <c r="AM61" s="460">
        <v>4.99</v>
      </c>
      <c r="AN61" s="460">
        <v>4</v>
      </c>
      <c r="AO61" s="460">
        <v>4.99</v>
      </c>
      <c r="AP61" s="462">
        <v>3</v>
      </c>
      <c r="AQ61" s="462">
        <v>3.99</v>
      </c>
      <c r="AR61" s="462">
        <v>3</v>
      </c>
      <c r="AS61" s="462">
        <v>3.99</v>
      </c>
      <c r="AT61" s="468"/>
      <c r="AU61" s="468"/>
    </row>
    <row r="62" spans="30:47" ht="15.75" x14ac:dyDescent="0.25">
      <c r="AD62" s="490" t="s">
        <v>537</v>
      </c>
      <c r="AE62" s="426">
        <v>16</v>
      </c>
      <c r="AF62" s="427">
        <v>679</v>
      </c>
      <c r="AG62" s="429"/>
      <c r="AH62" s="479"/>
      <c r="AI62" s="465">
        <v>1.99</v>
      </c>
      <c r="AJ62" s="460">
        <v>5</v>
      </c>
      <c r="AK62" s="461">
        <v>5.99</v>
      </c>
      <c r="AL62" s="462">
        <v>3</v>
      </c>
      <c r="AM62" s="462">
        <v>3.99</v>
      </c>
      <c r="AN62" s="462">
        <v>4</v>
      </c>
      <c r="AO62" s="462">
        <v>4.99</v>
      </c>
      <c r="AP62" s="465">
        <v>3</v>
      </c>
      <c r="AQ62" s="465">
        <v>4.99</v>
      </c>
      <c r="AR62" s="462">
        <v>1</v>
      </c>
      <c r="AS62" s="462">
        <v>1.99</v>
      </c>
      <c r="AT62" s="479"/>
      <c r="AU62" s="465">
        <v>2.99</v>
      </c>
    </row>
    <row r="63" spans="30:47" ht="15.75" x14ac:dyDescent="0.25">
      <c r="AD63" s="490" t="s">
        <v>538</v>
      </c>
      <c r="AE63" s="426">
        <v>16</v>
      </c>
      <c r="AF63" s="427">
        <v>663</v>
      </c>
      <c r="AG63" s="429" t="s">
        <v>96</v>
      </c>
      <c r="AH63" s="479"/>
      <c r="AI63" s="479"/>
      <c r="AJ63" s="462">
        <v>4</v>
      </c>
      <c r="AK63" s="462">
        <v>4.99</v>
      </c>
      <c r="AL63" s="462">
        <v>5</v>
      </c>
      <c r="AM63" s="463">
        <v>5.99</v>
      </c>
      <c r="AN63" s="460">
        <v>4</v>
      </c>
      <c r="AO63" s="460">
        <v>4.99</v>
      </c>
      <c r="AP63" s="479"/>
      <c r="AQ63" s="465">
        <v>3.99</v>
      </c>
      <c r="AR63" s="462">
        <v>3</v>
      </c>
      <c r="AS63" s="462">
        <v>3.99</v>
      </c>
      <c r="AT63" s="479"/>
      <c r="AU63" s="479"/>
    </row>
    <row r="64" spans="30:47" ht="15.75" x14ac:dyDescent="0.25">
      <c r="AD64" s="490" t="s">
        <v>539</v>
      </c>
      <c r="AE64" s="426">
        <v>16</v>
      </c>
      <c r="AF64" s="427">
        <v>644</v>
      </c>
      <c r="AG64" s="429"/>
      <c r="AH64" s="479"/>
      <c r="AI64" s="465">
        <v>1.99</v>
      </c>
      <c r="AJ64" s="460">
        <v>3</v>
      </c>
      <c r="AK64" s="460">
        <v>3.99</v>
      </c>
      <c r="AL64" s="460">
        <v>6</v>
      </c>
      <c r="AM64" s="474">
        <v>6.99</v>
      </c>
      <c r="AN64" s="460">
        <v>5</v>
      </c>
      <c r="AO64" s="461">
        <v>5.99</v>
      </c>
      <c r="AP64" s="479"/>
      <c r="AQ64" s="465">
        <v>2.99</v>
      </c>
      <c r="AR64" s="462">
        <v>3</v>
      </c>
      <c r="AS64" s="462">
        <v>3.99</v>
      </c>
      <c r="AT64" s="479"/>
      <c r="AU64" s="479"/>
    </row>
    <row r="65" spans="30:47" ht="15.75" x14ac:dyDescent="0.25">
      <c r="AD65" s="490" t="s">
        <v>540</v>
      </c>
      <c r="AE65" s="426">
        <v>16</v>
      </c>
      <c r="AF65" s="427">
        <v>607</v>
      </c>
      <c r="AG65" s="429" t="s">
        <v>94</v>
      </c>
      <c r="AH65" s="479"/>
      <c r="AI65" s="479"/>
      <c r="AJ65" s="462">
        <v>4</v>
      </c>
      <c r="AK65" s="462">
        <v>4.99</v>
      </c>
      <c r="AL65" s="460">
        <v>4</v>
      </c>
      <c r="AM65" s="460">
        <v>4.99</v>
      </c>
      <c r="AN65" s="462">
        <v>4</v>
      </c>
      <c r="AO65" s="462">
        <v>4.99</v>
      </c>
      <c r="AP65" s="460">
        <v>4</v>
      </c>
      <c r="AQ65" s="460">
        <v>4.99</v>
      </c>
      <c r="AR65" s="460">
        <v>5</v>
      </c>
      <c r="AS65" s="461">
        <v>5.99</v>
      </c>
      <c r="AT65" s="479"/>
      <c r="AU65" s="465">
        <v>2.99</v>
      </c>
    </row>
    <row r="66" spans="30:47" ht="15.75" x14ac:dyDescent="0.25">
      <c r="AD66" s="490" t="s">
        <v>541</v>
      </c>
      <c r="AE66" s="426">
        <v>17</v>
      </c>
      <c r="AF66" s="427">
        <v>621</v>
      </c>
      <c r="AG66" s="429" t="s">
        <v>94</v>
      </c>
      <c r="AH66" s="470"/>
      <c r="AI66" s="470"/>
      <c r="AJ66" s="465">
        <v>3</v>
      </c>
      <c r="AK66" s="465">
        <v>4.99</v>
      </c>
      <c r="AL66" s="465">
        <v>5</v>
      </c>
      <c r="AM66" s="466">
        <v>6.99</v>
      </c>
      <c r="AN66" s="462">
        <v>5</v>
      </c>
      <c r="AO66" s="463">
        <v>5.99</v>
      </c>
      <c r="AP66" s="470"/>
      <c r="AQ66" s="465">
        <v>2.99</v>
      </c>
      <c r="AR66" s="460">
        <v>5</v>
      </c>
      <c r="AS66" s="461">
        <v>5.99</v>
      </c>
      <c r="AT66" s="470"/>
      <c r="AU66" s="465">
        <v>3.99</v>
      </c>
    </row>
    <row r="67" spans="30:47" ht="15.75" x14ac:dyDescent="0.25">
      <c r="AD67" s="490" t="s">
        <v>542</v>
      </c>
      <c r="AE67" s="426">
        <v>16</v>
      </c>
      <c r="AF67" s="427">
        <v>571</v>
      </c>
      <c r="AG67" s="429"/>
      <c r="AH67" s="479"/>
      <c r="AI67" s="465">
        <v>1.99</v>
      </c>
      <c r="AJ67" s="460">
        <v>4</v>
      </c>
      <c r="AK67" s="460">
        <v>4.99</v>
      </c>
      <c r="AL67" s="462">
        <v>3</v>
      </c>
      <c r="AM67" s="462">
        <v>3.99</v>
      </c>
      <c r="AN67" s="465">
        <v>7</v>
      </c>
      <c r="AO67" s="466">
        <v>7</v>
      </c>
      <c r="AP67" s="462">
        <v>2</v>
      </c>
      <c r="AQ67" s="462">
        <v>2.99</v>
      </c>
      <c r="AR67" s="460">
        <v>4</v>
      </c>
      <c r="AS67" s="460">
        <v>4.99</v>
      </c>
      <c r="AT67" s="479"/>
      <c r="AU67" s="479"/>
    </row>
    <row r="68" spans="30:47" ht="15.75" x14ac:dyDescent="0.25">
      <c r="AD68" s="490" t="s">
        <v>543</v>
      </c>
      <c r="AE68" s="426">
        <v>17</v>
      </c>
      <c r="AF68" s="427">
        <v>467</v>
      </c>
      <c r="AG68" s="429"/>
      <c r="AH68" s="470"/>
      <c r="AI68" s="470"/>
      <c r="AJ68" s="470"/>
      <c r="AK68" s="465">
        <v>2.99</v>
      </c>
      <c r="AL68" s="462">
        <v>2</v>
      </c>
      <c r="AM68" s="462">
        <v>2.99</v>
      </c>
      <c r="AN68" s="462">
        <v>5</v>
      </c>
      <c r="AO68" s="463">
        <v>5.99</v>
      </c>
      <c r="AP68" s="470"/>
      <c r="AQ68" s="464">
        <v>5.99</v>
      </c>
      <c r="AR68" s="460">
        <v>3</v>
      </c>
      <c r="AS68" s="460">
        <v>3.99</v>
      </c>
      <c r="AT68" s="470"/>
      <c r="AU68" s="470"/>
    </row>
    <row r="69" spans="30:47" ht="15.75" x14ac:dyDescent="0.25">
      <c r="AD69" s="490" t="s">
        <v>544</v>
      </c>
      <c r="AE69" s="426">
        <v>16</v>
      </c>
      <c r="AF69" s="427">
        <v>475</v>
      </c>
      <c r="AG69" s="429"/>
      <c r="AH69" s="479"/>
      <c r="AI69" s="465">
        <v>1.99</v>
      </c>
      <c r="AJ69" s="479"/>
      <c r="AK69" s="465">
        <v>3.99</v>
      </c>
      <c r="AL69" s="460">
        <v>5</v>
      </c>
      <c r="AM69" s="461">
        <v>5.99</v>
      </c>
      <c r="AN69" s="460">
        <v>6</v>
      </c>
      <c r="AO69" s="474">
        <v>6.99</v>
      </c>
      <c r="AP69" s="479"/>
      <c r="AQ69" s="479"/>
      <c r="AR69" s="462">
        <v>2</v>
      </c>
      <c r="AS69" s="462">
        <v>2.99</v>
      </c>
      <c r="AT69" s="479"/>
      <c r="AU69" s="479"/>
    </row>
    <row r="70" spans="30:47" ht="15.75" x14ac:dyDescent="0.25">
      <c r="AD70" s="490" t="s">
        <v>545</v>
      </c>
      <c r="AE70" s="426">
        <v>16</v>
      </c>
      <c r="AF70" s="427">
        <v>422</v>
      </c>
      <c r="AG70" s="429"/>
      <c r="AH70" s="479"/>
      <c r="AI70" s="479"/>
      <c r="AJ70" s="462">
        <v>1</v>
      </c>
      <c r="AK70" s="462">
        <v>1.99</v>
      </c>
      <c r="AL70" s="460">
        <v>5</v>
      </c>
      <c r="AM70" s="461">
        <v>5.99</v>
      </c>
      <c r="AN70" s="460">
        <v>4</v>
      </c>
      <c r="AO70" s="460">
        <v>4.99</v>
      </c>
      <c r="AP70" s="479"/>
      <c r="AQ70" s="465">
        <v>2.99</v>
      </c>
      <c r="AR70" s="479"/>
      <c r="AS70" s="465">
        <v>2.99</v>
      </c>
      <c r="AT70" s="479"/>
      <c r="AU70" s="479"/>
    </row>
    <row r="71" spans="30:47" ht="15.75" x14ac:dyDescent="0.25">
      <c r="AD71" s="490" t="s">
        <v>546</v>
      </c>
      <c r="AE71" s="426">
        <v>16</v>
      </c>
      <c r="AF71" s="427">
        <v>434</v>
      </c>
      <c r="AG71" s="429"/>
      <c r="AH71" s="479"/>
      <c r="AI71" s="465">
        <v>1.99</v>
      </c>
      <c r="AJ71" s="465">
        <v>3</v>
      </c>
      <c r="AK71" s="465">
        <v>4.99</v>
      </c>
      <c r="AL71" s="460">
        <v>2</v>
      </c>
      <c r="AM71" s="460">
        <v>2.99</v>
      </c>
      <c r="AN71" s="465">
        <v>4</v>
      </c>
      <c r="AO71" s="466">
        <v>6.99</v>
      </c>
      <c r="AP71" s="479"/>
      <c r="AQ71" s="465">
        <v>2.99</v>
      </c>
      <c r="AR71" s="479"/>
      <c r="AS71" s="466">
        <v>6.99</v>
      </c>
      <c r="AT71" s="479"/>
      <c r="AU71" s="479"/>
    </row>
    <row r="72" spans="30:47" ht="15.75" x14ac:dyDescent="0.25">
      <c r="AD72" s="490" t="s">
        <v>547</v>
      </c>
      <c r="AE72" s="426">
        <v>16</v>
      </c>
      <c r="AF72" s="427">
        <v>454</v>
      </c>
      <c r="AG72" s="429"/>
      <c r="AH72" s="479"/>
      <c r="AI72" s="465">
        <v>1.99</v>
      </c>
      <c r="AJ72" s="479"/>
      <c r="AK72" s="464">
        <v>5.99</v>
      </c>
      <c r="AL72" s="460">
        <v>5</v>
      </c>
      <c r="AM72" s="461">
        <v>5.99</v>
      </c>
      <c r="AN72" s="462">
        <v>4</v>
      </c>
      <c r="AO72" s="462">
        <v>4.99</v>
      </c>
      <c r="AP72" s="465">
        <v>3</v>
      </c>
      <c r="AQ72" s="464">
        <v>5.99</v>
      </c>
      <c r="AR72" s="465">
        <v>4</v>
      </c>
      <c r="AS72" s="464">
        <v>5.99</v>
      </c>
      <c r="AT72" s="479"/>
      <c r="AU72" s="479"/>
    </row>
    <row r="73" spans="30:47" ht="15.75" x14ac:dyDescent="0.25">
      <c r="AD73" s="490" t="s">
        <v>548</v>
      </c>
      <c r="AE73" s="426">
        <v>16</v>
      </c>
      <c r="AF73" s="427">
        <v>458</v>
      </c>
      <c r="AG73" s="429"/>
      <c r="AH73" s="479"/>
      <c r="AI73" s="479"/>
      <c r="AJ73" s="479"/>
      <c r="AK73" s="465">
        <v>2.99</v>
      </c>
      <c r="AL73" s="460">
        <v>5</v>
      </c>
      <c r="AM73" s="461">
        <v>5.99</v>
      </c>
      <c r="AN73" s="465">
        <v>4</v>
      </c>
      <c r="AO73" s="464">
        <v>5.99</v>
      </c>
      <c r="AP73" s="479"/>
      <c r="AQ73" s="465">
        <v>3.99</v>
      </c>
      <c r="AR73" s="462">
        <v>2</v>
      </c>
      <c r="AS73" s="462">
        <v>2.99</v>
      </c>
      <c r="AT73" s="479"/>
      <c r="AU73" s="479"/>
    </row>
    <row r="74" spans="30:47" ht="15.75" x14ac:dyDescent="0.25">
      <c r="AD74" s="490" t="s">
        <v>549</v>
      </c>
      <c r="AE74" s="426">
        <v>15</v>
      </c>
      <c r="AF74" s="427">
        <v>517</v>
      </c>
      <c r="AG74" s="429"/>
      <c r="AH74" s="479"/>
      <c r="AI74" s="479"/>
      <c r="AJ74" s="479"/>
      <c r="AK74" s="465">
        <v>4.99</v>
      </c>
      <c r="AL74" s="479"/>
      <c r="AM74" s="479"/>
      <c r="AN74" s="479"/>
      <c r="AO74" s="465">
        <v>4.99</v>
      </c>
      <c r="AP74" s="465">
        <v>3</v>
      </c>
      <c r="AQ74" s="479"/>
      <c r="AR74" s="479"/>
      <c r="AS74" s="464">
        <v>5.99</v>
      </c>
      <c r="AT74" s="479"/>
      <c r="AU74" s="479"/>
    </row>
    <row r="75" spans="30:47" ht="15.75" x14ac:dyDescent="0.25">
      <c r="AD75" s="490" t="s">
        <v>550</v>
      </c>
      <c r="AE75" s="426">
        <v>17</v>
      </c>
      <c r="AF75" s="427">
        <v>499</v>
      </c>
      <c r="AG75" s="429"/>
      <c r="AH75" s="479"/>
      <c r="AI75" s="479"/>
      <c r="AJ75" s="465">
        <v>4</v>
      </c>
      <c r="AK75" s="464">
        <v>5.99</v>
      </c>
      <c r="AL75" s="462">
        <v>4</v>
      </c>
      <c r="AM75" s="462">
        <v>4.99</v>
      </c>
      <c r="AN75" s="462">
        <v>4</v>
      </c>
      <c r="AO75" s="462">
        <v>4.99</v>
      </c>
      <c r="AP75" s="479"/>
      <c r="AQ75" s="466">
        <v>6.99</v>
      </c>
      <c r="AR75" s="462">
        <v>2</v>
      </c>
      <c r="AS75" s="462">
        <v>2.99</v>
      </c>
      <c r="AT75" s="479"/>
      <c r="AU75" s="479"/>
    </row>
    <row r="76" spans="30:47" ht="15.75" x14ac:dyDescent="0.25">
      <c r="AD76" s="490" t="s">
        <v>551</v>
      </c>
      <c r="AE76" s="426">
        <v>16</v>
      </c>
      <c r="AF76" s="427">
        <v>-1491</v>
      </c>
      <c r="AG76" s="429"/>
      <c r="AH76" s="470"/>
      <c r="AI76" s="470"/>
      <c r="AJ76" s="481">
        <v>1</v>
      </c>
      <c r="AK76" s="462">
        <v>1.99</v>
      </c>
      <c r="AL76" s="482">
        <v>5</v>
      </c>
      <c r="AM76" s="461">
        <v>5.99</v>
      </c>
      <c r="AN76" s="470"/>
      <c r="AO76" s="465">
        <v>2.99</v>
      </c>
      <c r="AP76" s="482" t="s">
        <v>552</v>
      </c>
      <c r="AQ76" s="461">
        <v>5.99</v>
      </c>
      <c r="AR76" s="482">
        <v>4</v>
      </c>
      <c r="AS76" s="461">
        <v>4.99</v>
      </c>
      <c r="AT76" s="470"/>
      <c r="AU76" s="470"/>
    </row>
    <row r="77" spans="30:47" ht="15.75" x14ac:dyDescent="0.25">
      <c r="AD77" s="490" t="s">
        <v>553</v>
      </c>
      <c r="AE77" s="426">
        <v>16</v>
      </c>
      <c r="AF77" s="427">
        <v>336</v>
      </c>
      <c r="AG77" s="429" t="s">
        <v>67</v>
      </c>
      <c r="AH77" s="470"/>
      <c r="AI77" s="465">
        <v>1.99</v>
      </c>
      <c r="AJ77" s="482">
        <v>6</v>
      </c>
      <c r="AK77" s="474">
        <v>6.99</v>
      </c>
      <c r="AL77" s="482">
        <v>5</v>
      </c>
      <c r="AM77" s="461">
        <v>5.99</v>
      </c>
      <c r="AN77" s="482">
        <v>3</v>
      </c>
      <c r="AO77" s="460">
        <v>3.99</v>
      </c>
      <c r="AP77" s="481">
        <v>1</v>
      </c>
      <c r="AQ77" s="462">
        <v>1.99</v>
      </c>
      <c r="AR77" s="481">
        <v>2</v>
      </c>
      <c r="AS77" s="462">
        <v>2.99</v>
      </c>
      <c r="AT77" s="470"/>
      <c r="AU77" s="470"/>
    </row>
    <row r="78" spans="30:47" ht="15.75" x14ac:dyDescent="0.25">
      <c r="AD78" s="490" t="s">
        <v>554</v>
      </c>
      <c r="AE78" s="426">
        <v>16</v>
      </c>
      <c r="AF78" s="427">
        <v>305</v>
      </c>
      <c r="AG78" s="429" t="s">
        <v>67</v>
      </c>
      <c r="AH78" s="470"/>
      <c r="AI78" s="465">
        <v>1.99</v>
      </c>
      <c r="AJ78" s="470"/>
      <c r="AK78" s="465">
        <v>3.99</v>
      </c>
      <c r="AL78" s="470"/>
      <c r="AM78" s="465">
        <v>2.99</v>
      </c>
      <c r="AN78" s="470"/>
      <c r="AO78" s="465">
        <v>2.99</v>
      </c>
      <c r="AP78" s="481">
        <v>3</v>
      </c>
      <c r="AQ78" s="462">
        <v>3.99</v>
      </c>
      <c r="AR78" s="482">
        <v>5</v>
      </c>
      <c r="AS78" s="461">
        <v>5.99</v>
      </c>
      <c r="AT78" s="470"/>
      <c r="AU78" s="470"/>
    </row>
    <row r="79" spans="30:47" ht="15.75" x14ac:dyDescent="0.25">
      <c r="AD79" s="490" t="s">
        <v>555</v>
      </c>
      <c r="AE79" s="426">
        <v>16</v>
      </c>
      <c r="AF79" s="427">
        <v>262</v>
      </c>
      <c r="AG79" s="429"/>
      <c r="AH79" s="470"/>
      <c r="AI79" s="465">
        <v>1.99</v>
      </c>
      <c r="AJ79" s="481">
        <v>1</v>
      </c>
      <c r="AK79" s="462">
        <v>1.99</v>
      </c>
      <c r="AL79" s="482">
        <v>4</v>
      </c>
      <c r="AM79" s="460">
        <v>4.99</v>
      </c>
      <c r="AN79" s="481">
        <v>5</v>
      </c>
      <c r="AO79" s="463">
        <v>5.99</v>
      </c>
      <c r="AP79" s="482">
        <v>6</v>
      </c>
      <c r="AQ79" s="474">
        <v>6.99</v>
      </c>
      <c r="AR79" s="482">
        <v>2</v>
      </c>
      <c r="AS79" s="460">
        <v>2.99</v>
      </c>
      <c r="AT79" s="470"/>
      <c r="AU79" s="470"/>
    </row>
    <row r="80" spans="30:47" ht="15.75" x14ac:dyDescent="0.25">
      <c r="AD80" s="490" t="s">
        <v>556</v>
      </c>
      <c r="AE80" s="426">
        <v>17</v>
      </c>
      <c r="AF80" s="427">
        <v>208</v>
      </c>
      <c r="AG80" s="429"/>
      <c r="AH80" s="470"/>
      <c r="AI80" s="465">
        <v>1.99</v>
      </c>
      <c r="AJ80" s="481">
        <v>2</v>
      </c>
      <c r="AK80" s="462">
        <v>2.99</v>
      </c>
      <c r="AL80" s="483">
        <v>5</v>
      </c>
      <c r="AM80" s="466">
        <v>7</v>
      </c>
      <c r="AN80" s="481">
        <v>3</v>
      </c>
      <c r="AO80" s="462">
        <v>3.99</v>
      </c>
      <c r="AP80" s="483">
        <v>4</v>
      </c>
      <c r="AQ80" s="466">
        <v>6.99</v>
      </c>
      <c r="AR80" s="470"/>
      <c r="AS80" s="465">
        <v>2.99</v>
      </c>
      <c r="AT80" s="470"/>
      <c r="AU80" s="470"/>
    </row>
    <row r="81" spans="30:47" x14ac:dyDescent="0.25">
      <c r="AD81" s="490" t="s">
        <v>557</v>
      </c>
      <c r="AE81" s="426"/>
      <c r="AF81" s="427"/>
      <c r="AG81" s="429"/>
      <c r="AH81" s="484"/>
      <c r="AI81" s="484"/>
      <c r="AJ81" s="484"/>
      <c r="AK81" s="484"/>
      <c r="AL81" s="484"/>
      <c r="AM81" s="484"/>
      <c r="AN81" s="484"/>
      <c r="AO81" s="484"/>
      <c r="AP81" s="484"/>
      <c r="AQ81" s="484"/>
      <c r="AR81" s="484"/>
      <c r="AS81" s="484"/>
      <c r="AT81" s="484"/>
      <c r="AU81" s="484"/>
    </row>
    <row r="82" spans="30:47" x14ac:dyDescent="0.25">
      <c r="AD82" s="490" t="s">
        <v>558</v>
      </c>
      <c r="AE82" s="426"/>
      <c r="AF82" s="427"/>
      <c r="AG82" s="429"/>
      <c r="AH82" s="484"/>
      <c r="AI82" s="484"/>
      <c r="AJ82" s="484"/>
      <c r="AK82" s="484"/>
      <c r="AL82" s="484"/>
      <c r="AM82" s="484"/>
      <c r="AN82" s="484"/>
      <c r="AO82" s="484"/>
      <c r="AP82" s="484"/>
      <c r="AQ82" s="484"/>
      <c r="AR82" s="484"/>
      <c r="AS82" s="484"/>
      <c r="AT82" s="484"/>
      <c r="AU82" s="484"/>
    </row>
    <row r="83" spans="30:47" x14ac:dyDescent="0.25">
      <c r="AD83" s="490" t="s">
        <v>559</v>
      </c>
      <c r="AE83" s="426"/>
      <c r="AF83" s="427"/>
      <c r="AG83" s="429"/>
      <c r="AH83" s="484"/>
      <c r="AI83" s="484"/>
      <c r="AJ83" s="484"/>
      <c r="AK83" s="484"/>
      <c r="AL83" s="484"/>
      <c r="AM83" s="484"/>
      <c r="AN83" s="484"/>
      <c r="AO83" s="484"/>
      <c r="AP83" s="484"/>
      <c r="AQ83" s="484"/>
      <c r="AR83" s="484"/>
      <c r="AS83" s="484"/>
      <c r="AT83" s="484"/>
      <c r="AU83" s="484"/>
    </row>
    <row r="84" spans="30:47" ht="15.75" x14ac:dyDescent="0.25">
      <c r="AD84" s="490" t="s">
        <v>560</v>
      </c>
      <c r="AE84" s="426">
        <v>16</v>
      </c>
      <c r="AF84" s="427">
        <v>146</v>
      </c>
      <c r="AG84" s="429"/>
      <c r="AH84" s="470"/>
      <c r="AI84" s="470"/>
      <c r="AJ84" s="481">
        <v>3</v>
      </c>
      <c r="AK84" s="462">
        <v>3.99</v>
      </c>
      <c r="AL84" s="481">
        <v>5</v>
      </c>
      <c r="AM84" s="463">
        <v>5.99</v>
      </c>
      <c r="AN84" s="481">
        <v>3</v>
      </c>
      <c r="AO84" s="462">
        <v>3.99</v>
      </c>
      <c r="AP84" s="481">
        <v>1</v>
      </c>
      <c r="AQ84" s="462">
        <v>1.99</v>
      </c>
      <c r="AR84" s="470"/>
      <c r="AS84" s="465">
        <v>1.99</v>
      </c>
      <c r="AT84" s="470"/>
      <c r="AU84" s="470"/>
    </row>
    <row r="85" spans="30:47" ht="15.75" x14ac:dyDescent="0.25">
      <c r="AD85" s="490" t="s">
        <v>561</v>
      </c>
      <c r="AE85" s="426">
        <v>16</v>
      </c>
      <c r="AF85" s="427">
        <v>210</v>
      </c>
      <c r="AG85" s="429"/>
      <c r="AH85" s="482">
        <v>6</v>
      </c>
      <c r="AI85" s="474">
        <v>6.99</v>
      </c>
      <c r="AJ85" s="481">
        <v>2.6</v>
      </c>
      <c r="AK85" s="462">
        <v>2.99</v>
      </c>
      <c r="AL85" s="470"/>
      <c r="AM85" s="465">
        <v>3.99</v>
      </c>
      <c r="AN85" s="470"/>
      <c r="AO85" s="465">
        <v>1.99</v>
      </c>
      <c r="AP85" s="470"/>
      <c r="AQ85" s="465">
        <v>0.99</v>
      </c>
      <c r="AR85" s="470"/>
      <c r="AS85" s="465">
        <v>2.99</v>
      </c>
      <c r="AT85" s="470"/>
      <c r="AU85" s="470"/>
    </row>
    <row r="86" spans="30:47" ht="15.75" x14ac:dyDescent="0.25">
      <c r="AD86" s="490" t="s">
        <v>562</v>
      </c>
      <c r="AE86" s="426">
        <v>17</v>
      </c>
      <c r="AF86" s="427">
        <v>384</v>
      </c>
      <c r="AG86" s="429" t="s">
        <v>105</v>
      </c>
      <c r="AH86" s="470"/>
      <c r="AI86" s="465">
        <v>1.99</v>
      </c>
      <c r="AJ86" s="481">
        <v>3</v>
      </c>
      <c r="AK86" s="462">
        <v>3.99</v>
      </c>
      <c r="AL86" s="481">
        <v>5</v>
      </c>
      <c r="AM86" s="463">
        <v>5.99</v>
      </c>
      <c r="AN86" s="481">
        <v>1</v>
      </c>
      <c r="AO86" s="462">
        <v>1.99</v>
      </c>
      <c r="AP86" s="481">
        <v>4</v>
      </c>
      <c r="AQ86" s="462">
        <v>4.99</v>
      </c>
      <c r="AR86" s="482">
        <v>4</v>
      </c>
      <c r="AS86" s="460">
        <v>4.99</v>
      </c>
      <c r="AT86" s="470"/>
      <c r="AU86" s="470"/>
    </row>
    <row r="87" spans="30:47" ht="15.75" x14ac:dyDescent="0.25">
      <c r="AD87" s="490" t="s">
        <v>563</v>
      </c>
      <c r="AE87" s="426">
        <v>17</v>
      </c>
      <c r="AF87" s="427">
        <v>382</v>
      </c>
      <c r="AG87" s="429"/>
      <c r="AH87" s="479"/>
      <c r="AI87" s="465">
        <v>1.99</v>
      </c>
      <c r="AJ87" s="482">
        <v>5</v>
      </c>
      <c r="AK87" s="461">
        <v>5.99</v>
      </c>
      <c r="AL87" s="481">
        <v>4</v>
      </c>
      <c r="AM87" s="462">
        <v>4.99</v>
      </c>
      <c r="AN87" s="483">
        <v>2</v>
      </c>
      <c r="AO87" s="465">
        <v>3.99</v>
      </c>
      <c r="AP87" s="481">
        <v>4</v>
      </c>
      <c r="AQ87" s="462">
        <v>4.99</v>
      </c>
      <c r="AR87" s="479"/>
      <c r="AS87" s="465">
        <v>4.99</v>
      </c>
      <c r="AT87" s="479"/>
      <c r="AU87" s="479"/>
    </row>
    <row r="88" spans="30:47" ht="15.75" x14ac:dyDescent="0.25">
      <c r="AD88" s="490" t="s">
        <v>564</v>
      </c>
      <c r="AE88" s="426">
        <v>18</v>
      </c>
      <c r="AF88" s="427">
        <v>408</v>
      </c>
      <c r="AG88" s="429"/>
      <c r="AH88" s="470"/>
      <c r="AI88" s="465">
        <v>1.99</v>
      </c>
      <c r="AJ88" s="481">
        <v>2</v>
      </c>
      <c r="AK88" s="462">
        <v>2.99</v>
      </c>
      <c r="AL88" s="470"/>
      <c r="AM88" s="465">
        <v>4.99</v>
      </c>
      <c r="AN88" s="470"/>
      <c r="AO88" s="464">
        <v>5.99</v>
      </c>
      <c r="AP88" s="481">
        <v>4</v>
      </c>
      <c r="AQ88" s="462">
        <v>4.99</v>
      </c>
      <c r="AR88" s="481">
        <v>3</v>
      </c>
      <c r="AS88" s="462">
        <v>3.99</v>
      </c>
      <c r="AT88" s="470"/>
      <c r="AU88" s="470"/>
    </row>
    <row r="89" spans="30:47" ht="15.75" x14ac:dyDescent="0.25">
      <c r="AD89" s="490" t="s">
        <v>565</v>
      </c>
      <c r="AE89" s="426">
        <v>18</v>
      </c>
      <c r="AF89" s="427">
        <v>423</v>
      </c>
      <c r="AG89" s="429" t="s">
        <v>94</v>
      </c>
      <c r="AH89" s="479"/>
      <c r="AI89" s="465">
        <v>1.99</v>
      </c>
      <c r="AJ89" s="481">
        <v>2</v>
      </c>
      <c r="AK89" s="462">
        <v>2.99</v>
      </c>
      <c r="AL89" s="482">
        <v>4</v>
      </c>
      <c r="AM89" s="460">
        <v>4.99</v>
      </c>
      <c r="AN89" s="481">
        <v>5</v>
      </c>
      <c r="AO89" s="463">
        <v>5.99</v>
      </c>
      <c r="AP89" s="481">
        <v>3</v>
      </c>
      <c r="AQ89" s="462">
        <v>3.99</v>
      </c>
      <c r="AR89" s="483">
        <v>3</v>
      </c>
      <c r="AS89" s="466">
        <v>7</v>
      </c>
      <c r="AT89" s="479"/>
      <c r="AU89" s="479"/>
    </row>
    <row r="90" spans="30:47" ht="15.75" x14ac:dyDescent="0.25">
      <c r="AD90" s="490" t="s">
        <v>566</v>
      </c>
      <c r="AE90" s="426">
        <v>17</v>
      </c>
      <c r="AF90" s="427">
        <v>408</v>
      </c>
      <c r="AG90" s="429" t="s">
        <v>105</v>
      </c>
      <c r="AH90" s="470"/>
      <c r="AI90" s="465">
        <v>0.99</v>
      </c>
      <c r="AJ90" s="481">
        <v>4</v>
      </c>
      <c r="AK90" s="462">
        <v>4.99</v>
      </c>
      <c r="AL90" s="481">
        <v>2</v>
      </c>
      <c r="AM90" s="462">
        <v>2.99</v>
      </c>
      <c r="AN90" s="483">
        <v>4</v>
      </c>
      <c r="AO90" s="464">
        <v>5.99</v>
      </c>
      <c r="AP90" s="481">
        <v>2</v>
      </c>
      <c r="AQ90" s="462">
        <v>2.99</v>
      </c>
      <c r="AR90" s="481">
        <v>2</v>
      </c>
      <c r="AS90" s="462">
        <v>2.99</v>
      </c>
      <c r="AT90" s="470"/>
      <c r="AU90" s="470"/>
    </row>
    <row r="91" spans="30:47" ht="15.75" x14ac:dyDescent="0.25">
      <c r="AD91" s="490" t="s">
        <v>567</v>
      </c>
      <c r="AE91" s="426">
        <v>17</v>
      </c>
      <c r="AF91" s="427">
        <v>330</v>
      </c>
      <c r="AG91" s="429"/>
      <c r="AH91" s="479"/>
      <c r="AI91" s="479"/>
      <c r="AJ91" s="479"/>
      <c r="AK91" s="465">
        <v>2.99</v>
      </c>
      <c r="AL91" s="481">
        <v>3</v>
      </c>
      <c r="AM91" s="462">
        <v>3.99</v>
      </c>
      <c r="AN91" s="483">
        <v>5</v>
      </c>
      <c r="AO91" s="466">
        <v>6.99</v>
      </c>
      <c r="AP91" s="482">
        <v>4</v>
      </c>
      <c r="AQ91" s="460">
        <v>4.99</v>
      </c>
      <c r="AR91" s="482">
        <v>4</v>
      </c>
      <c r="AS91" s="460">
        <v>4.99</v>
      </c>
      <c r="AT91" s="479"/>
      <c r="AU91" s="479"/>
    </row>
    <row r="92" spans="30:47" ht="15.75" x14ac:dyDescent="0.25">
      <c r="AD92" s="490" t="s">
        <v>568</v>
      </c>
      <c r="AE92" s="426">
        <v>16</v>
      </c>
      <c r="AF92" s="427">
        <v>329</v>
      </c>
      <c r="AG92" s="429"/>
      <c r="AH92" s="479"/>
      <c r="AI92" s="479"/>
      <c r="AJ92" s="482">
        <v>3</v>
      </c>
      <c r="AK92" s="460">
        <v>3.99</v>
      </c>
      <c r="AL92" s="483">
        <v>4</v>
      </c>
      <c r="AM92" s="466">
        <v>6.99</v>
      </c>
      <c r="AN92" s="479"/>
      <c r="AO92" s="465">
        <v>3.99</v>
      </c>
      <c r="AP92" s="482">
        <v>3</v>
      </c>
      <c r="AQ92" s="460">
        <v>3.99</v>
      </c>
      <c r="AR92" s="479"/>
      <c r="AS92" s="465">
        <v>3.99</v>
      </c>
      <c r="AT92" s="479"/>
      <c r="AU92" s="479"/>
    </row>
    <row r="93" spans="30:47" ht="15.75" x14ac:dyDescent="0.25">
      <c r="AD93" s="490" t="s">
        <v>569</v>
      </c>
      <c r="AE93" s="426">
        <v>16</v>
      </c>
      <c r="AF93" s="427">
        <v>331</v>
      </c>
      <c r="AG93" s="429"/>
      <c r="AH93" s="479"/>
      <c r="AI93" s="479"/>
      <c r="AJ93" s="481">
        <v>2</v>
      </c>
      <c r="AK93" s="462">
        <v>2.99</v>
      </c>
      <c r="AL93" s="482">
        <v>4</v>
      </c>
      <c r="AM93" s="460">
        <v>4.99</v>
      </c>
      <c r="AN93" s="481">
        <v>2</v>
      </c>
      <c r="AO93" s="462">
        <v>2.99</v>
      </c>
      <c r="AP93" s="481">
        <v>3</v>
      </c>
      <c r="AQ93" s="462">
        <v>3.99</v>
      </c>
      <c r="AR93" s="483">
        <v>4</v>
      </c>
      <c r="AS93" s="466">
        <v>6.99</v>
      </c>
      <c r="AT93" s="479"/>
      <c r="AU93" s="479"/>
    </row>
    <row r="94" spans="30:47" ht="15.75" x14ac:dyDescent="0.25">
      <c r="AD94" s="490" t="s">
        <v>570</v>
      </c>
      <c r="AE94" s="426">
        <v>16</v>
      </c>
      <c r="AF94" s="427">
        <v>342</v>
      </c>
      <c r="AG94" s="429"/>
      <c r="AH94" s="479"/>
      <c r="AI94" s="479"/>
      <c r="AJ94" s="483">
        <v>4</v>
      </c>
      <c r="AK94" s="466">
        <v>6.99</v>
      </c>
      <c r="AL94" s="481">
        <v>2</v>
      </c>
      <c r="AM94" s="462">
        <v>2.99</v>
      </c>
      <c r="AN94" s="485">
        <v>2</v>
      </c>
      <c r="AO94" s="486">
        <v>2.99</v>
      </c>
      <c r="AP94" s="482">
        <v>5</v>
      </c>
      <c r="AQ94" s="461">
        <v>5.99</v>
      </c>
      <c r="AR94" s="483">
        <v>1</v>
      </c>
      <c r="AS94" s="465">
        <v>2.99</v>
      </c>
      <c r="AT94" s="479"/>
      <c r="AU94" s="465">
        <v>3.99</v>
      </c>
    </row>
    <row r="95" spans="30:47" ht="15.75" x14ac:dyDescent="0.25">
      <c r="AD95" s="490" t="s">
        <v>571</v>
      </c>
      <c r="AE95" s="426">
        <v>16</v>
      </c>
      <c r="AF95" s="427">
        <v>373</v>
      </c>
      <c r="AG95" s="429"/>
      <c r="AH95" s="470"/>
      <c r="AI95" s="470"/>
      <c r="AJ95" s="482">
        <v>5</v>
      </c>
      <c r="AK95" s="461">
        <v>5.99</v>
      </c>
      <c r="AL95" s="481">
        <v>5</v>
      </c>
      <c r="AM95" s="463">
        <v>5.99</v>
      </c>
      <c r="AN95" s="470"/>
      <c r="AO95" s="465">
        <v>4.99</v>
      </c>
      <c r="AP95" s="470"/>
      <c r="AQ95" s="465">
        <v>4.99</v>
      </c>
      <c r="AR95" s="470"/>
      <c r="AS95" s="465">
        <v>4.99</v>
      </c>
      <c r="AT95" s="470"/>
      <c r="AU95" s="470"/>
    </row>
    <row r="96" spans="30:47" ht="15.75" x14ac:dyDescent="0.25">
      <c r="AD96" s="490" t="s">
        <v>572</v>
      </c>
      <c r="AE96" s="426">
        <v>16</v>
      </c>
      <c r="AF96" s="427">
        <v>390</v>
      </c>
      <c r="AG96" s="429" t="s">
        <v>67</v>
      </c>
      <c r="AH96" s="470"/>
      <c r="AI96" s="470"/>
      <c r="AJ96" s="481">
        <v>1</v>
      </c>
      <c r="AK96" s="462">
        <v>1.99</v>
      </c>
      <c r="AL96" s="481">
        <v>6</v>
      </c>
      <c r="AM96" s="467">
        <v>6.99</v>
      </c>
      <c r="AN96" s="482">
        <v>2</v>
      </c>
      <c r="AO96" s="460">
        <v>2.99</v>
      </c>
      <c r="AP96" s="481">
        <v>5</v>
      </c>
      <c r="AQ96" s="463">
        <v>5.99</v>
      </c>
      <c r="AR96" s="482">
        <v>4</v>
      </c>
      <c r="AS96" s="460">
        <v>4.99</v>
      </c>
      <c r="AT96" s="470"/>
      <c r="AU96" s="465">
        <v>3.99</v>
      </c>
    </row>
    <row r="97" spans="30:47" ht="15.75" x14ac:dyDescent="0.25">
      <c r="AD97" s="490" t="s">
        <v>573</v>
      </c>
      <c r="AE97" s="426">
        <v>16</v>
      </c>
      <c r="AF97" s="427">
        <v>262</v>
      </c>
      <c r="AG97" s="429"/>
      <c r="AH97" s="470"/>
      <c r="AI97" s="470"/>
      <c r="AJ97" s="482">
        <v>6</v>
      </c>
      <c r="AK97" s="474">
        <v>6.99</v>
      </c>
      <c r="AL97" s="485">
        <v>3</v>
      </c>
      <c r="AM97" s="460">
        <v>3.99</v>
      </c>
      <c r="AN97" s="482">
        <v>5</v>
      </c>
      <c r="AO97" s="461">
        <v>5.99</v>
      </c>
      <c r="AP97" s="470"/>
      <c r="AQ97" s="465">
        <v>2.99</v>
      </c>
      <c r="AR97" s="483">
        <v>3</v>
      </c>
      <c r="AS97" s="465">
        <v>4.99</v>
      </c>
      <c r="AT97" s="470"/>
      <c r="AU97" s="470"/>
    </row>
    <row r="98" spans="30:47" ht="15.75" x14ac:dyDescent="0.25">
      <c r="AD98" s="490" t="s">
        <v>574</v>
      </c>
      <c r="AE98" s="426">
        <v>16</v>
      </c>
      <c r="AF98" s="427">
        <v>240</v>
      </c>
      <c r="AG98" s="429" t="s">
        <v>67</v>
      </c>
      <c r="AH98" s="470"/>
      <c r="AI98" s="470"/>
      <c r="AJ98" s="470"/>
      <c r="AK98" s="465">
        <v>2.99</v>
      </c>
      <c r="AL98" s="482">
        <v>5</v>
      </c>
      <c r="AM98" s="461">
        <v>5.99</v>
      </c>
      <c r="AN98" s="481">
        <v>2</v>
      </c>
      <c r="AO98" s="462">
        <v>2.99</v>
      </c>
      <c r="AP98" s="481">
        <v>3</v>
      </c>
      <c r="AQ98" s="462">
        <v>3.99</v>
      </c>
      <c r="AR98" s="483">
        <v>3</v>
      </c>
      <c r="AS98" s="465">
        <v>4.99</v>
      </c>
      <c r="AT98" s="470"/>
      <c r="AU98" s="470"/>
    </row>
    <row r="99" spans="30:47" ht="15.75" x14ac:dyDescent="0.25">
      <c r="AD99" s="490" t="s">
        <v>575</v>
      </c>
      <c r="AE99" s="426">
        <v>16</v>
      </c>
      <c r="AF99" s="427">
        <v>255</v>
      </c>
      <c r="AG99" s="429"/>
      <c r="AH99" s="470"/>
      <c r="AI99" s="465">
        <v>0.99</v>
      </c>
      <c r="AJ99" s="481">
        <v>2</v>
      </c>
      <c r="AK99" s="462">
        <v>2.99</v>
      </c>
      <c r="AL99" s="483">
        <v>5</v>
      </c>
      <c r="AM99" s="466">
        <v>6.99</v>
      </c>
      <c r="AN99" s="485">
        <v>2</v>
      </c>
      <c r="AO99" s="486">
        <v>2.99</v>
      </c>
      <c r="AP99" s="481">
        <v>2</v>
      </c>
      <c r="AQ99" s="462">
        <v>2.99</v>
      </c>
      <c r="AR99" s="481">
        <v>2</v>
      </c>
      <c r="AS99" s="462">
        <v>2.99</v>
      </c>
      <c r="AT99" s="470"/>
      <c r="AU99" s="470"/>
    </row>
    <row r="100" spans="30:47" ht="15.75" x14ac:dyDescent="0.25">
      <c r="AD100" s="490" t="s">
        <v>576</v>
      </c>
      <c r="AE100" s="421">
        <v>18</v>
      </c>
      <c r="AF100" s="422">
        <v>238</v>
      </c>
      <c r="AG100" s="423" t="s">
        <v>94</v>
      </c>
      <c r="AH100" s="479"/>
      <c r="AI100" s="465">
        <v>1.99</v>
      </c>
      <c r="AJ100" s="482">
        <v>4</v>
      </c>
      <c r="AK100" s="460">
        <v>4.99</v>
      </c>
      <c r="AL100" s="481">
        <v>2</v>
      </c>
      <c r="AM100" s="462">
        <v>2.99</v>
      </c>
      <c r="AN100" s="481">
        <v>3</v>
      </c>
      <c r="AO100" s="462">
        <v>3.99</v>
      </c>
      <c r="AP100" s="481">
        <v>1</v>
      </c>
      <c r="AQ100" s="462">
        <v>1.99</v>
      </c>
      <c r="AR100" s="483">
        <v>4</v>
      </c>
      <c r="AS100" s="466">
        <v>6.99</v>
      </c>
      <c r="AT100" s="479"/>
      <c r="AU100" s="479"/>
    </row>
    <row r="101" spans="30:47" ht="15.75" x14ac:dyDescent="0.25">
      <c r="AD101" s="490" t="s">
        <v>577</v>
      </c>
      <c r="AE101" s="426">
        <v>17</v>
      </c>
      <c r="AF101" s="427">
        <v>105</v>
      </c>
      <c r="AG101" s="429" t="s">
        <v>94</v>
      </c>
      <c r="AH101" s="470"/>
      <c r="AI101" s="465">
        <v>1.99</v>
      </c>
      <c r="AJ101" s="481">
        <v>3</v>
      </c>
      <c r="AK101" s="462">
        <v>3.99</v>
      </c>
      <c r="AL101" s="482">
        <v>5</v>
      </c>
      <c r="AM101" s="461">
        <v>5.99</v>
      </c>
      <c r="AN101" s="481">
        <v>4</v>
      </c>
      <c r="AO101" s="462">
        <v>4.99</v>
      </c>
      <c r="AP101" s="481">
        <v>4</v>
      </c>
      <c r="AQ101" s="462">
        <v>4.99</v>
      </c>
      <c r="AR101" s="470"/>
      <c r="AS101" s="465">
        <v>2.99</v>
      </c>
      <c r="AT101" s="470"/>
      <c r="AU101" s="470"/>
    </row>
    <row r="102" spans="30:47" ht="15.75" x14ac:dyDescent="0.25">
      <c r="AD102" s="490" t="s">
        <v>578</v>
      </c>
      <c r="AE102" s="426">
        <v>17</v>
      </c>
      <c r="AF102" s="427">
        <v>181</v>
      </c>
      <c r="AG102" s="429" t="s">
        <v>105</v>
      </c>
      <c r="AH102" s="470"/>
      <c r="AI102" s="470"/>
      <c r="AJ102" s="482">
        <v>5</v>
      </c>
      <c r="AK102" s="461">
        <v>5.99</v>
      </c>
      <c r="AL102" s="482">
        <v>4</v>
      </c>
      <c r="AM102" s="460">
        <v>4.99</v>
      </c>
      <c r="AN102" s="470"/>
      <c r="AO102" s="464">
        <v>5.99</v>
      </c>
      <c r="AP102" s="481">
        <v>3</v>
      </c>
      <c r="AQ102" s="462">
        <v>3.99</v>
      </c>
      <c r="AR102" s="470"/>
      <c r="AS102" s="465">
        <v>2.99</v>
      </c>
      <c r="AT102" s="470"/>
      <c r="AU102" s="470"/>
    </row>
    <row r="103" spans="30:47" ht="15.75" x14ac:dyDescent="0.25">
      <c r="AD103" s="490" t="s">
        <v>579</v>
      </c>
      <c r="AE103" s="426">
        <v>17</v>
      </c>
      <c r="AF103" s="427">
        <v>34</v>
      </c>
      <c r="AG103" s="429" t="s">
        <v>220</v>
      </c>
      <c r="AH103" s="479"/>
      <c r="AI103" s="465">
        <v>0.99</v>
      </c>
      <c r="AJ103" s="481">
        <v>5</v>
      </c>
      <c r="AK103" s="463">
        <v>5.99</v>
      </c>
      <c r="AL103" s="483">
        <v>4</v>
      </c>
      <c r="AM103" s="464">
        <v>5.99</v>
      </c>
      <c r="AN103" s="487">
        <v>6</v>
      </c>
      <c r="AO103" s="488">
        <v>6.99</v>
      </c>
      <c r="AP103" s="479"/>
      <c r="AQ103" s="465">
        <v>2.99</v>
      </c>
      <c r="AR103" s="487">
        <v>5</v>
      </c>
      <c r="AS103" s="489">
        <v>5.99</v>
      </c>
      <c r="AT103" s="479"/>
      <c r="AU103" s="479"/>
    </row>
    <row r="104" spans="30:47" ht="15.75" x14ac:dyDescent="0.25">
      <c r="AD104" s="624" t="s">
        <v>467</v>
      </c>
      <c r="AE104" s="428">
        <v>17</v>
      </c>
      <c r="AF104" s="427">
        <v>51</v>
      </c>
      <c r="AG104" s="429" t="s">
        <v>67</v>
      </c>
      <c r="AH104" s="470"/>
      <c r="AI104" s="470"/>
      <c r="AJ104" s="481">
        <v>5</v>
      </c>
      <c r="AK104" s="463">
        <v>5.99</v>
      </c>
      <c r="AL104" s="482">
        <v>4</v>
      </c>
      <c r="AM104" s="460">
        <v>4.99</v>
      </c>
      <c r="AN104" s="470"/>
      <c r="AO104" s="465">
        <v>2.99</v>
      </c>
      <c r="AP104" s="470"/>
      <c r="AQ104" s="465">
        <v>3.99</v>
      </c>
      <c r="AR104" s="485">
        <v>3</v>
      </c>
      <c r="AS104" s="486">
        <v>3.99</v>
      </c>
      <c r="AT104" s="470"/>
      <c r="AU104" s="470"/>
    </row>
    <row r="105" spans="30:47" ht="15.75" x14ac:dyDescent="0.25">
      <c r="AD105" s="624" t="s">
        <v>470</v>
      </c>
      <c r="AE105" s="428">
        <v>18</v>
      </c>
      <c r="AF105" s="427">
        <v>26</v>
      </c>
      <c r="AG105" s="429"/>
      <c r="AH105" s="470"/>
      <c r="AI105" s="465">
        <v>0.99</v>
      </c>
      <c r="AJ105" s="487">
        <v>6</v>
      </c>
      <c r="AK105" s="488">
        <v>6.99</v>
      </c>
      <c r="AL105" s="482">
        <v>4</v>
      </c>
      <c r="AM105" s="460">
        <v>4.99</v>
      </c>
      <c r="AN105" s="470"/>
      <c r="AO105" s="465">
        <v>3.99</v>
      </c>
      <c r="AP105" s="470"/>
      <c r="AQ105" s="465">
        <v>2.99</v>
      </c>
      <c r="AR105" s="470"/>
      <c r="AS105" s="465">
        <v>2.99</v>
      </c>
      <c r="AT105" s="470"/>
      <c r="AU105" s="470"/>
    </row>
    <row r="106" spans="30:47" x14ac:dyDescent="0.25">
      <c r="AD106" s="624" t="s">
        <v>458</v>
      </c>
      <c r="AE106" s="428">
        <v>17</v>
      </c>
      <c r="AF106" s="427">
        <v>43</v>
      </c>
      <c r="AG106" s="429" t="s">
        <v>94</v>
      </c>
      <c r="AH106" s="3"/>
      <c r="AI106" s="3"/>
      <c r="AJ106" s="643">
        <v>6</v>
      </c>
      <c r="AK106" s="644">
        <v>6.99</v>
      </c>
      <c r="AL106" s="645">
        <v>5</v>
      </c>
      <c r="AM106" s="646">
        <v>5.99</v>
      </c>
      <c r="AN106" s="643">
        <v>6</v>
      </c>
      <c r="AO106" s="644">
        <v>6.99</v>
      </c>
      <c r="AP106" s="645">
        <v>2</v>
      </c>
      <c r="AQ106" s="647">
        <v>2.99</v>
      </c>
      <c r="AR106" s="648">
        <v>3</v>
      </c>
      <c r="AS106" s="455">
        <v>3.99</v>
      </c>
      <c r="AT106" s="470"/>
      <c r="AU106" s="470"/>
    </row>
    <row r="107" spans="30:47" ht="15.75" x14ac:dyDescent="0.25">
      <c r="AD107" s="442" t="s">
        <v>483</v>
      </c>
      <c r="AE107" s="428">
        <v>17</v>
      </c>
      <c r="AF107" s="427">
        <v>58</v>
      </c>
      <c r="AG107" s="391"/>
      <c r="AH107" s="470"/>
      <c r="AI107" s="470"/>
      <c r="AJ107" s="487">
        <v>6</v>
      </c>
      <c r="AK107" s="488">
        <v>6.99</v>
      </c>
      <c r="AL107" s="484"/>
      <c r="AM107" s="465">
        <v>2.99</v>
      </c>
      <c r="AN107" s="470"/>
      <c r="AO107" s="465">
        <v>1.99</v>
      </c>
      <c r="AP107" s="483">
        <v>2</v>
      </c>
      <c r="AQ107" s="465">
        <v>2.99</v>
      </c>
      <c r="AR107" s="470"/>
      <c r="AS107" s="466">
        <v>6.99</v>
      </c>
      <c r="AT107" s="470"/>
      <c r="AU107" s="465">
        <v>2.99</v>
      </c>
    </row>
    <row r="108" spans="30:47" ht="15.75" x14ac:dyDescent="0.25">
      <c r="AD108" s="440" t="s">
        <v>468</v>
      </c>
      <c r="AE108" s="428">
        <v>17</v>
      </c>
      <c r="AF108" s="427">
        <v>68</v>
      </c>
      <c r="AG108" s="429"/>
      <c r="AH108" s="470"/>
      <c r="AI108" s="465">
        <v>1.99</v>
      </c>
      <c r="AJ108" s="481">
        <v>1</v>
      </c>
      <c r="AK108" s="462">
        <v>1.99</v>
      </c>
      <c r="AL108" s="481">
        <v>4</v>
      </c>
      <c r="AM108" s="462">
        <v>4.99</v>
      </c>
      <c r="AN108" s="653">
        <v>5</v>
      </c>
      <c r="AO108" s="654">
        <v>5.99</v>
      </c>
      <c r="AP108" s="653">
        <v>3</v>
      </c>
      <c r="AQ108" s="655">
        <v>3.99</v>
      </c>
      <c r="AR108" s="483">
        <v>3</v>
      </c>
      <c r="AS108" s="466">
        <v>6.99</v>
      </c>
      <c r="AT108" s="470"/>
      <c r="AU108" s="470"/>
    </row>
    <row r="109" spans="30:47" ht="15.75" x14ac:dyDescent="0.25">
      <c r="AD109" s="440" t="s">
        <v>466</v>
      </c>
      <c r="AE109" s="426">
        <v>17</v>
      </c>
      <c r="AF109" s="427">
        <f ca="1">37+$A$33-$A$32</f>
        <v>111</v>
      </c>
      <c r="AG109" s="429"/>
      <c r="AH109" s="479"/>
      <c r="AI109" s="479"/>
      <c r="AJ109" s="487">
        <v>6</v>
      </c>
      <c r="AK109" s="488">
        <v>6.99</v>
      </c>
      <c r="AL109" s="483">
        <v>4</v>
      </c>
      <c r="AM109" s="466">
        <v>6.99</v>
      </c>
      <c r="AN109" s="657">
        <v>4</v>
      </c>
      <c r="AO109" s="658">
        <v>4.99</v>
      </c>
      <c r="AP109" s="481">
        <v>2</v>
      </c>
      <c r="AQ109" s="462">
        <v>2.99</v>
      </c>
      <c r="AR109" s="487">
        <v>4</v>
      </c>
      <c r="AS109" s="659">
        <v>4.99</v>
      </c>
      <c r="AT109" s="479"/>
      <c r="AU109" s="479"/>
    </row>
  </sheetData>
  <mergeCells count="7">
    <mergeCell ref="A13:E13"/>
    <mergeCell ref="AD3:AG3"/>
    <mergeCell ref="AH3:AU3"/>
    <mergeCell ref="AD1:AG1"/>
    <mergeCell ref="A1:E1"/>
    <mergeCell ref="A3:E3"/>
    <mergeCell ref="A9:E9"/>
  </mergeCells>
  <conditionalFormatting sqref="E26:E29 E6:E8 E16:E20">
    <cfRule type="cellIs" dxfId="68" priority="39" operator="between">
      <formula>1</formula>
      <formula>50</formula>
    </cfRule>
    <cfRule type="cellIs" dxfId="67" priority="40" operator="greaterThan">
      <formula>50</formula>
    </cfRule>
    <cfRule type="cellIs" dxfId="66" priority="41" operator="lessThan">
      <formula>1</formula>
    </cfRule>
  </conditionalFormatting>
  <conditionalFormatting sqref="E20">
    <cfRule type="cellIs" dxfId="65" priority="35" operator="between">
      <formula>1</formula>
      <formula>50</formula>
    </cfRule>
    <cfRule type="cellIs" dxfId="64" priority="36" operator="greaterThan">
      <formula>50</formula>
    </cfRule>
    <cfRule type="cellIs" dxfId="63" priority="37" operator="lessThan">
      <formula>1</formula>
    </cfRule>
  </conditionalFormatting>
  <conditionalFormatting sqref="W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1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2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3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4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25">
    <cfRule type="cellIs" dxfId="47" priority="12" operator="between">
      <formula>1</formula>
      <formula>50</formula>
    </cfRule>
    <cfRule type="cellIs" dxfId="46" priority="13" operator="greaterThan">
      <formula>50</formula>
    </cfRule>
    <cfRule type="cellIs" dxfId="45" priority="14" operator="lessThan">
      <formula>1</formula>
    </cfRule>
  </conditionalFormatting>
  <conditionalFormatting sqref="E12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E12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conditionalFormatting sqref="W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9 W16:W19 W6:W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X11" sqref="X1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  <c r="AI3" s="2" t="s">
        <v>429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33</v>
      </c>
      <c r="AI4" t="s">
        <v>430</v>
      </c>
    </row>
    <row r="5" spans="1:35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431</v>
      </c>
    </row>
    <row r="6" spans="1:35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432</v>
      </c>
    </row>
    <row r="7" spans="1:35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50</v>
      </c>
      <c r="AI7" t="s">
        <v>433</v>
      </c>
    </row>
    <row r="8" spans="1:35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3.125</v>
      </c>
    </row>
    <row r="9" spans="1:35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9.6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8.4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10.333333333333334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10.333333333333334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8.5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9.8000000000000007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440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440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zoomScale="110" zoomScaleNormal="110" workbookViewId="0">
      <selection activeCell="P8" sqref="P8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8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8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6"/>
      <c r="N2" s="51">
        <f>SUM(N4:N17)</f>
        <v>10304</v>
      </c>
      <c r="O2" s="51">
        <f>SUM(O4:O17)</f>
        <v>0</v>
      </c>
      <c r="R2" s="656"/>
      <c r="AC2" s="51">
        <f>SUM(AC4:AC17)</f>
        <v>74407.239999999991</v>
      </c>
      <c r="AD2" s="51">
        <f>SUM(AD4:AD17)</f>
        <v>89288.687999999995</v>
      </c>
    </row>
    <row r="3" spans="1:33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22</v>
      </c>
    </row>
    <row r="5" spans="1:33" x14ac:dyDescent="0.25">
      <c r="A5" s="329" t="s">
        <v>222</v>
      </c>
      <c r="B5" s="330" t="s">
        <v>2</v>
      </c>
      <c r="C5" s="80"/>
      <c r="D5" s="80"/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/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2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/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/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2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/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/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2"/>
        <v>0</v>
      </c>
      <c r="AF7" s="328" t="s">
        <v>246</v>
      </c>
      <c r="AG7">
        <f>AG5+AG4+AG3+AG6</f>
        <v>22</v>
      </c>
    </row>
    <row r="8" spans="1:33" x14ac:dyDescent="0.25">
      <c r="A8" s="329" t="s">
        <v>178</v>
      </c>
      <c r="B8" s="330" t="s">
        <v>2</v>
      </c>
      <c r="C8" s="80"/>
      <c r="D8" s="80"/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/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2"/>
        <v>0</v>
      </c>
      <c r="AF8" s="328" t="s">
        <v>60</v>
      </c>
      <c r="AG8" s="83">
        <f>AG7/16</f>
        <v>1.375</v>
      </c>
    </row>
    <row r="9" spans="1:33" x14ac:dyDescent="0.25">
      <c r="A9" s="329" t="s">
        <v>173</v>
      </c>
      <c r="B9" s="330" t="s">
        <v>2</v>
      </c>
      <c r="C9" s="80"/>
      <c r="D9" s="80"/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/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2"/>
        <v>0</v>
      </c>
    </row>
    <row r="10" spans="1:33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f>Plantilla!E11</f>
        <v>19</v>
      </c>
      <c r="F10" s="179">
        <f ca="1">Plantilla!F11</f>
        <v>35</v>
      </c>
      <c r="G10" s="101">
        <f>Plantilla!X11</f>
        <v>0</v>
      </c>
      <c r="H10" s="101">
        <f>Plantilla!Y11</f>
        <v>4</v>
      </c>
      <c r="I10" s="101">
        <f>Plantilla!Z11</f>
        <v>9.6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/>
      <c r="Q10" s="329" t="s">
        <v>175</v>
      </c>
      <c r="R10" s="330" t="str">
        <f t="shared" si="0"/>
        <v>Inners</v>
      </c>
      <c r="S10" s="134" t="str">
        <f t="shared" ref="S10:S15" si="3">D10</f>
        <v>CAB</v>
      </c>
      <c r="T10" s="134">
        <f>E10+1</f>
        <v>20</v>
      </c>
      <c r="U10" s="134">
        <f ca="1">F10+$AG$7*7-112</f>
        <v>77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>(13500+245+125+125)*1.02</f>
        <v>14274.9</v>
      </c>
      <c r="AD10" s="51">
        <f t="shared" ref="AD10:AD15" si="4">AC10*1.2</f>
        <v>17129.879999999997</v>
      </c>
    </row>
    <row r="11" spans="1:33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f>Plantilla!E12</f>
        <v>18</v>
      </c>
      <c r="F11" s="179">
        <f ca="1">Plantilla!F12</f>
        <v>90</v>
      </c>
      <c r="G11" s="101">
        <f>Plantilla!X12</f>
        <v>0</v>
      </c>
      <c r="H11" s="101">
        <f>Plantilla!Y12</f>
        <v>3</v>
      </c>
      <c r="I11" s="101">
        <f>Plantilla!Z12</f>
        <v>8.4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/>
      <c r="Q11" s="329" t="s">
        <v>179</v>
      </c>
      <c r="R11" s="330" t="str">
        <f t="shared" si="0"/>
        <v>Inners</v>
      </c>
      <c r="S11" s="134" t="str">
        <f t="shared" si="3"/>
        <v>RAP</v>
      </c>
      <c r="T11" s="134">
        <f>E11+2</f>
        <v>20</v>
      </c>
      <c r="U11" s="134">
        <f ca="1">F11+$AG$7*7-112-112</f>
        <v>20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>(8670+750+145)*1.008</f>
        <v>9641.52</v>
      </c>
      <c r="AD11" s="51">
        <f t="shared" si="4"/>
        <v>11569.824000000001</v>
      </c>
    </row>
    <row r="12" spans="1:33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f>Plantilla!E13</f>
        <v>19</v>
      </c>
      <c r="F12" s="179">
        <f ca="1">Plantilla!F13</f>
        <v>51</v>
      </c>
      <c r="G12" s="101">
        <f>Plantilla!X13</f>
        <v>0</v>
      </c>
      <c r="H12" s="101">
        <f>Plantilla!Y13</f>
        <v>4</v>
      </c>
      <c r="I12" s="101">
        <f>Plantilla!Z13</f>
        <v>10.333333333333334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/>
      <c r="Q12" s="329" t="s">
        <v>224</v>
      </c>
      <c r="R12" s="330" t="str">
        <f t="shared" si="0"/>
        <v>Inners</v>
      </c>
      <c r="S12" s="134" t="str">
        <f t="shared" si="3"/>
        <v>IMP</v>
      </c>
      <c r="T12" s="134">
        <f>E12+1</f>
        <v>20</v>
      </c>
      <c r="U12" s="134">
        <f ca="1">F12+$AG$7*7-112</f>
        <v>93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>(14490+405+125+125)*1</f>
        <v>15145</v>
      </c>
      <c r="AD12" s="51">
        <f t="shared" si="4"/>
        <v>18174</v>
      </c>
    </row>
    <row r="13" spans="1:33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f>Plantilla!E14</f>
        <v>19</v>
      </c>
      <c r="F13" s="179">
        <f ca="1">Plantilla!F14</f>
        <v>51</v>
      </c>
      <c r="G13" s="101">
        <f>Plantilla!X14</f>
        <v>0</v>
      </c>
      <c r="H13" s="101">
        <f>Plantilla!Y14</f>
        <v>2</v>
      </c>
      <c r="I13" s="101">
        <f>Plantilla!Z14</f>
        <v>10.333333333333334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/>
      <c r="Q13" s="329" t="s">
        <v>176</v>
      </c>
      <c r="R13" s="330" t="str">
        <f t="shared" si="0"/>
        <v>Inners</v>
      </c>
      <c r="S13" s="134" t="str">
        <f t="shared" si="3"/>
        <v>RAP</v>
      </c>
      <c r="T13" s="134">
        <f>E13+1</f>
        <v>20</v>
      </c>
      <c r="U13" s="134">
        <f ca="1">F13+$AG$7*7-112</f>
        <v>93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>(14550+405+125+155)*1.02</f>
        <v>15539.7</v>
      </c>
      <c r="AD13" s="51">
        <f t="shared" si="4"/>
        <v>18647.64</v>
      </c>
    </row>
    <row r="14" spans="1:33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f>Plantilla!E15</f>
        <v>19</v>
      </c>
      <c r="F14" s="179">
        <f ca="1">Plantilla!F15</f>
        <v>37</v>
      </c>
      <c r="G14" s="101">
        <f>Plantilla!X15</f>
        <v>0</v>
      </c>
      <c r="H14" s="101">
        <f>Plantilla!Y15</f>
        <v>6</v>
      </c>
      <c r="I14" s="101">
        <f>Plantilla!Z15</f>
        <v>8.5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/>
      <c r="Q14" s="329" t="s">
        <v>177</v>
      </c>
      <c r="R14" s="330" t="str">
        <f t="shared" si="0"/>
        <v>Inners</v>
      </c>
      <c r="S14" s="134" t="str">
        <f t="shared" si="3"/>
        <v>CAB</v>
      </c>
      <c r="T14" s="134">
        <f>E14+1</f>
        <v>20</v>
      </c>
      <c r="U14" s="134">
        <f ca="1">F14+$AG$7*7-112</f>
        <v>79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>(8670+165+165)*1.023</f>
        <v>9207</v>
      </c>
      <c r="AD14" s="51">
        <f t="shared" si="4"/>
        <v>11048.4</v>
      </c>
    </row>
    <row r="15" spans="1:33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f>Plantilla!E16</f>
        <v>19</v>
      </c>
      <c r="F15" s="179">
        <f ca="1">Plantilla!F16</f>
        <v>92</v>
      </c>
      <c r="G15" s="101">
        <f>Plantilla!X16</f>
        <v>0</v>
      </c>
      <c r="H15" s="101">
        <f>Plantilla!Y16</f>
        <v>7</v>
      </c>
      <c r="I15" s="101">
        <f>Plantilla!Z16</f>
        <v>9.8000000000000007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/>
      <c r="Q15" s="329" t="s">
        <v>171</v>
      </c>
      <c r="R15" s="330" t="str">
        <f t="shared" si="0"/>
        <v>Inners</v>
      </c>
      <c r="S15" s="134" t="str">
        <f t="shared" si="3"/>
        <v>POT</v>
      </c>
      <c r="T15" s="134">
        <f>E15+2</f>
        <v>21</v>
      </c>
      <c r="U15" s="134">
        <f ca="1">F15+$AG$7*7-112-112</f>
        <v>22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>(10000+225+125+165)*1.008</f>
        <v>10599.12</v>
      </c>
      <c r="AD15" s="51">
        <f t="shared" si="4"/>
        <v>12718.944000000001</v>
      </c>
    </row>
    <row r="16" spans="1:33" x14ac:dyDescent="0.25">
      <c r="A16" s="329" t="s">
        <v>216</v>
      </c>
      <c r="B16" s="330" t="s">
        <v>277</v>
      </c>
      <c r="C16" s="80"/>
      <c r="D16" s="80"/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/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2"/>
        <v>0</v>
      </c>
    </row>
    <row r="17" spans="1:33" x14ac:dyDescent="0.25">
      <c r="A17" s="329" t="s">
        <v>223</v>
      </c>
      <c r="B17" s="330" t="s">
        <v>277</v>
      </c>
      <c r="C17" s="80"/>
      <c r="D17" s="80"/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/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2"/>
        <v>0</v>
      </c>
    </row>
    <row r="19" spans="1:33" x14ac:dyDescent="0.25">
      <c r="B19" s="656"/>
      <c r="N19" s="51">
        <f>SUM(N21:N34)</f>
        <v>121606.92</v>
      </c>
      <c r="O19" s="51">
        <f>SUM(O21:O34)</f>
        <v>145928.30399999997</v>
      </c>
      <c r="R19" s="656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24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/>
      <c r="E21" s="134">
        <v>20</v>
      </c>
      <c r="F21" s="134">
        <v>50</v>
      </c>
      <c r="G21" s="331">
        <v>15</v>
      </c>
      <c r="H21" s="331">
        <v>4</v>
      </c>
      <c r="I21" s="331">
        <v>0</v>
      </c>
      <c r="J21" s="331">
        <f t="shared" ref="J21:N34" si="5">Y4</f>
        <v>0</v>
      </c>
      <c r="K21" s="331">
        <f t="shared" si="5"/>
        <v>0</v>
      </c>
      <c r="L21" s="331">
        <f t="shared" si="5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2" si="6">B21</f>
        <v>POR</v>
      </c>
      <c r="S21" s="134"/>
      <c r="T21" s="134">
        <f>E21+3</f>
        <v>23</v>
      </c>
      <c r="U21" s="134">
        <f>F21+$AG$24*7-112-112-112</f>
        <v>106</v>
      </c>
      <c r="V21" s="331">
        <f>G21</f>
        <v>15</v>
      </c>
      <c r="W21" s="331">
        <v>9</v>
      </c>
      <c r="X21" s="331">
        <f t="shared" ref="W21:AA34" si="7">I21</f>
        <v>0</v>
      </c>
      <c r="Y21" s="331">
        <f t="shared" si="7"/>
        <v>0</v>
      </c>
      <c r="Z21" s="331">
        <f t="shared" si="7"/>
        <v>0</v>
      </c>
      <c r="AA21" s="331">
        <f t="shared" si="7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8">A5</f>
        <v>#2</v>
      </c>
      <c r="B22" s="330" t="str">
        <f t="shared" si="8"/>
        <v>DEF</v>
      </c>
      <c r="C22" s="134" t="s">
        <v>66</v>
      </c>
      <c r="D22" s="134" t="s">
        <v>671</v>
      </c>
      <c r="E22" s="134">
        <v>20</v>
      </c>
      <c r="F22" s="134">
        <v>50</v>
      </c>
      <c r="G22" s="331">
        <f t="shared" ref="G22:I32" si="9">V5</f>
        <v>0</v>
      </c>
      <c r="H22" s="331">
        <v>12</v>
      </c>
      <c r="I22" s="331">
        <v>7</v>
      </c>
      <c r="J22" s="331">
        <f t="shared" si="5"/>
        <v>2</v>
      </c>
      <c r="K22" s="331">
        <f t="shared" si="5"/>
        <v>2</v>
      </c>
      <c r="L22" s="331">
        <v>7</v>
      </c>
      <c r="M22" s="331">
        <v>3</v>
      </c>
      <c r="N22" s="115">
        <f>(7010+255+150)*1.012</f>
        <v>7503.9800000000005</v>
      </c>
      <c r="O22" s="115">
        <f t="shared" ref="O22:O24" si="10">N22*1.2</f>
        <v>9004.7759999999998</v>
      </c>
      <c r="Q22" s="329" t="s">
        <v>222</v>
      </c>
      <c r="R22" s="330" t="str">
        <f t="shared" si="6"/>
        <v>DEF</v>
      </c>
      <c r="S22" s="134" t="str">
        <f t="shared" ref="S22:S32" si="11">D22</f>
        <v>CAB/IMP</v>
      </c>
      <c r="T22" s="134">
        <f>E22+3</f>
        <v>23</v>
      </c>
      <c r="U22" s="134">
        <f>F22+$AG$24*7-112-112-112</f>
        <v>106</v>
      </c>
      <c r="V22" s="331">
        <f t="shared" ref="V22:V34" si="12">G22</f>
        <v>0</v>
      </c>
      <c r="W22" s="331">
        <f>14+1/16</f>
        <v>14.0625</v>
      </c>
      <c r="X22" s="331">
        <f t="shared" si="7"/>
        <v>7</v>
      </c>
      <c r="Y22" s="331">
        <f t="shared" si="7"/>
        <v>2</v>
      </c>
      <c r="Z22" s="331">
        <f t="shared" si="7"/>
        <v>2</v>
      </c>
      <c r="AA22" s="331">
        <f t="shared" si="7"/>
        <v>7</v>
      </c>
      <c r="AB22" s="331">
        <v>15</v>
      </c>
      <c r="AC22" s="115">
        <f>(18370+135+245)*1.04</f>
        <v>19500</v>
      </c>
      <c r="AD22" s="51">
        <f t="shared" ref="AD22:AD34" si="13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8"/>
        <v>#3</v>
      </c>
      <c r="B23" s="330" t="str">
        <f t="shared" si="8"/>
        <v>DEF</v>
      </c>
      <c r="C23" s="134" t="s">
        <v>66</v>
      </c>
      <c r="D23" s="134" t="s">
        <v>671</v>
      </c>
      <c r="E23" s="134">
        <v>20</v>
      </c>
      <c r="F23" s="134">
        <v>50</v>
      </c>
      <c r="G23" s="331">
        <f t="shared" si="9"/>
        <v>0</v>
      </c>
      <c r="H23" s="331">
        <v>12</v>
      </c>
      <c r="I23" s="331">
        <v>7</v>
      </c>
      <c r="J23" s="331">
        <f t="shared" si="5"/>
        <v>2</v>
      </c>
      <c r="K23" s="331">
        <f t="shared" si="5"/>
        <v>2</v>
      </c>
      <c r="L23" s="331">
        <v>7</v>
      </c>
      <c r="M23" s="331">
        <v>3</v>
      </c>
      <c r="N23" s="115">
        <f t="shared" ref="N23:N24" si="14">(7010+255+150)*1.012</f>
        <v>7503.9800000000005</v>
      </c>
      <c r="O23" s="115">
        <f t="shared" si="10"/>
        <v>9004.7759999999998</v>
      </c>
      <c r="Q23" s="329" t="s">
        <v>172</v>
      </c>
      <c r="R23" s="330" t="str">
        <f t="shared" si="6"/>
        <v>DEF</v>
      </c>
      <c r="S23" s="134" t="str">
        <f t="shared" si="11"/>
        <v>CAB/IMP</v>
      </c>
      <c r="T23" s="134">
        <f t="shared" ref="T23:T24" si="15">E23+3</f>
        <v>23</v>
      </c>
      <c r="U23" s="134">
        <f t="shared" ref="U23:U24" si="16">F23+$AG$24*7-112-112-112</f>
        <v>106</v>
      </c>
      <c r="V23" s="331">
        <f t="shared" si="12"/>
        <v>0</v>
      </c>
      <c r="W23" s="331">
        <f>14+1/16</f>
        <v>14.0625</v>
      </c>
      <c r="X23" s="331">
        <f t="shared" si="7"/>
        <v>7</v>
      </c>
      <c r="Y23" s="331">
        <f t="shared" si="7"/>
        <v>2</v>
      </c>
      <c r="Z23" s="331">
        <f t="shared" si="7"/>
        <v>2</v>
      </c>
      <c r="AA23" s="331">
        <f t="shared" si="7"/>
        <v>7</v>
      </c>
      <c r="AB23" s="331">
        <v>15</v>
      </c>
      <c r="AC23" s="115">
        <f t="shared" ref="AC23:AC26" si="17">(18370+135+245)*1.04</f>
        <v>19500</v>
      </c>
      <c r="AD23" s="51">
        <f t="shared" si="13"/>
        <v>23400</v>
      </c>
      <c r="AF23" s="328" t="s">
        <v>322</v>
      </c>
      <c r="AG23">
        <v>9</v>
      </c>
    </row>
    <row r="24" spans="1:33" x14ac:dyDescent="0.25">
      <c r="A24" s="329" t="str">
        <f t="shared" si="8"/>
        <v>#4</v>
      </c>
      <c r="B24" s="330" t="str">
        <f t="shared" si="8"/>
        <v>DEF</v>
      </c>
      <c r="C24" s="134" t="s">
        <v>66</v>
      </c>
      <c r="D24" s="134" t="s">
        <v>671</v>
      </c>
      <c r="E24" s="134">
        <v>20</v>
      </c>
      <c r="F24" s="134">
        <v>50</v>
      </c>
      <c r="G24" s="331">
        <f t="shared" si="9"/>
        <v>0</v>
      </c>
      <c r="H24" s="331">
        <v>12</v>
      </c>
      <c r="I24" s="331">
        <v>7</v>
      </c>
      <c r="J24" s="331">
        <f t="shared" si="5"/>
        <v>2</v>
      </c>
      <c r="K24" s="331">
        <f t="shared" si="5"/>
        <v>2</v>
      </c>
      <c r="L24" s="331">
        <v>7</v>
      </c>
      <c r="M24" s="331">
        <v>3</v>
      </c>
      <c r="N24" s="115">
        <f t="shared" si="14"/>
        <v>7503.9800000000005</v>
      </c>
      <c r="O24" s="115">
        <f t="shared" si="10"/>
        <v>9004.7759999999998</v>
      </c>
      <c r="Q24" s="329" t="s">
        <v>174</v>
      </c>
      <c r="R24" s="330" t="str">
        <f t="shared" si="6"/>
        <v>DEF</v>
      </c>
      <c r="S24" s="134" t="str">
        <f t="shared" si="11"/>
        <v>CAB/IMP</v>
      </c>
      <c r="T24" s="134">
        <f t="shared" si="15"/>
        <v>23</v>
      </c>
      <c r="U24" s="134">
        <f t="shared" si="16"/>
        <v>106</v>
      </c>
      <c r="V24" s="331">
        <f t="shared" si="12"/>
        <v>0</v>
      </c>
      <c r="W24" s="331">
        <f>14+1/16</f>
        <v>14.0625</v>
      </c>
      <c r="X24" s="331">
        <f t="shared" si="7"/>
        <v>7</v>
      </c>
      <c r="Y24" s="331">
        <f t="shared" si="7"/>
        <v>2</v>
      </c>
      <c r="Z24" s="331">
        <f t="shared" si="7"/>
        <v>2</v>
      </c>
      <c r="AA24" s="331">
        <f t="shared" si="7"/>
        <v>7</v>
      </c>
      <c r="AB24" s="331">
        <v>15</v>
      </c>
      <c r="AC24" s="115">
        <f t="shared" si="17"/>
        <v>19500</v>
      </c>
      <c r="AD24" s="51">
        <f t="shared" si="13"/>
        <v>23400</v>
      </c>
      <c r="AF24" s="328" t="s">
        <v>246</v>
      </c>
      <c r="AG24">
        <f>AG22+AG21+AG20+AG23</f>
        <v>56</v>
      </c>
    </row>
    <row r="25" spans="1:33" x14ac:dyDescent="0.25">
      <c r="A25" s="329" t="str">
        <f t="shared" si="8"/>
        <v>#5</v>
      </c>
      <c r="B25" s="330"/>
      <c r="C25" s="134"/>
      <c r="D25" s="134"/>
      <c r="E25" s="134"/>
      <c r="F25" s="134"/>
      <c r="G25" s="331">
        <f t="shared" si="9"/>
        <v>0</v>
      </c>
      <c r="H25" s="331">
        <v>2</v>
      </c>
      <c r="I25" s="331">
        <v>2</v>
      </c>
      <c r="J25" s="331">
        <v>2</v>
      </c>
      <c r="K25" s="331">
        <f t="shared" si="5"/>
        <v>2</v>
      </c>
      <c r="L25" s="331">
        <f t="shared" ref="L25" si="18">AA8</f>
        <v>2</v>
      </c>
      <c r="M25" s="331">
        <f t="shared" ref="M25" si="19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2"/>
        <v>0</v>
      </c>
      <c r="W25" s="331">
        <f t="shared" si="7"/>
        <v>2</v>
      </c>
      <c r="X25" s="331">
        <f t="shared" si="7"/>
        <v>2</v>
      </c>
      <c r="Y25" s="331">
        <f t="shared" si="7"/>
        <v>2</v>
      </c>
      <c r="Z25" s="331">
        <f t="shared" si="7"/>
        <v>2</v>
      </c>
      <c r="AA25" s="331">
        <f t="shared" si="7"/>
        <v>2</v>
      </c>
      <c r="AB25" s="331">
        <v>2</v>
      </c>
      <c r="AC25" s="115">
        <f t="shared" si="17"/>
        <v>19500</v>
      </c>
      <c r="AD25" s="51">
        <f t="shared" si="13"/>
        <v>23400</v>
      </c>
      <c r="AF25" s="328" t="s">
        <v>60</v>
      </c>
      <c r="AG25" s="83">
        <f>AG24/16</f>
        <v>3.5</v>
      </c>
    </row>
    <row r="26" spans="1:33" x14ac:dyDescent="0.25">
      <c r="A26" s="329" t="str">
        <f t="shared" si="8"/>
        <v>#6</v>
      </c>
      <c r="B26" s="330"/>
      <c r="C26" s="134"/>
      <c r="D26" s="134"/>
      <c r="E26" s="134"/>
      <c r="F26" s="134"/>
      <c r="G26" s="331">
        <f t="shared" ref="G26" si="20">V9</f>
        <v>0</v>
      </c>
      <c r="H26" s="331">
        <v>2</v>
      </c>
      <c r="I26" s="331">
        <v>2</v>
      </c>
      <c r="J26" s="331">
        <v>2</v>
      </c>
      <c r="K26" s="331">
        <f t="shared" ref="K26" si="21">Z9</f>
        <v>2</v>
      </c>
      <c r="L26" s="331">
        <f t="shared" ref="L26" si="22">AA9</f>
        <v>2</v>
      </c>
      <c r="M26" s="331">
        <f t="shared" ref="M26" si="23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2"/>
        <v>0</v>
      </c>
      <c r="W26" s="331">
        <f t="shared" si="7"/>
        <v>2</v>
      </c>
      <c r="X26" s="331">
        <f t="shared" si="7"/>
        <v>2</v>
      </c>
      <c r="Y26" s="331">
        <f t="shared" si="7"/>
        <v>2</v>
      </c>
      <c r="Z26" s="331">
        <f t="shared" si="7"/>
        <v>2</v>
      </c>
      <c r="AA26" s="331">
        <f t="shared" si="7"/>
        <v>2</v>
      </c>
      <c r="AB26" s="331">
        <v>2</v>
      </c>
      <c r="AC26" s="115">
        <f t="shared" si="17"/>
        <v>19500</v>
      </c>
      <c r="AD26" s="51">
        <f t="shared" si="13"/>
        <v>23400</v>
      </c>
    </row>
    <row r="27" spans="1:33" x14ac:dyDescent="0.25">
      <c r="A27" s="329" t="str">
        <f t="shared" si="8"/>
        <v>#7</v>
      </c>
      <c r="B27" s="330" t="str">
        <f t="shared" si="8"/>
        <v>Inners</v>
      </c>
      <c r="C27" s="134" t="str">
        <f t="shared" si="8"/>
        <v>I. Vanags</v>
      </c>
      <c r="D27" s="134" t="str">
        <f t="shared" si="8"/>
        <v>CAB</v>
      </c>
      <c r="E27" s="134">
        <f>T10</f>
        <v>20</v>
      </c>
      <c r="F27" s="134">
        <f ca="1">U10</f>
        <v>77</v>
      </c>
      <c r="G27" s="331">
        <f t="shared" si="9"/>
        <v>0</v>
      </c>
      <c r="H27" s="331">
        <f t="shared" si="9"/>
        <v>4</v>
      </c>
      <c r="I27" s="331">
        <f t="shared" si="9"/>
        <v>12.75</v>
      </c>
      <c r="J27" s="331">
        <f t="shared" si="5"/>
        <v>3</v>
      </c>
      <c r="K27" s="331">
        <f t="shared" si="5"/>
        <v>4</v>
      </c>
      <c r="L27" s="331">
        <f t="shared" si="5"/>
        <v>7</v>
      </c>
      <c r="M27" s="331">
        <f t="shared" si="5"/>
        <v>6</v>
      </c>
      <c r="N27" s="115">
        <f t="shared" si="5"/>
        <v>14274.9</v>
      </c>
      <c r="O27" s="115">
        <f>N27*1.2</f>
        <v>17129.879999999997</v>
      </c>
      <c r="Q27" s="329" t="s">
        <v>175</v>
      </c>
      <c r="R27" s="330" t="str">
        <f t="shared" si="6"/>
        <v>Inners</v>
      </c>
      <c r="S27" s="134" t="str">
        <f t="shared" si="11"/>
        <v>CAB</v>
      </c>
      <c r="T27" s="134">
        <f>E27+4</f>
        <v>24</v>
      </c>
      <c r="U27" s="134">
        <f ca="1">F27+$AG$24*7-112-112-112-112</f>
        <v>21</v>
      </c>
      <c r="V27" s="331">
        <f t="shared" si="12"/>
        <v>0</v>
      </c>
      <c r="W27" s="331">
        <v>9</v>
      </c>
      <c r="X27" s="331">
        <f t="shared" si="7"/>
        <v>12.75</v>
      </c>
      <c r="Y27" s="331">
        <f t="shared" si="7"/>
        <v>3</v>
      </c>
      <c r="Z27" s="331">
        <f t="shared" si="7"/>
        <v>4</v>
      </c>
      <c r="AA27" s="331">
        <f>8+3/6</f>
        <v>8.5</v>
      </c>
      <c r="AB27" s="331">
        <v>16</v>
      </c>
      <c r="AC27" s="115">
        <f>(20000+1500+125+125)*1.043</f>
        <v>22685.25</v>
      </c>
      <c r="AD27" s="51">
        <f t="shared" si="13"/>
        <v>27222.3</v>
      </c>
    </row>
    <row r="28" spans="1:33" x14ac:dyDescent="0.25">
      <c r="A28" s="329" t="str">
        <f t="shared" si="8"/>
        <v>#8</v>
      </c>
      <c r="B28" s="330" t="str">
        <f t="shared" si="8"/>
        <v>Inners</v>
      </c>
      <c r="C28" s="134" t="str">
        <f t="shared" si="8"/>
        <v>I. Stone</v>
      </c>
      <c r="D28" s="134" t="str">
        <f t="shared" si="8"/>
        <v>RAP</v>
      </c>
      <c r="E28" s="134">
        <f t="shared" ref="E28:F32" si="24">T11</f>
        <v>20</v>
      </c>
      <c r="F28" s="134">
        <f t="shared" ca="1" si="24"/>
        <v>20</v>
      </c>
      <c r="G28" s="331">
        <f t="shared" si="9"/>
        <v>0</v>
      </c>
      <c r="H28" s="331">
        <f t="shared" si="9"/>
        <v>3</v>
      </c>
      <c r="I28" s="331">
        <f t="shared" si="9"/>
        <v>12</v>
      </c>
      <c r="J28" s="331">
        <f t="shared" si="5"/>
        <v>2</v>
      </c>
      <c r="K28" s="331">
        <f t="shared" si="5"/>
        <v>6</v>
      </c>
      <c r="L28" s="331">
        <f t="shared" si="5"/>
        <v>9</v>
      </c>
      <c r="M28" s="331">
        <f t="shared" si="5"/>
        <v>2</v>
      </c>
      <c r="N28" s="115">
        <f t="shared" si="5"/>
        <v>9641.52</v>
      </c>
      <c r="O28" s="115">
        <f t="shared" ref="O28:O32" si="25">N28*1.2</f>
        <v>11569.824000000001</v>
      </c>
      <c r="Q28" s="329" t="s">
        <v>179</v>
      </c>
      <c r="R28" s="330" t="str">
        <f t="shared" si="6"/>
        <v>Inners</v>
      </c>
      <c r="S28" s="134" t="str">
        <f t="shared" si="11"/>
        <v>RAP</v>
      </c>
      <c r="T28" s="134">
        <f t="shared" ref="T28:T32" si="26">E28+3</f>
        <v>23</v>
      </c>
      <c r="U28" s="134">
        <f t="shared" ref="U28:U32" ca="1" si="27">F28+$AG$24*7-112-112-112</f>
        <v>76</v>
      </c>
      <c r="V28" s="331">
        <f t="shared" si="12"/>
        <v>0</v>
      </c>
      <c r="W28" s="331">
        <f>8+3/6</f>
        <v>8.5</v>
      </c>
      <c r="X28" s="331">
        <f t="shared" si="7"/>
        <v>12</v>
      </c>
      <c r="Y28" s="331">
        <f t="shared" si="7"/>
        <v>2</v>
      </c>
      <c r="Z28" s="331">
        <f t="shared" si="7"/>
        <v>6</v>
      </c>
      <c r="AA28" s="331">
        <f>10+2/9</f>
        <v>10.222222222222221</v>
      </c>
      <c r="AB28" s="331">
        <v>15</v>
      </c>
      <c r="AC28" s="115">
        <f>(14490+3125+145)*1.038</f>
        <v>18434.88</v>
      </c>
      <c r="AD28" s="51">
        <f t="shared" si="13"/>
        <v>22121.856</v>
      </c>
    </row>
    <row r="29" spans="1:33" x14ac:dyDescent="0.25">
      <c r="A29" s="329" t="str">
        <f t="shared" si="8"/>
        <v>#9</v>
      </c>
      <c r="B29" s="330" t="str">
        <f t="shared" si="8"/>
        <v>Inners</v>
      </c>
      <c r="C29" s="134" t="str">
        <f t="shared" si="8"/>
        <v>G. Piscaer</v>
      </c>
      <c r="D29" s="134" t="str">
        <f t="shared" si="8"/>
        <v>IMP</v>
      </c>
      <c r="E29" s="134">
        <f t="shared" si="24"/>
        <v>20</v>
      </c>
      <c r="F29" s="134">
        <f t="shared" ca="1" si="24"/>
        <v>93</v>
      </c>
      <c r="G29" s="331">
        <f t="shared" si="9"/>
        <v>0</v>
      </c>
      <c r="H29" s="331">
        <f t="shared" si="9"/>
        <v>4</v>
      </c>
      <c r="I29" s="331">
        <f t="shared" si="9"/>
        <v>13.111111111111111</v>
      </c>
      <c r="J29" s="331">
        <f t="shared" si="5"/>
        <v>3</v>
      </c>
      <c r="K29" s="331">
        <f t="shared" si="5"/>
        <v>2</v>
      </c>
      <c r="L29" s="331">
        <f t="shared" si="5"/>
        <v>8</v>
      </c>
      <c r="M29" s="331">
        <f t="shared" si="5"/>
        <v>0</v>
      </c>
      <c r="N29" s="115">
        <f t="shared" si="5"/>
        <v>15145</v>
      </c>
      <c r="O29" s="115">
        <f t="shared" si="25"/>
        <v>18174</v>
      </c>
      <c r="Q29" s="329" t="s">
        <v>224</v>
      </c>
      <c r="R29" s="330" t="str">
        <f t="shared" si="6"/>
        <v>Inners</v>
      </c>
      <c r="S29" s="134" t="str">
        <f t="shared" si="11"/>
        <v>IMP</v>
      </c>
      <c r="T29" s="134">
        <f>E29+4</f>
        <v>24</v>
      </c>
      <c r="U29" s="134">
        <f ca="1">F29+$AG$24*7-112-112-112-112</f>
        <v>37</v>
      </c>
      <c r="V29" s="331">
        <f t="shared" si="12"/>
        <v>0</v>
      </c>
      <c r="W29" s="331">
        <v>9</v>
      </c>
      <c r="X29" s="331">
        <f t="shared" si="7"/>
        <v>13.111111111111111</v>
      </c>
      <c r="Y29" s="331">
        <f t="shared" si="7"/>
        <v>3</v>
      </c>
      <c r="Z29" s="331">
        <f t="shared" si="7"/>
        <v>2</v>
      </c>
      <c r="AA29" s="331">
        <f>9+3/6</f>
        <v>9.5</v>
      </c>
      <c r="AB29" s="331">
        <v>14</v>
      </c>
      <c r="AC29" s="115">
        <f>(23500+2295+125)*1.035</f>
        <v>26827.199999999997</v>
      </c>
      <c r="AD29" s="51">
        <f t="shared" si="13"/>
        <v>32192.639999999996</v>
      </c>
    </row>
    <row r="30" spans="1:33" x14ac:dyDescent="0.25">
      <c r="A30" s="329" t="str">
        <f t="shared" si="8"/>
        <v>#10</v>
      </c>
      <c r="B30" s="330" t="str">
        <f t="shared" si="8"/>
        <v>Inners</v>
      </c>
      <c r="C30" s="134" t="str">
        <f t="shared" si="8"/>
        <v>M. Bondarewski</v>
      </c>
      <c r="D30" s="134" t="str">
        <f t="shared" si="8"/>
        <v>RAP</v>
      </c>
      <c r="E30" s="134">
        <f t="shared" si="24"/>
        <v>20</v>
      </c>
      <c r="F30" s="134">
        <f t="shared" ca="1" si="24"/>
        <v>93</v>
      </c>
      <c r="G30" s="331">
        <f t="shared" si="9"/>
        <v>0</v>
      </c>
      <c r="H30" s="331">
        <f t="shared" si="9"/>
        <v>2</v>
      </c>
      <c r="I30" s="331">
        <f t="shared" si="9"/>
        <v>13.2</v>
      </c>
      <c r="J30" s="331">
        <f t="shared" si="5"/>
        <v>5</v>
      </c>
      <c r="K30" s="331">
        <f t="shared" si="5"/>
        <v>4</v>
      </c>
      <c r="L30" s="331">
        <f t="shared" si="5"/>
        <v>8</v>
      </c>
      <c r="M30" s="331">
        <f t="shared" si="5"/>
        <v>6</v>
      </c>
      <c r="N30" s="115">
        <f t="shared" si="5"/>
        <v>15539.7</v>
      </c>
      <c r="O30" s="115">
        <f t="shared" si="25"/>
        <v>18647.64</v>
      </c>
      <c r="Q30" s="329" t="s">
        <v>176</v>
      </c>
      <c r="R30" s="330" t="str">
        <f t="shared" si="6"/>
        <v>Inners</v>
      </c>
      <c r="S30" s="134" t="str">
        <f t="shared" si="11"/>
        <v>RAP</v>
      </c>
      <c r="T30" s="134">
        <f>E30+4</f>
        <v>24</v>
      </c>
      <c r="U30" s="134">
        <f ca="1">F30+$AG$24*7-112-112-112-112</f>
        <v>37</v>
      </c>
      <c r="V30" s="331">
        <f t="shared" si="12"/>
        <v>0</v>
      </c>
      <c r="W30" s="331">
        <v>8</v>
      </c>
      <c r="X30" s="331">
        <f t="shared" si="7"/>
        <v>13.2</v>
      </c>
      <c r="Y30" s="331">
        <f t="shared" si="7"/>
        <v>5</v>
      </c>
      <c r="Z30" s="331">
        <f t="shared" si="7"/>
        <v>4</v>
      </c>
      <c r="AA30" s="331">
        <f>9+3/6</f>
        <v>9.5</v>
      </c>
      <c r="AB30" s="331">
        <v>16</v>
      </c>
      <c r="AC30" s="115">
        <f>(23500+2295+125+125)*1.043</f>
        <v>27164.934999999998</v>
      </c>
      <c r="AD30" s="51">
        <f t="shared" si="13"/>
        <v>32597.921999999995</v>
      </c>
    </row>
    <row r="31" spans="1:33" x14ac:dyDescent="0.25">
      <c r="A31" s="329" t="str">
        <f t="shared" si="8"/>
        <v>#11</v>
      </c>
      <c r="B31" s="330" t="str">
        <f t="shared" si="8"/>
        <v>Inners</v>
      </c>
      <c r="C31" s="134" t="str">
        <f t="shared" si="8"/>
        <v>P. Tuderek</v>
      </c>
      <c r="D31" s="134" t="str">
        <f t="shared" si="8"/>
        <v>CAB</v>
      </c>
      <c r="E31" s="134">
        <f t="shared" si="24"/>
        <v>20</v>
      </c>
      <c r="F31" s="134">
        <f t="shared" ca="1" si="24"/>
        <v>79</v>
      </c>
      <c r="G31" s="331">
        <f t="shared" si="9"/>
        <v>0</v>
      </c>
      <c r="H31" s="331">
        <f t="shared" si="9"/>
        <v>6</v>
      </c>
      <c r="I31" s="331">
        <f t="shared" si="9"/>
        <v>12</v>
      </c>
      <c r="J31" s="331">
        <f t="shared" si="5"/>
        <v>2</v>
      </c>
      <c r="K31" s="331">
        <f t="shared" si="5"/>
        <v>3</v>
      </c>
      <c r="L31" s="331">
        <f t="shared" si="5"/>
        <v>6</v>
      </c>
      <c r="M31" s="331">
        <f t="shared" si="5"/>
        <v>8</v>
      </c>
      <c r="N31" s="115">
        <f t="shared" si="5"/>
        <v>9207</v>
      </c>
      <c r="O31" s="115">
        <f t="shared" si="25"/>
        <v>11048.4</v>
      </c>
      <c r="Q31" s="329" t="s">
        <v>177</v>
      </c>
      <c r="R31" s="330" t="str">
        <f t="shared" si="6"/>
        <v>Inners</v>
      </c>
      <c r="S31" s="134" t="str">
        <f t="shared" si="11"/>
        <v>CAB</v>
      </c>
      <c r="T31" s="134">
        <f>E31+4</f>
        <v>24</v>
      </c>
      <c r="U31" s="134">
        <f ca="1">F31+$AG$24*7-112-112-112-112</f>
        <v>23</v>
      </c>
      <c r="V31" s="331">
        <f t="shared" si="12"/>
        <v>0</v>
      </c>
      <c r="W31" s="331">
        <f>10+1/9</f>
        <v>10.111111111111111</v>
      </c>
      <c r="X31" s="331">
        <f t="shared" si="7"/>
        <v>12</v>
      </c>
      <c r="Y31" s="331">
        <f t="shared" si="7"/>
        <v>2</v>
      </c>
      <c r="Z31" s="331">
        <f t="shared" si="7"/>
        <v>3</v>
      </c>
      <c r="AA31" s="331">
        <v>8</v>
      </c>
      <c r="AB31" s="331">
        <v>16.5</v>
      </c>
      <c r="AC31" s="115">
        <f>(20000+1020+225)*1.047</f>
        <v>22243.514999999999</v>
      </c>
      <c r="AD31" s="51">
        <f t="shared" si="13"/>
        <v>26692.217999999997</v>
      </c>
    </row>
    <row r="32" spans="1:33" x14ac:dyDescent="0.25">
      <c r="A32" s="329" t="str">
        <f t="shared" si="8"/>
        <v>#12</v>
      </c>
      <c r="B32" s="330" t="str">
        <f t="shared" si="8"/>
        <v>Inners</v>
      </c>
      <c r="C32" s="134" t="str">
        <f t="shared" si="8"/>
        <v>R. Forsyth</v>
      </c>
      <c r="D32" s="134" t="str">
        <f t="shared" si="8"/>
        <v>POT</v>
      </c>
      <c r="E32" s="134">
        <f t="shared" si="24"/>
        <v>21</v>
      </c>
      <c r="F32" s="134">
        <f t="shared" ca="1" si="24"/>
        <v>22</v>
      </c>
      <c r="G32" s="331">
        <f t="shared" si="9"/>
        <v>0</v>
      </c>
      <c r="H32" s="331">
        <f t="shared" si="9"/>
        <v>7</v>
      </c>
      <c r="I32" s="331">
        <f t="shared" si="9"/>
        <v>12.222222222222221</v>
      </c>
      <c r="J32" s="331">
        <f t="shared" si="5"/>
        <v>2</v>
      </c>
      <c r="K32" s="331">
        <f t="shared" si="5"/>
        <v>4</v>
      </c>
      <c r="L32" s="331">
        <f t="shared" si="5"/>
        <v>6</v>
      </c>
      <c r="M32" s="331">
        <f t="shared" si="5"/>
        <v>2</v>
      </c>
      <c r="N32" s="115">
        <f t="shared" si="5"/>
        <v>10599.12</v>
      </c>
      <c r="O32" s="115">
        <f t="shared" si="25"/>
        <v>12718.944000000001</v>
      </c>
      <c r="Q32" s="329" t="s">
        <v>171</v>
      </c>
      <c r="R32" s="330" t="str">
        <f t="shared" si="6"/>
        <v>Inners</v>
      </c>
      <c r="S32" s="134" t="str">
        <f t="shared" si="11"/>
        <v>POT</v>
      </c>
      <c r="T32" s="134">
        <f t="shared" si="26"/>
        <v>24</v>
      </c>
      <c r="U32" s="134">
        <f t="shared" ca="1" si="27"/>
        <v>78</v>
      </c>
      <c r="V32" s="331">
        <f t="shared" si="12"/>
        <v>0</v>
      </c>
      <c r="W32" s="331">
        <f>10+4/9</f>
        <v>10.444444444444445</v>
      </c>
      <c r="X32" s="331">
        <f t="shared" si="7"/>
        <v>12.222222222222221</v>
      </c>
      <c r="Y32" s="331">
        <f t="shared" si="7"/>
        <v>2</v>
      </c>
      <c r="Z32" s="331">
        <f t="shared" si="7"/>
        <v>4</v>
      </c>
      <c r="AA32" s="331">
        <v>8</v>
      </c>
      <c r="AB32" s="331">
        <v>15</v>
      </c>
      <c r="AC32" s="115">
        <f>(20000+1020+225+125)*1.038</f>
        <v>22182.06</v>
      </c>
      <c r="AD32" s="51">
        <f t="shared" si="13"/>
        <v>26618.472000000002</v>
      </c>
    </row>
    <row r="33" spans="1:30" x14ac:dyDescent="0.25">
      <c r="A33" s="329" t="str">
        <f t="shared" si="8"/>
        <v>#13</v>
      </c>
      <c r="B33" s="330"/>
      <c r="C33" s="134"/>
      <c r="D33" s="134"/>
      <c r="E33" s="134"/>
      <c r="F33" s="134"/>
      <c r="G33" s="331">
        <f t="shared" ref="G33:G34" si="28">V16</f>
        <v>0</v>
      </c>
      <c r="H33" s="331">
        <v>2</v>
      </c>
      <c r="I33" s="331">
        <v>2</v>
      </c>
      <c r="J33" s="331">
        <v>2</v>
      </c>
      <c r="K33" s="331">
        <f t="shared" ref="K33:K34" si="29">Z16</f>
        <v>2</v>
      </c>
      <c r="L33" s="331">
        <f t="shared" si="5"/>
        <v>2</v>
      </c>
      <c r="M33" s="331">
        <f t="shared" si="5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2"/>
        <v>0</v>
      </c>
      <c r="W33" s="331">
        <f t="shared" si="7"/>
        <v>2</v>
      </c>
      <c r="X33" s="331">
        <f t="shared" si="7"/>
        <v>2</v>
      </c>
      <c r="Y33" s="331">
        <f t="shared" si="7"/>
        <v>2</v>
      </c>
      <c r="Z33" s="331">
        <f t="shared" si="7"/>
        <v>2</v>
      </c>
      <c r="AA33" s="331">
        <f t="shared" si="7"/>
        <v>2</v>
      </c>
      <c r="AB33" s="331">
        <v>2</v>
      </c>
      <c r="AC33" s="115">
        <f>(22400+2295)*1.048</f>
        <v>25880.36</v>
      </c>
      <c r="AD33" s="51">
        <f t="shared" si="13"/>
        <v>31056.432000000001</v>
      </c>
    </row>
    <row r="34" spans="1:30" x14ac:dyDescent="0.25">
      <c r="A34" s="329" t="str">
        <f t="shared" si="8"/>
        <v>#14</v>
      </c>
      <c r="B34" s="330"/>
      <c r="C34" s="134"/>
      <c r="D34" s="134"/>
      <c r="E34" s="134"/>
      <c r="F34" s="134"/>
      <c r="G34" s="331">
        <f t="shared" si="28"/>
        <v>0</v>
      </c>
      <c r="H34" s="331">
        <v>2</v>
      </c>
      <c r="I34" s="331">
        <v>2</v>
      </c>
      <c r="J34" s="331">
        <v>2</v>
      </c>
      <c r="K34" s="331">
        <f t="shared" si="29"/>
        <v>2</v>
      </c>
      <c r="L34" s="331">
        <f t="shared" si="5"/>
        <v>2</v>
      </c>
      <c r="M34" s="331">
        <f t="shared" si="5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2"/>
        <v>0</v>
      </c>
      <c r="W34" s="331">
        <f t="shared" si="7"/>
        <v>2</v>
      </c>
      <c r="X34" s="331">
        <f t="shared" si="7"/>
        <v>2</v>
      </c>
      <c r="Y34" s="331">
        <f t="shared" si="7"/>
        <v>2</v>
      </c>
      <c r="Z34" s="331">
        <f t="shared" si="7"/>
        <v>2</v>
      </c>
      <c r="AA34" s="331">
        <f t="shared" si="7"/>
        <v>2</v>
      </c>
      <c r="AB34" s="331">
        <v>2</v>
      </c>
      <c r="AC34" s="115">
        <f>(22400+2295)*1.048</f>
        <v>25880.36</v>
      </c>
      <c r="AD34" s="51">
        <f t="shared" si="13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E18" sqref="E1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4"/>
      <c r="B1" s="494"/>
      <c r="C1" s="494"/>
      <c r="D1" s="681" t="s">
        <v>645</v>
      </c>
      <c r="E1" s="682"/>
      <c r="F1" s="682"/>
      <c r="G1" s="682"/>
      <c r="H1" s="682"/>
      <c r="I1" s="683"/>
      <c r="K1" s="494"/>
      <c r="L1" s="495"/>
      <c r="M1" s="495"/>
      <c r="N1" s="496">
        <v>43637</v>
      </c>
      <c r="O1" s="496">
        <f t="shared" ref="O1:AD1" si="0">N1+7</f>
        <v>43644</v>
      </c>
      <c r="P1" s="496">
        <f t="shared" si="0"/>
        <v>43651</v>
      </c>
      <c r="Q1" s="496">
        <f t="shared" si="0"/>
        <v>43658</v>
      </c>
      <c r="R1" s="496">
        <f t="shared" si="0"/>
        <v>43665</v>
      </c>
      <c r="S1" s="569">
        <f t="shared" si="0"/>
        <v>43672</v>
      </c>
      <c r="T1" s="496">
        <f t="shared" si="0"/>
        <v>43679</v>
      </c>
      <c r="U1" s="496">
        <f t="shared" si="0"/>
        <v>43686</v>
      </c>
      <c r="V1" s="496">
        <f t="shared" si="0"/>
        <v>43693</v>
      </c>
      <c r="W1" s="496">
        <f t="shared" si="0"/>
        <v>43700</v>
      </c>
      <c r="X1" s="496">
        <f t="shared" si="0"/>
        <v>43707</v>
      </c>
      <c r="Y1" s="496">
        <f t="shared" si="0"/>
        <v>43714</v>
      </c>
      <c r="Z1" s="496">
        <f t="shared" si="0"/>
        <v>43721</v>
      </c>
      <c r="AA1" s="496">
        <f t="shared" si="0"/>
        <v>43728</v>
      </c>
      <c r="AB1" s="496">
        <f t="shared" si="0"/>
        <v>43735</v>
      </c>
      <c r="AC1" s="496">
        <f t="shared" si="0"/>
        <v>43742</v>
      </c>
      <c r="AD1" s="496">
        <f t="shared" si="0"/>
        <v>43749</v>
      </c>
    </row>
    <row r="2" spans="1:33" x14ac:dyDescent="0.25">
      <c r="A2" s="499"/>
      <c r="B2" s="499"/>
      <c r="C2" s="499"/>
      <c r="D2" s="684" t="s">
        <v>583</v>
      </c>
      <c r="E2" s="685"/>
      <c r="F2" s="686"/>
      <c r="G2" s="686"/>
      <c r="H2" s="686"/>
      <c r="I2" s="687"/>
      <c r="K2" s="497"/>
      <c r="L2" s="497"/>
      <c r="M2" s="497" t="s">
        <v>582</v>
      </c>
      <c r="N2" s="498" t="s">
        <v>43</v>
      </c>
      <c r="O2" s="498" t="s">
        <v>28</v>
      </c>
      <c r="P2" s="498" t="s">
        <v>29</v>
      </c>
      <c r="Q2" s="498" t="s">
        <v>30</v>
      </c>
      <c r="R2" s="498" t="s">
        <v>31</v>
      </c>
      <c r="S2" s="585" t="s">
        <v>32</v>
      </c>
      <c r="T2" s="498" t="s">
        <v>33</v>
      </c>
      <c r="U2" s="498" t="s">
        <v>34</v>
      </c>
      <c r="V2" s="498" t="s">
        <v>35</v>
      </c>
      <c r="W2" s="498" t="s">
        <v>36</v>
      </c>
      <c r="X2" s="498" t="s">
        <v>37</v>
      </c>
      <c r="Y2" s="498" t="s">
        <v>38</v>
      </c>
      <c r="Z2" s="498" t="s">
        <v>39</v>
      </c>
      <c r="AA2" s="498" t="s">
        <v>40</v>
      </c>
      <c r="AB2" s="498" t="s">
        <v>41</v>
      </c>
      <c r="AC2" s="498" t="s">
        <v>42</v>
      </c>
      <c r="AD2" s="498" t="s">
        <v>43</v>
      </c>
    </row>
    <row r="3" spans="1:33" ht="18.75" x14ac:dyDescent="0.3">
      <c r="A3" s="502"/>
      <c r="B3" s="502"/>
      <c r="C3" s="502"/>
      <c r="D3" s="688" t="s">
        <v>585</v>
      </c>
      <c r="E3" s="689"/>
      <c r="F3" s="618"/>
      <c r="G3" s="690" t="s">
        <v>586</v>
      </c>
      <c r="H3" s="691"/>
      <c r="I3" s="503"/>
      <c r="K3" s="491"/>
      <c r="L3" s="500"/>
      <c r="M3" s="500" t="s">
        <v>584</v>
      </c>
      <c r="N3" s="501">
        <f>3345+6</f>
        <v>3351</v>
      </c>
      <c r="O3" s="501">
        <v>3345</v>
      </c>
      <c r="P3" s="501">
        <f>O3+O11</f>
        <v>3345</v>
      </c>
      <c r="Q3" s="501">
        <f t="shared" ref="Q3:AD3" si="1">P3+P11</f>
        <v>3435</v>
      </c>
      <c r="R3" s="501">
        <f>Q3+Q11-2</f>
        <v>3433</v>
      </c>
      <c r="S3" s="570">
        <f t="shared" si="1"/>
        <v>3433</v>
      </c>
      <c r="T3" s="501">
        <f t="shared" si="1"/>
        <v>3433</v>
      </c>
      <c r="U3" s="501">
        <f t="shared" si="1"/>
        <v>3433</v>
      </c>
      <c r="V3" s="501">
        <f t="shared" si="1"/>
        <v>3433</v>
      </c>
      <c r="W3" s="501">
        <f t="shared" si="1"/>
        <v>3433</v>
      </c>
      <c r="X3" s="501">
        <f t="shared" si="1"/>
        <v>3433</v>
      </c>
      <c r="Y3" s="501">
        <f t="shared" si="1"/>
        <v>3433</v>
      </c>
      <c r="Z3" s="501">
        <f t="shared" si="1"/>
        <v>3433</v>
      </c>
      <c r="AA3" s="501">
        <f t="shared" si="1"/>
        <v>3433</v>
      </c>
      <c r="AB3" s="501">
        <f t="shared" si="1"/>
        <v>3433</v>
      </c>
      <c r="AC3" s="501">
        <f t="shared" si="1"/>
        <v>3433</v>
      </c>
      <c r="AD3" s="501">
        <f t="shared" si="1"/>
        <v>3433</v>
      </c>
    </row>
    <row r="4" spans="1:33" ht="18.75" x14ac:dyDescent="0.3">
      <c r="A4" s="502"/>
      <c r="B4" s="502"/>
      <c r="C4" s="502"/>
      <c r="D4" s="512"/>
      <c r="E4" s="522"/>
      <c r="F4" s="554"/>
      <c r="G4" s="508"/>
      <c r="H4" s="554"/>
      <c r="I4" s="509"/>
      <c r="K4" s="586" t="s">
        <v>640</v>
      </c>
      <c r="L4" s="586"/>
      <c r="M4" s="587">
        <f>10164100+500000</f>
        <v>10664100</v>
      </c>
      <c r="N4" s="588">
        <f>M4</f>
        <v>10664100</v>
      </c>
      <c r="O4" s="588">
        <f>N4-N13+N23</f>
        <v>10164100</v>
      </c>
      <c r="P4" s="588">
        <f t="shared" ref="P4:AD4" si="2">O4-O13+O23</f>
        <v>9664100</v>
      </c>
      <c r="Q4" s="588">
        <f t="shared" si="2"/>
        <v>9164100</v>
      </c>
      <c r="R4" s="588">
        <f t="shared" si="2"/>
        <v>8664100</v>
      </c>
      <c r="S4" s="588">
        <f t="shared" si="2"/>
        <v>8164100</v>
      </c>
      <c r="T4" s="588">
        <f t="shared" si="2"/>
        <v>7664100</v>
      </c>
      <c r="U4" s="588">
        <f t="shared" si="2"/>
        <v>7164100</v>
      </c>
      <c r="V4" s="588">
        <f t="shared" si="2"/>
        <v>6664100</v>
      </c>
      <c r="W4" s="588">
        <f t="shared" si="2"/>
        <v>6164100</v>
      </c>
      <c r="X4" s="588">
        <f t="shared" si="2"/>
        <v>5664100</v>
      </c>
      <c r="Y4" s="588">
        <f t="shared" si="2"/>
        <v>5164100</v>
      </c>
      <c r="Z4" s="588">
        <f t="shared" si="2"/>
        <v>4664100</v>
      </c>
      <c r="AA4" s="588">
        <f t="shared" si="2"/>
        <v>4164100</v>
      </c>
      <c r="AB4" s="588">
        <f t="shared" si="2"/>
        <v>3664100</v>
      </c>
      <c r="AC4" s="588">
        <f t="shared" si="2"/>
        <v>3164100</v>
      </c>
      <c r="AD4" s="588">
        <f t="shared" si="2"/>
        <v>2664100</v>
      </c>
    </row>
    <row r="5" spans="1:33" ht="18.75" x14ac:dyDescent="0.3">
      <c r="A5" s="507"/>
      <c r="B5" s="507"/>
      <c r="C5" s="507"/>
      <c r="D5" s="512" t="s">
        <v>589</v>
      </c>
      <c r="E5" s="513">
        <f>SUM(E6:E8)</f>
        <v>8627340</v>
      </c>
      <c r="F5" s="592">
        <f>E5/E35</f>
        <v>0.10662584879735491</v>
      </c>
      <c r="G5" s="512" t="s">
        <v>590</v>
      </c>
      <c r="H5" s="602">
        <f>H6+H7</f>
        <v>63454367</v>
      </c>
      <c r="I5" s="514">
        <f>H5/$H$35</f>
        <v>0.78423659450930039</v>
      </c>
      <c r="K5" s="504" t="s">
        <v>587</v>
      </c>
      <c r="L5" s="504"/>
      <c r="M5" s="505">
        <f>16859431-5919847+1711665-500000</f>
        <v>12151249</v>
      </c>
      <c r="N5" s="506">
        <f>M5</f>
        <v>12151249</v>
      </c>
      <c r="O5" s="506">
        <f t="shared" ref="O5:AD5" si="3">N26</f>
        <v>16853431</v>
      </c>
      <c r="P5" s="506">
        <f t="shared" si="3"/>
        <v>11755916</v>
      </c>
      <c r="Q5" s="506">
        <f t="shared" si="3"/>
        <v>12415332</v>
      </c>
      <c r="R5" s="506">
        <f t="shared" si="3"/>
        <v>13710711</v>
      </c>
      <c r="S5" s="506">
        <f t="shared" si="3"/>
        <v>14306291</v>
      </c>
      <c r="T5" s="506">
        <f t="shared" si="3"/>
        <v>16625519</v>
      </c>
      <c r="U5" s="506">
        <f t="shared" si="3"/>
        <v>17197346</v>
      </c>
      <c r="V5" s="506">
        <f t="shared" si="3"/>
        <v>18069173</v>
      </c>
      <c r="W5" s="506">
        <f t="shared" si="3"/>
        <v>18641000</v>
      </c>
      <c r="X5" s="506">
        <f t="shared" si="3"/>
        <v>19512827</v>
      </c>
      <c r="Y5" s="506">
        <f t="shared" si="3"/>
        <v>20084654</v>
      </c>
      <c r="Z5" s="506">
        <f t="shared" si="3"/>
        <v>20956481</v>
      </c>
      <c r="AA5" s="506">
        <f t="shared" si="3"/>
        <v>21528308</v>
      </c>
      <c r="AB5" s="506">
        <f t="shared" si="3"/>
        <v>22400135</v>
      </c>
      <c r="AC5" s="506">
        <f t="shared" si="3"/>
        <v>22971962</v>
      </c>
      <c r="AD5" s="506">
        <f t="shared" si="3"/>
        <v>23543789</v>
      </c>
    </row>
    <row r="6" spans="1:33" x14ac:dyDescent="0.25">
      <c r="A6" s="510" t="str">
        <f t="shared" ref="A6:A13" si="4">L6</f>
        <v>Taquillas</v>
      </c>
      <c r="B6" s="511">
        <f t="shared" ref="B6:B13" si="5">M6/$M$14</f>
        <v>0.13695454470105958</v>
      </c>
      <c r="D6" s="515" t="s">
        <v>592</v>
      </c>
      <c r="E6" s="516">
        <v>4158040</v>
      </c>
      <c r="F6" s="593">
        <f>E6/E35</f>
        <v>5.1389483239718571E-2</v>
      </c>
      <c r="G6" s="517" t="s">
        <v>593</v>
      </c>
      <c r="H6" s="603">
        <v>300000</v>
      </c>
      <c r="I6" s="518">
        <f>H6/$H$35</f>
        <v>3.707719255205715E-3</v>
      </c>
      <c r="K6" s="566" t="s">
        <v>588</v>
      </c>
      <c r="L6" s="566" t="s">
        <v>588</v>
      </c>
      <c r="M6" s="583">
        <f t="shared" ref="M6:M25" si="6">SUM(N6:AD6)</f>
        <v>3122989</v>
      </c>
      <c r="N6" s="649">
        <v>27384</v>
      </c>
      <c r="O6" s="649">
        <f>2819+34650</f>
        <v>37469</v>
      </c>
      <c r="P6" s="649">
        <v>34650</v>
      </c>
      <c r="Q6" s="649">
        <f>734316+34267</f>
        <v>768583</v>
      </c>
      <c r="R6" s="649">
        <f>60291</f>
        <v>60291</v>
      </c>
      <c r="S6" s="567">
        <v>664612</v>
      </c>
      <c r="T6" s="567">
        <v>30000</v>
      </c>
      <c r="U6" s="567">
        <v>330000</v>
      </c>
      <c r="V6" s="567">
        <v>30000</v>
      </c>
      <c r="W6" s="567">
        <v>330000</v>
      </c>
      <c r="X6" s="567">
        <v>30000</v>
      </c>
      <c r="Y6" s="567">
        <v>330000</v>
      </c>
      <c r="Z6" s="567">
        <v>30000</v>
      </c>
      <c r="AA6" s="567">
        <v>330000</v>
      </c>
      <c r="AB6" s="567">
        <v>30000</v>
      </c>
      <c r="AC6" s="567">
        <v>30000</v>
      </c>
      <c r="AD6" s="567">
        <v>30000</v>
      </c>
    </row>
    <row r="7" spans="1:33" x14ac:dyDescent="0.25">
      <c r="A7" s="510" t="str">
        <f t="shared" si="4"/>
        <v>Patrocinadores</v>
      </c>
      <c r="B7" s="511">
        <f t="shared" si="5"/>
        <v>0.18784432261113904</v>
      </c>
      <c r="D7" s="515" t="s">
        <v>596</v>
      </c>
      <c r="E7" s="516">
        <f>1916000+300+2553000</f>
        <v>4469300</v>
      </c>
      <c r="F7" s="593">
        <f>E7/E35</f>
        <v>5.5236365557636342E-2</v>
      </c>
      <c r="G7" s="517" t="s">
        <v>597</v>
      </c>
      <c r="H7" s="603">
        <f>63609618-455251</f>
        <v>63154367</v>
      </c>
      <c r="I7" s="518">
        <f>H7/$H$35</f>
        <v>0.78052887525409465</v>
      </c>
      <c r="K7" s="566" t="s">
        <v>591</v>
      </c>
      <c r="L7" s="566" t="s">
        <v>591</v>
      </c>
      <c r="M7" s="583">
        <f t="shared" si="6"/>
        <v>4283434</v>
      </c>
      <c r="N7" s="650">
        <v>270844</v>
      </c>
      <c r="O7" s="650">
        <v>187040</v>
      </c>
      <c r="P7" s="650">
        <v>224225</v>
      </c>
      <c r="Q7" s="650">
        <v>246055</v>
      </c>
      <c r="R7" s="650">
        <v>257710</v>
      </c>
      <c r="S7" s="568">
        <v>263630</v>
      </c>
      <c r="T7" s="568">
        <f t="shared" ref="T7:AD7" si="7">S7-1000</f>
        <v>262630</v>
      </c>
      <c r="U7" s="568">
        <f t="shared" si="7"/>
        <v>261630</v>
      </c>
      <c r="V7" s="568">
        <f t="shared" si="7"/>
        <v>260630</v>
      </c>
      <c r="W7" s="568">
        <f t="shared" si="7"/>
        <v>259630</v>
      </c>
      <c r="X7" s="568">
        <f t="shared" si="7"/>
        <v>258630</v>
      </c>
      <c r="Y7" s="568">
        <f t="shared" si="7"/>
        <v>257630</v>
      </c>
      <c r="Z7" s="568">
        <f t="shared" si="7"/>
        <v>256630</v>
      </c>
      <c r="AA7" s="568">
        <f t="shared" si="7"/>
        <v>255630</v>
      </c>
      <c r="AB7" s="568">
        <f t="shared" si="7"/>
        <v>254630</v>
      </c>
      <c r="AC7" s="568">
        <f t="shared" si="7"/>
        <v>253630</v>
      </c>
      <c r="AD7" s="568">
        <f t="shared" si="7"/>
        <v>252630</v>
      </c>
    </row>
    <row r="8" spans="1:33" x14ac:dyDescent="0.25">
      <c r="A8" s="510" t="str">
        <f t="shared" si="4"/>
        <v>Ventas</v>
      </c>
      <c r="B8" s="511">
        <f t="shared" si="5"/>
        <v>0.17082054523624984</v>
      </c>
      <c r="D8" s="519" t="s">
        <v>599</v>
      </c>
      <c r="E8" s="520">
        <v>0</v>
      </c>
      <c r="F8" s="593">
        <f>E8/E35</f>
        <v>0</v>
      </c>
      <c r="G8" s="523"/>
      <c r="H8" s="601"/>
      <c r="I8" s="514"/>
      <c r="K8" s="566" t="s">
        <v>594</v>
      </c>
      <c r="L8" s="566" t="s">
        <v>595</v>
      </c>
      <c r="M8" s="583">
        <f t="shared" si="6"/>
        <v>3895239</v>
      </c>
      <c r="N8" s="649">
        <f>959086+1751596+1184557</f>
        <v>3895239</v>
      </c>
      <c r="O8" s="649">
        <v>0</v>
      </c>
      <c r="P8" s="649">
        <v>0</v>
      </c>
      <c r="Q8" s="649">
        <v>0</v>
      </c>
      <c r="R8" s="649">
        <v>0</v>
      </c>
      <c r="S8" s="567">
        <v>0</v>
      </c>
      <c r="T8" s="567">
        <v>0</v>
      </c>
      <c r="U8" s="567">
        <v>0</v>
      </c>
      <c r="V8" s="567">
        <v>0</v>
      </c>
      <c r="W8" s="567">
        <v>0</v>
      </c>
      <c r="X8" s="567">
        <v>0</v>
      </c>
      <c r="Y8" s="567">
        <v>0</v>
      </c>
      <c r="Z8" s="567">
        <v>0</v>
      </c>
      <c r="AA8" s="567">
        <v>0</v>
      </c>
      <c r="AB8" s="567">
        <v>0</v>
      </c>
      <c r="AC8" s="567">
        <v>0</v>
      </c>
      <c r="AD8" s="567">
        <v>0</v>
      </c>
      <c r="AF8" s="493"/>
      <c r="AG8" s="493"/>
    </row>
    <row r="9" spans="1:33" x14ac:dyDescent="0.25">
      <c r="A9" s="510" t="str">
        <f t="shared" si="4"/>
        <v>VentasCantera</v>
      </c>
      <c r="B9" s="511">
        <f t="shared" si="5"/>
        <v>6.5241112329171291E-2</v>
      </c>
      <c r="D9" s="521"/>
      <c r="E9" s="522"/>
      <c r="F9" s="592"/>
      <c r="G9" s="523"/>
      <c r="H9" s="601"/>
      <c r="I9" s="514"/>
      <c r="K9" s="566"/>
      <c r="L9" s="566" t="s">
        <v>598</v>
      </c>
      <c r="M9" s="583">
        <f t="shared" si="6"/>
        <v>1487700</v>
      </c>
      <c r="N9" s="649">
        <f>515850</f>
        <v>515850</v>
      </c>
      <c r="O9" s="649">
        <v>0</v>
      </c>
      <c r="P9" s="649">
        <v>0</v>
      </c>
      <c r="Q9" s="649">
        <v>0</v>
      </c>
      <c r="R9" s="649">
        <v>950</v>
      </c>
      <c r="S9" s="567">
        <v>970900</v>
      </c>
      <c r="T9" s="567">
        <v>0</v>
      </c>
      <c r="U9" s="567">
        <v>0</v>
      </c>
      <c r="V9" s="567">
        <v>0</v>
      </c>
      <c r="W9" s="567">
        <v>0</v>
      </c>
      <c r="X9" s="567">
        <v>0</v>
      </c>
      <c r="Y9" s="567">
        <v>0</v>
      </c>
      <c r="Z9" s="567">
        <v>0</v>
      </c>
      <c r="AA9" s="567">
        <v>0</v>
      </c>
      <c r="AB9" s="567">
        <v>0</v>
      </c>
      <c r="AC9" s="567">
        <v>0</v>
      </c>
      <c r="AD9" s="567">
        <v>0</v>
      </c>
    </row>
    <row r="10" spans="1:33" x14ac:dyDescent="0.25">
      <c r="A10" s="510" t="str">
        <f t="shared" si="4"/>
        <v>Comisiones</v>
      </c>
      <c r="B10" s="511">
        <f t="shared" si="5"/>
        <v>9.7848073854500343E-3</v>
      </c>
      <c r="D10" s="512" t="s">
        <v>642</v>
      </c>
      <c r="E10" s="513">
        <f>E11+E12+E13</f>
        <v>2164100</v>
      </c>
      <c r="F10" s="592">
        <f>E10/E35</f>
        <v>2.6746250800635626E-2</v>
      </c>
      <c r="G10" s="512" t="s">
        <v>604</v>
      </c>
      <c r="H10" s="602">
        <f>SUM(H11:H16)</f>
        <v>6619169</v>
      </c>
      <c r="I10" s="514">
        <f t="shared" ref="I10:I16" si="8">H10/$H$35</f>
        <v>8.1806734515869187E-2</v>
      </c>
      <c r="K10" s="566" t="s">
        <v>600</v>
      </c>
      <c r="L10" s="566" t="s">
        <v>600</v>
      </c>
      <c r="M10" s="583">
        <f t="shared" si="6"/>
        <v>223124</v>
      </c>
      <c r="N10" s="650">
        <v>60000</v>
      </c>
      <c r="O10" s="650">
        <f>15320+1915</f>
        <v>17235</v>
      </c>
      <c r="P10" s="650">
        <v>120000</v>
      </c>
      <c r="Q10" s="650">
        <v>0</v>
      </c>
      <c r="R10" s="650">
        <v>0</v>
      </c>
      <c r="S10" s="568">
        <v>3889</v>
      </c>
      <c r="T10" s="568">
        <v>2000</v>
      </c>
      <c r="U10" s="568">
        <f t="shared" ref="U10:AD10" si="9">T10</f>
        <v>2000</v>
      </c>
      <c r="V10" s="568">
        <f t="shared" si="9"/>
        <v>2000</v>
      </c>
      <c r="W10" s="568">
        <f t="shared" si="9"/>
        <v>2000</v>
      </c>
      <c r="X10" s="568">
        <f t="shared" si="9"/>
        <v>2000</v>
      </c>
      <c r="Y10" s="568">
        <f t="shared" si="9"/>
        <v>2000</v>
      </c>
      <c r="Z10" s="568">
        <f t="shared" si="9"/>
        <v>2000</v>
      </c>
      <c r="AA10" s="568">
        <f t="shared" si="9"/>
        <v>2000</v>
      </c>
      <c r="AB10" s="568">
        <f t="shared" si="9"/>
        <v>2000</v>
      </c>
      <c r="AC10" s="568">
        <f t="shared" si="9"/>
        <v>2000</v>
      </c>
      <c r="AD10" s="568">
        <f t="shared" si="9"/>
        <v>2000</v>
      </c>
    </row>
    <row r="11" spans="1:33" x14ac:dyDescent="0.25">
      <c r="A11" s="510" t="str">
        <f t="shared" si="4"/>
        <v>Nuevos Socios</v>
      </c>
      <c r="B11" s="511">
        <f t="shared" si="5"/>
        <v>4.4125567806420759E-3</v>
      </c>
      <c r="D11" s="524" t="s">
        <v>647</v>
      </c>
      <c r="E11" s="525">
        <f>N4</f>
        <v>10664100</v>
      </c>
      <c r="F11" s="593">
        <f>E11/E35</f>
        <v>0.13179829636479756</v>
      </c>
      <c r="G11" s="547" t="s">
        <v>607</v>
      </c>
      <c r="H11" s="615">
        <v>0</v>
      </c>
      <c r="I11" s="518">
        <f t="shared" si="8"/>
        <v>0</v>
      </c>
      <c r="K11" s="672" t="s">
        <v>601</v>
      </c>
      <c r="L11" s="566" t="s">
        <v>602</v>
      </c>
      <c r="M11" s="583">
        <f t="shared" si="6"/>
        <v>100620</v>
      </c>
      <c r="N11" s="650">
        <v>100530</v>
      </c>
      <c r="O11" s="650">
        <v>0</v>
      </c>
      <c r="P11" s="650">
        <f>30+60</f>
        <v>90</v>
      </c>
      <c r="Q11" s="650">
        <v>0</v>
      </c>
      <c r="R11" s="650">
        <f t="shared" ref="R11:AD11" si="10">Q11</f>
        <v>0</v>
      </c>
      <c r="S11" s="568">
        <f t="shared" si="10"/>
        <v>0</v>
      </c>
      <c r="T11" s="568">
        <f t="shared" si="10"/>
        <v>0</v>
      </c>
      <c r="U11" s="568">
        <f t="shared" si="10"/>
        <v>0</v>
      </c>
      <c r="V11" s="568">
        <f t="shared" si="10"/>
        <v>0</v>
      </c>
      <c r="W11" s="568">
        <f t="shared" si="10"/>
        <v>0</v>
      </c>
      <c r="X11" s="568">
        <f t="shared" si="10"/>
        <v>0</v>
      </c>
      <c r="Y11" s="568">
        <f t="shared" si="10"/>
        <v>0</v>
      </c>
      <c r="Z11" s="568">
        <f t="shared" si="10"/>
        <v>0</v>
      </c>
      <c r="AA11" s="568">
        <f t="shared" si="10"/>
        <v>0</v>
      </c>
      <c r="AB11" s="568">
        <f t="shared" si="10"/>
        <v>0</v>
      </c>
      <c r="AC11" s="568">
        <f t="shared" si="10"/>
        <v>0</v>
      </c>
      <c r="AD11" s="568">
        <f t="shared" si="10"/>
        <v>0</v>
      </c>
    </row>
    <row r="12" spans="1:33" x14ac:dyDescent="0.25">
      <c r="A12" s="510" t="str">
        <f t="shared" si="4"/>
        <v>Premios</v>
      </c>
      <c r="B12" s="511">
        <f t="shared" si="5"/>
        <v>5.2185873275333632E-2</v>
      </c>
      <c r="D12" s="524" t="str">
        <f>L13</f>
        <v>Ing Reservas</v>
      </c>
      <c r="E12" s="525">
        <f>M13*-1</f>
        <v>-8500000</v>
      </c>
      <c r="F12" s="593">
        <f>E12/E35</f>
        <v>-0.10505204556416192</v>
      </c>
      <c r="G12" s="616" t="s">
        <v>609</v>
      </c>
      <c r="H12" s="617">
        <v>0</v>
      </c>
      <c r="I12" s="591">
        <f t="shared" si="8"/>
        <v>0</v>
      </c>
      <c r="K12" s="673"/>
      <c r="L12" s="566" t="s">
        <v>605</v>
      </c>
      <c r="M12" s="583">
        <f t="shared" si="6"/>
        <v>1190000</v>
      </c>
      <c r="N12" s="650">
        <v>1050000</v>
      </c>
      <c r="O12" s="650">
        <v>0</v>
      </c>
      <c r="P12" s="650">
        <v>0</v>
      </c>
      <c r="Q12" s="650">
        <v>0</v>
      </c>
      <c r="R12" s="650">
        <v>0</v>
      </c>
      <c r="S12" s="568">
        <v>140000</v>
      </c>
      <c r="T12" s="568">
        <v>0</v>
      </c>
      <c r="U12" s="568">
        <v>0</v>
      </c>
      <c r="V12" s="568">
        <v>0</v>
      </c>
      <c r="W12" s="568">
        <v>0</v>
      </c>
      <c r="X12" s="568">
        <v>0</v>
      </c>
      <c r="Y12" s="568">
        <v>0</v>
      </c>
      <c r="Z12" s="568">
        <v>0</v>
      </c>
      <c r="AA12" s="568">
        <v>0</v>
      </c>
      <c r="AB12" s="568">
        <v>0</v>
      </c>
      <c r="AC12" s="568">
        <v>0</v>
      </c>
      <c r="AD12" s="568">
        <v>0</v>
      </c>
    </row>
    <row r="13" spans="1:33" s="582" customFormat="1" ht="18.75" x14ac:dyDescent="0.3">
      <c r="A13" s="510" t="str">
        <f t="shared" si="4"/>
        <v>Ing Reservas</v>
      </c>
      <c r="B13" s="511">
        <f t="shared" si="5"/>
        <v>0.37275623768095451</v>
      </c>
      <c r="C13" s="580"/>
      <c r="D13" s="524" t="str">
        <f>L23</f>
        <v>Pago Reservas</v>
      </c>
      <c r="E13" s="525">
        <f>M23</f>
        <v>0</v>
      </c>
      <c r="F13" s="593">
        <f>E13/E35</f>
        <v>0</v>
      </c>
      <c r="G13" s="547" t="s">
        <v>612</v>
      </c>
      <c r="H13" s="615">
        <f>515850+950+970900</f>
        <v>1487700</v>
      </c>
      <c r="I13" s="518">
        <f t="shared" si="8"/>
        <v>1.838657978656514E-2</v>
      </c>
      <c r="K13" s="674"/>
      <c r="L13" s="566" t="s">
        <v>643</v>
      </c>
      <c r="M13" s="583">
        <f t="shared" si="6"/>
        <v>8500000</v>
      </c>
      <c r="N13" s="650">
        <v>500000</v>
      </c>
      <c r="O13" s="650">
        <f>N13</f>
        <v>500000</v>
      </c>
      <c r="P13" s="650">
        <f t="shared" ref="P13:AD13" si="11">O13</f>
        <v>500000</v>
      </c>
      <c r="Q13" s="650">
        <f t="shared" si="11"/>
        <v>500000</v>
      </c>
      <c r="R13" s="650">
        <f t="shared" si="11"/>
        <v>500000</v>
      </c>
      <c r="S13" s="568">
        <f t="shared" si="11"/>
        <v>500000</v>
      </c>
      <c r="T13" s="568">
        <f t="shared" si="11"/>
        <v>500000</v>
      </c>
      <c r="U13" s="568">
        <f t="shared" si="11"/>
        <v>500000</v>
      </c>
      <c r="V13" s="568">
        <f t="shared" si="11"/>
        <v>500000</v>
      </c>
      <c r="W13" s="568">
        <f t="shared" si="11"/>
        <v>500000</v>
      </c>
      <c r="X13" s="568">
        <f t="shared" si="11"/>
        <v>500000</v>
      </c>
      <c r="Y13" s="568">
        <f t="shared" si="11"/>
        <v>500000</v>
      </c>
      <c r="Z13" s="568">
        <f t="shared" si="11"/>
        <v>500000</v>
      </c>
      <c r="AA13" s="568">
        <f t="shared" si="11"/>
        <v>500000</v>
      </c>
      <c r="AB13" s="568">
        <f t="shared" si="11"/>
        <v>500000</v>
      </c>
      <c r="AC13" s="568">
        <f t="shared" si="11"/>
        <v>500000</v>
      </c>
      <c r="AD13" s="568">
        <f t="shared" si="11"/>
        <v>500000</v>
      </c>
    </row>
    <row r="14" spans="1:33" ht="18.75" x14ac:dyDescent="0.3">
      <c r="A14" s="580"/>
      <c r="B14" s="581">
        <f>SUM(B6:B13)</f>
        <v>1</v>
      </c>
      <c r="D14" s="521"/>
      <c r="E14" s="595"/>
      <c r="G14" s="547" t="s">
        <v>615</v>
      </c>
      <c r="H14" s="615">
        <f>959086-941000-910+1751596-1140-1841100+1184557-1900-1169788</f>
        <v>-60599</v>
      </c>
      <c r="I14" s="518">
        <f t="shared" si="8"/>
        <v>-7.4894693048737043E-4</v>
      </c>
      <c r="K14" s="577" t="s">
        <v>608</v>
      </c>
      <c r="L14" s="578"/>
      <c r="M14" s="584">
        <f t="shared" si="6"/>
        <v>22803106</v>
      </c>
      <c r="N14" s="579">
        <f>SUM(N6:N13)</f>
        <v>6419847</v>
      </c>
      <c r="O14" s="579">
        <f t="shared" ref="O14:AD14" si="12">SUM(O6:O13)</f>
        <v>741744</v>
      </c>
      <c r="P14" s="579">
        <f t="shared" si="12"/>
        <v>878965</v>
      </c>
      <c r="Q14" s="579">
        <f t="shared" si="12"/>
        <v>1514638</v>
      </c>
      <c r="R14" s="579">
        <f t="shared" si="12"/>
        <v>818951</v>
      </c>
      <c r="S14" s="579">
        <f t="shared" si="12"/>
        <v>2543031</v>
      </c>
      <c r="T14" s="579">
        <f t="shared" si="12"/>
        <v>794630</v>
      </c>
      <c r="U14" s="579">
        <f t="shared" si="12"/>
        <v>1093630</v>
      </c>
      <c r="V14" s="579">
        <f t="shared" si="12"/>
        <v>792630</v>
      </c>
      <c r="W14" s="579">
        <f t="shared" si="12"/>
        <v>1091630</v>
      </c>
      <c r="X14" s="579">
        <f t="shared" si="12"/>
        <v>790630</v>
      </c>
      <c r="Y14" s="579">
        <f t="shared" si="12"/>
        <v>1089630</v>
      </c>
      <c r="Z14" s="579">
        <f t="shared" si="12"/>
        <v>788630</v>
      </c>
      <c r="AA14" s="579">
        <f t="shared" si="12"/>
        <v>1087630</v>
      </c>
      <c r="AB14" s="579">
        <f t="shared" si="12"/>
        <v>786630</v>
      </c>
      <c r="AC14" s="579">
        <f t="shared" si="12"/>
        <v>785630</v>
      </c>
      <c r="AD14" s="579">
        <f t="shared" si="12"/>
        <v>784630</v>
      </c>
    </row>
    <row r="15" spans="1:33" ht="18.75" x14ac:dyDescent="0.3">
      <c r="A15" s="692">
        <f>M14</f>
        <v>22803106</v>
      </c>
      <c r="B15" s="692"/>
      <c r="D15" s="512" t="s">
        <v>603</v>
      </c>
      <c r="E15" s="513">
        <f>SUM(E16:E19)</f>
        <v>35166480</v>
      </c>
      <c r="F15" s="592">
        <f>E15/E35</f>
        <v>0.43462478344602223</v>
      </c>
      <c r="G15" s="547" t="s">
        <v>617</v>
      </c>
      <c r="H15" s="615">
        <v>0</v>
      </c>
      <c r="I15" s="518">
        <f t="shared" si="8"/>
        <v>0</v>
      </c>
      <c r="K15" s="573" t="s">
        <v>610</v>
      </c>
      <c r="L15" s="574" t="str">
        <f>K15</f>
        <v>Sueldos</v>
      </c>
      <c r="M15" s="526">
        <f t="shared" si="6"/>
        <v>1389690</v>
      </c>
      <c r="N15" s="651">
        <v>82664</v>
      </c>
      <c r="O15" s="651">
        <v>79866</v>
      </c>
      <c r="P15" s="651">
        <v>85172</v>
      </c>
      <c r="Q15" s="651">
        <v>84882</v>
      </c>
      <c r="R15" s="651">
        <v>85994</v>
      </c>
      <c r="S15" s="571">
        <v>86426</v>
      </c>
      <c r="T15" s="571">
        <f t="shared" ref="T15:AD15" si="13">S15-1000</f>
        <v>85426</v>
      </c>
      <c r="U15" s="571">
        <f t="shared" si="13"/>
        <v>84426</v>
      </c>
      <c r="V15" s="571">
        <f t="shared" si="13"/>
        <v>83426</v>
      </c>
      <c r="W15" s="571">
        <f t="shared" si="13"/>
        <v>82426</v>
      </c>
      <c r="X15" s="571">
        <f t="shared" si="13"/>
        <v>81426</v>
      </c>
      <c r="Y15" s="571">
        <f t="shared" si="13"/>
        <v>80426</v>
      </c>
      <c r="Z15" s="571">
        <f t="shared" si="13"/>
        <v>79426</v>
      </c>
      <c r="AA15" s="571">
        <f t="shared" si="13"/>
        <v>78426</v>
      </c>
      <c r="AB15" s="571">
        <f t="shared" si="13"/>
        <v>77426</v>
      </c>
      <c r="AC15" s="571">
        <f t="shared" si="13"/>
        <v>76426</v>
      </c>
      <c r="AD15" s="571">
        <f t="shared" si="13"/>
        <v>75426</v>
      </c>
    </row>
    <row r="16" spans="1:33" x14ac:dyDescent="0.25">
      <c r="D16" s="524" t="s">
        <v>606</v>
      </c>
      <c r="E16" s="525">
        <v>0</v>
      </c>
      <c r="F16" s="593">
        <f>E16/E35</f>
        <v>0</v>
      </c>
      <c r="G16" s="610" t="s">
        <v>619</v>
      </c>
      <c r="H16" s="604">
        <f>E29-H26</f>
        <v>5192068</v>
      </c>
      <c r="I16" s="518">
        <f t="shared" si="8"/>
        <v>6.4169101659791422E-2</v>
      </c>
      <c r="K16" s="573" t="s">
        <v>613</v>
      </c>
      <c r="L16" s="574" t="str">
        <f>K16</f>
        <v xml:space="preserve">Mantenimiento </v>
      </c>
      <c r="M16" s="526">
        <f t="shared" si="6"/>
        <v>834649</v>
      </c>
      <c r="N16" s="651">
        <v>49097</v>
      </c>
      <c r="O16" s="651">
        <f>N16</f>
        <v>49097</v>
      </c>
      <c r="P16" s="651">
        <f t="shared" ref="P16:AD16" si="14">O16</f>
        <v>49097</v>
      </c>
      <c r="Q16" s="651">
        <f t="shared" si="14"/>
        <v>49097</v>
      </c>
      <c r="R16" s="651">
        <f t="shared" si="14"/>
        <v>49097</v>
      </c>
      <c r="S16" s="571">
        <f t="shared" si="14"/>
        <v>49097</v>
      </c>
      <c r="T16" s="571">
        <f t="shared" si="14"/>
        <v>49097</v>
      </c>
      <c r="U16" s="571">
        <f t="shared" si="14"/>
        <v>49097</v>
      </c>
      <c r="V16" s="571">
        <f t="shared" si="14"/>
        <v>49097</v>
      </c>
      <c r="W16" s="571">
        <f t="shared" si="14"/>
        <v>49097</v>
      </c>
      <c r="X16" s="571">
        <f t="shared" si="14"/>
        <v>49097</v>
      </c>
      <c r="Y16" s="571">
        <f t="shared" si="14"/>
        <v>49097</v>
      </c>
      <c r="Z16" s="571">
        <f t="shared" si="14"/>
        <v>49097</v>
      </c>
      <c r="AA16" s="571">
        <f t="shared" si="14"/>
        <v>49097</v>
      </c>
      <c r="AB16" s="571">
        <f t="shared" si="14"/>
        <v>49097</v>
      </c>
      <c r="AC16" s="571">
        <f t="shared" si="14"/>
        <v>49097</v>
      </c>
      <c r="AD16" s="571">
        <f t="shared" si="14"/>
        <v>49097</v>
      </c>
    </row>
    <row r="17" spans="1:30" ht="15.75" customHeight="1" x14ac:dyDescent="0.25">
      <c r="D17" s="589" t="s">
        <v>603</v>
      </c>
      <c r="E17" s="590">
        <f>11662680+35000</f>
        <v>11697680</v>
      </c>
      <c r="F17" s="594">
        <f>E17/E35</f>
        <v>0.14457237792411595</v>
      </c>
      <c r="G17" s="521"/>
      <c r="H17" s="601"/>
      <c r="I17" s="530"/>
      <c r="K17" s="573" t="s">
        <v>616</v>
      </c>
      <c r="L17" s="574" t="s">
        <v>592</v>
      </c>
      <c r="M17" s="526">
        <f t="shared" si="6"/>
        <v>0</v>
      </c>
      <c r="N17" s="651">
        <v>0</v>
      </c>
      <c r="O17" s="651">
        <v>0</v>
      </c>
      <c r="P17" s="651">
        <v>0</v>
      </c>
      <c r="Q17" s="651">
        <v>0</v>
      </c>
      <c r="R17" s="651">
        <v>0</v>
      </c>
      <c r="S17" s="571">
        <v>0</v>
      </c>
      <c r="T17" s="571">
        <v>0</v>
      </c>
      <c r="U17" s="571">
        <v>0</v>
      </c>
      <c r="V17" s="571">
        <v>0</v>
      </c>
      <c r="W17" s="571">
        <v>0</v>
      </c>
      <c r="X17" s="571">
        <v>0</v>
      </c>
      <c r="Y17" s="571">
        <v>0</v>
      </c>
      <c r="Z17" s="571">
        <v>0</v>
      </c>
      <c r="AA17" s="571">
        <v>0</v>
      </c>
      <c r="AB17" s="571">
        <v>0</v>
      </c>
      <c r="AC17" s="571">
        <v>0</v>
      </c>
      <c r="AD17" s="571">
        <v>0</v>
      </c>
    </row>
    <row r="18" spans="1:30" x14ac:dyDescent="0.25">
      <c r="D18" s="524" t="s">
        <v>611</v>
      </c>
      <c r="E18" s="525">
        <f>3852540+924+1308000+870+4689000+1490+1887000+1044+740000+948+2327000+684</f>
        <v>14809500</v>
      </c>
      <c r="F18" s="593">
        <f>E18/E35</f>
        <v>0.18303156103323012</v>
      </c>
      <c r="G18" s="512" t="s">
        <v>623</v>
      </c>
      <c r="H18" s="605">
        <f>H19</f>
        <v>7110640</v>
      </c>
      <c r="I18" s="514">
        <f>H18/$H$35</f>
        <v>8.7880856149453221E-2</v>
      </c>
      <c r="K18" s="573" t="s">
        <v>618</v>
      </c>
      <c r="L18" s="574" t="str">
        <f>K18</f>
        <v>Empleados</v>
      </c>
      <c r="M18" s="526">
        <f t="shared" si="6"/>
        <v>1109760</v>
      </c>
      <c r="N18" s="651">
        <v>65280</v>
      </c>
      <c r="O18" s="651">
        <f>N18</f>
        <v>65280</v>
      </c>
      <c r="P18" s="651">
        <f t="shared" ref="P18:AD18" si="15">O18</f>
        <v>65280</v>
      </c>
      <c r="Q18" s="651">
        <f t="shared" si="15"/>
        <v>65280</v>
      </c>
      <c r="R18" s="651">
        <f t="shared" si="15"/>
        <v>65280</v>
      </c>
      <c r="S18" s="571">
        <f t="shared" si="15"/>
        <v>65280</v>
      </c>
      <c r="T18" s="571">
        <f t="shared" si="15"/>
        <v>65280</v>
      </c>
      <c r="U18" s="571">
        <f t="shared" si="15"/>
        <v>65280</v>
      </c>
      <c r="V18" s="571">
        <f t="shared" si="15"/>
        <v>65280</v>
      </c>
      <c r="W18" s="571">
        <f t="shared" si="15"/>
        <v>65280</v>
      </c>
      <c r="X18" s="571">
        <f t="shared" si="15"/>
        <v>65280</v>
      </c>
      <c r="Y18" s="571">
        <f t="shared" si="15"/>
        <v>65280</v>
      </c>
      <c r="Z18" s="571">
        <f t="shared" si="15"/>
        <v>65280</v>
      </c>
      <c r="AA18" s="571">
        <f t="shared" si="15"/>
        <v>65280</v>
      </c>
      <c r="AB18" s="571">
        <f t="shared" si="15"/>
        <v>65280</v>
      </c>
      <c r="AC18" s="571">
        <f t="shared" si="15"/>
        <v>65280</v>
      </c>
      <c r="AD18" s="571">
        <f t="shared" si="15"/>
        <v>65280</v>
      </c>
    </row>
    <row r="19" spans="1:30" x14ac:dyDescent="0.25">
      <c r="D19" s="524" t="s">
        <v>614</v>
      </c>
      <c r="E19" s="525">
        <f>1486140+2484+1548000+660+3600000+3132+2017000+1884</f>
        <v>8659300</v>
      </c>
      <c r="F19" s="593">
        <f>E19/E35</f>
        <v>0.10702084448867616</v>
      </c>
      <c r="G19" s="531" t="s">
        <v>622</v>
      </c>
      <c r="H19" s="606">
        <f>M20</f>
        <v>7110640</v>
      </c>
      <c r="I19" s="518">
        <f>H19/$H$35</f>
        <v>8.7880856149453221E-2</v>
      </c>
      <c r="K19" s="573" t="s">
        <v>620</v>
      </c>
      <c r="L19" s="574" t="str">
        <f>K19</f>
        <v>Juveniles</v>
      </c>
      <c r="M19" s="526">
        <f t="shared" si="6"/>
        <v>340000</v>
      </c>
      <c r="N19" s="651">
        <v>20000</v>
      </c>
      <c r="O19" s="651">
        <f>N19</f>
        <v>20000</v>
      </c>
      <c r="P19" s="651">
        <f t="shared" ref="P19:AD19" si="16">O19</f>
        <v>20000</v>
      </c>
      <c r="Q19" s="651">
        <f t="shared" si="16"/>
        <v>20000</v>
      </c>
      <c r="R19" s="651">
        <f t="shared" si="16"/>
        <v>20000</v>
      </c>
      <c r="S19" s="571">
        <f t="shared" si="16"/>
        <v>20000</v>
      </c>
      <c r="T19" s="571">
        <f t="shared" si="16"/>
        <v>20000</v>
      </c>
      <c r="U19" s="571">
        <f t="shared" si="16"/>
        <v>20000</v>
      </c>
      <c r="V19" s="571">
        <f t="shared" si="16"/>
        <v>20000</v>
      </c>
      <c r="W19" s="571">
        <f t="shared" si="16"/>
        <v>20000</v>
      </c>
      <c r="X19" s="571">
        <f t="shared" si="16"/>
        <v>20000</v>
      </c>
      <c r="Y19" s="571">
        <f t="shared" si="16"/>
        <v>20000</v>
      </c>
      <c r="Z19" s="571">
        <f t="shared" si="16"/>
        <v>20000</v>
      </c>
      <c r="AA19" s="571">
        <f t="shared" si="16"/>
        <v>20000</v>
      </c>
      <c r="AB19" s="571">
        <f t="shared" si="16"/>
        <v>20000</v>
      </c>
      <c r="AC19" s="571">
        <f t="shared" si="16"/>
        <v>20000</v>
      </c>
      <c r="AD19" s="571">
        <f t="shared" si="16"/>
        <v>20000</v>
      </c>
    </row>
    <row r="20" spans="1:30" x14ac:dyDescent="0.25">
      <c r="D20" s="521"/>
      <c r="E20" s="595"/>
      <c r="F20" s="598"/>
      <c r="G20" s="527"/>
      <c r="H20" s="607"/>
      <c r="I20" s="532"/>
      <c r="K20" s="573" t="s">
        <v>621</v>
      </c>
      <c r="L20" s="574" t="s">
        <v>622</v>
      </c>
      <c r="M20" s="526">
        <f t="shared" si="6"/>
        <v>7110640</v>
      </c>
      <c r="N20" s="651">
        <f>1486140+2484</f>
        <v>1488624</v>
      </c>
      <c r="O20" s="651">
        <f>3600000+3132+2017000+1884</f>
        <v>5622016</v>
      </c>
      <c r="P20" s="651">
        <v>0</v>
      </c>
      <c r="Q20" s="651">
        <f t="shared" ref="Q20:AD20" si="17">P20</f>
        <v>0</v>
      </c>
      <c r="R20" s="651">
        <f t="shared" si="17"/>
        <v>0</v>
      </c>
      <c r="S20" s="571">
        <f t="shared" si="17"/>
        <v>0</v>
      </c>
      <c r="T20" s="571">
        <f t="shared" si="17"/>
        <v>0</v>
      </c>
      <c r="U20" s="571">
        <f t="shared" si="17"/>
        <v>0</v>
      </c>
      <c r="V20" s="571">
        <f t="shared" si="17"/>
        <v>0</v>
      </c>
      <c r="W20" s="571">
        <f t="shared" si="17"/>
        <v>0</v>
      </c>
      <c r="X20" s="571">
        <f t="shared" si="17"/>
        <v>0</v>
      </c>
      <c r="Y20" s="571">
        <f t="shared" si="17"/>
        <v>0</v>
      </c>
      <c r="Z20" s="571">
        <f t="shared" si="17"/>
        <v>0</v>
      </c>
      <c r="AA20" s="571">
        <f t="shared" si="17"/>
        <v>0</v>
      </c>
      <c r="AB20" s="571">
        <f t="shared" si="17"/>
        <v>0</v>
      </c>
      <c r="AC20" s="571">
        <f t="shared" si="17"/>
        <v>0</v>
      </c>
      <c r="AD20" s="571">
        <f t="shared" si="17"/>
        <v>0</v>
      </c>
    </row>
    <row r="21" spans="1:30" x14ac:dyDescent="0.25">
      <c r="D21" s="512" t="s">
        <v>595</v>
      </c>
      <c r="E21" s="529">
        <f>E22</f>
        <v>5382939</v>
      </c>
      <c r="F21" s="592">
        <f>E21/E35</f>
        <v>6.6528088599659321E-2</v>
      </c>
      <c r="G21" s="527"/>
      <c r="H21" s="607"/>
      <c r="I21" s="532"/>
      <c r="K21" s="675" t="s">
        <v>601</v>
      </c>
      <c r="L21" s="574" t="s">
        <v>596</v>
      </c>
      <c r="M21" s="526">
        <f t="shared" si="6"/>
        <v>0</v>
      </c>
      <c r="N21" s="651">
        <v>0</v>
      </c>
      <c r="O21" s="651">
        <f>N21</f>
        <v>0</v>
      </c>
      <c r="P21" s="651">
        <f t="shared" ref="P21:AD21" si="18">O21</f>
        <v>0</v>
      </c>
      <c r="Q21" s="651">
        <f t="shared" si="18"/>
        <v>0</v>
      </c>
      <c r="R21" s="651">
        <f t="shared" si="18"/>
        <v>0</v>
      </c>
      <c r="S21" s="571">
        <f t="shared" si="18"/>
        <v>0</v>
      </c>
      <c r="T21" s="571">
        <f t="shared" si="18"/>
        <v>0</v>
      </c>
      <c r="U21" s="571">
        <f t="shared" si="18"/>
        <v>0</v>
      </c>
      <c r="V21" s="571">
        <f t="shared" si="18"/>
        <v>0</v>
      </c>
      <c r="W21" s="571">
        <f t="shared" si="18"/>
        <v>0</v>
      </c>
      <c r="X21" s="571">
        <f t="shared" si="18"/>
        <v>0</v>
      </c>
      <c r="Y21" s="571">
        <f t="shared" si="18"/>
        <v>0</v>
      </c>
      <c r="Z21" s="571">
        <f t="shared" si="18"/>
        <v>0</v>
      </c>
      <c r="AA21" s="571">
        <f t="shared" si="18"/>
        <v>0</v>
      </c>
      <c r="AB21" s="571">
        <f t="shared" si="18"/>
        <v>0</v>
      </c>
      <c r="AC21" s="571">
        <f t="shared" si="18"/>
        <v>0</v>
      </c>
      <c r="AD21" s="571">
        <f t="shared" si="18"/>
        <v>0</v>
      </c>
    </row>
    <row r="22" spans="1:30" x14ac:dyDescent="0.25">
      <c r="D22" s="524" t="s">
        <v>595</v>
      </c>
      <c r="E22" s="525">
        <f>M8+M9</f>
        <v>5382939</v>
      </c>
      <c r="F22" s="593">
        <f>E22/E35</f>
        <v>6.6528088599659321E-2</v>
      </c>
      <c r="G22" s="512" t="s">
        <v>627</v>
      </c>
      <c r="H22" s="602">
        <f>SUM(H23:H24)</f>
        <v>0</v>
      </c>
      <c r="I22" s="514">
        <f>H22/$H$35</f>
        <v>0</v>
      </c>
      <c r="K22" s="676"/>
      <c r="L22" s="574" t="s">
        <v>624</v>
      </c>
      <c r="M22" s="526">
        <f t="shared" si="6"/>
        <v>54000</v>
      </c>
      <c r="N22" s="651">
        <v>12000</v>
      </c>
      <c r="O22" s="651">
        <v>3000</v>
      </c>
      <c r="P22" s="651">
        <v>0</v>
      </c>
      <c r="Q22" s="651">
        <v>0</v>
      </c>
      <c r="R22" s="651">
        <v>3000</v>
      </c>
      <c r="S22" s="571">
        <f t="shared" ref="S22:AD22" si="19">R22</f>
        <v>3000</v>
      </c>
      <c r="T22" s="571">
        <f t="shared" si="19"/>
        <v>3000</v>
      </c>
      <c r="U22" s="571">
        <f t="shared" si="19"/>
        <v>3000</v>
      </c>
      <c r="V22" s="571">
        <f t="shared" si="19"/>
        <v>3000</v>
      </c>
      <c r="W22" s="571">
        <f t="shared" si="19"/>
        <v>3000</v>
      </c>
      <c r="X22" s="571">
        <f t="shared" si="19"/>
        <v>3000</v>
      </c>
      <c r="Y22" s="571">
        <f t="shared" si="19"/>
        <v>3000</v>
      </c>
      <c r="Z22" s="571">
        <f t="shared" si="19"/>
        <v>3000</v>
      </c>
      <c r="AA22" s="571">
        <f t="shared" si="19"/>
        <v>3000</v>
      </c>
      <c r="AB22" s="571">
        <f t="shared" si="19"/>
        <v>3000</v>
      </c>
      <c r="AC22" s="571">
        <f t="shared" si="19"/>
        <v>3000</v>
      </c>
      <c r="AD22" s="571">
        <f t="shared" si="19"/>
        <v>3000</v>
      </c>
    </row>
    <row r="23" spans="1:30" ht="18.75" x14ac:dyDescent="0.3">
      <c r="C23" s="534"/>
      <c r="D23" s="521"/>
      <c r="E23" s="595"/>
      <c r="F23" s="598"/>
      <c r="G23" s="531" t="s">
        <v>592</v>
      </c>
      <c r="H23" s="608">
        <f>M17</f>
        <v>0</v>
      </c>
      <c r="I23" s="518">
        <f>H23/$H$35</f>
        <v>0</v>
      </c>
      <c r="K23" s="677"/>
      <c r="L23" s="574" t="s">
        <v>641</v>
      </c>
      <c r="M23" s="526">
        <f t="shared" si="6"/>
        <v>0</v>
      </c>
      <c r="N23" s="651">
        <v>0</v>
      </c>
      <c r="O23" s="651">
        <f>N23</f>
        <v>0</v>
      </c>
      <c r="P23" s="651">
        <f t="shared" ref="P23:AD24" si="20">O23</f>
        <v>0</v>
      </c>
      <c r="Q23" s="651">
        <f t="shared" si="20"/>
        <v>0</v>
      </c>
      <c r="R23" s="651">
        <f t="shared" si="20"/>
        <v>0</v>
      </c>
      <c r="S23" s="571">
        <f t="shared" si="20"/>
        <v>0</v>
      </c>
      <c r="T23" s="571">
        <f t="shared" si="20"/>
        <v>0</v>
      </c>
      <c r="U23" s="571">
        <f t="shared" si="20"/>
        <v>0</v>
      </c>
      <c r="V23" s="571">
        <f t="shared" si="20"/>
        <v>0</v>
      </c>
      <c r="W23" s="571">
        <f t="shared" si="20"/>
        <v>0</v>
      </c>
      <c r="X23" s="571">
        <f t="shared" si="20"/>
        <v>0</v>
      </c>
      <c r="Y23" s="571">
        <f t="shared" si="20"/>
        <v>0</v>
      </c>
      <c r="Z23" s="571">
        <f t="shared" si="20"/>
        <v>0</v>
      </c>
      <c r="AA23" s="571">
        <f t="shared" si="20"/>
        <v>0</v>
      </c>
      <c r="AB23" s="571">
        <f t="shared" si="20"/>
        <v>0</v>
      </c>
      <c r="AC23" s="571">
        <f t="shared" si="20"/>
        <v>0</v>
      </c>
      <c r="AD23" s="571">
        <f t="shared" si="20"/>
        <v>0</v>
      </c>
    </row>
    <row r="24" spans="1:30" ht="18.75" x14ac:dyDescent="0.3">
      <c r="A24" s="535" t="str">
        <f t="shared" ref="A24:A31" si="21">L15</f>
        <v>Sueldos</v>
      </c>
      <c r="B24" s="536">
        <f t="shared" ref="B24:B31" si="22">M15/$M$25</f>
        <v>0.12821509956093602</v>
      </c>
      <c r="C24" s="507"/>
      <c r="D24" s="512" t="s">
        <v>646</v>
      </c>
      <c r="E24" s="513">
        <f>E25+E26-E27</f>
        <v>20651249</v>
      </c>
      <c r="F24" s="592">
        <f>E24/E35</f>
        <v>0.25523011187115924</v>
      </c>
      <c r="G24" s="531" t="s">
        <v>596</v>
      </c>
      <c r="H24" s="608">
        <f>M21</f>
        <v>0</v>
      </c>
      <c r="I24" s="518">
        <f>H24/$H$35</f>
        <v>0</v>
      </c>
      <c r="K24" s="573" t="s">
        <v>625</v>
      </c>
      <c r="L24" s="574" t="str">
        <f>K24</f>
        <v>Intereses</v>
      </c>
      <c r="M24" s="526">
        <f t="shared" si="6"/>
        <v>0</v>
      </c>
      <c r="N24" s="651">
        <v>0</v>
      </c>
      <c r="O24" s="651">
        <f t="shared" ref="O24" si="23">N24</f>
        <v>0</v>
      </c>
      <c r="P24" s="651">
        <f t="shared" si="20"/>
        <v>0</v>
      </c>
      <c r="Q24" s="651">
        <f t="shared" si="20"/>
        <v>0</v>
      </c>
      <c r="R24" s="651">
        <f t="shared" si="20"/>
        <v>0</v>
      </c>
      <c r="S24" s="571">
        <f t="shared" si="20"/>
        <v>0</v>
      </c>
      <c r="T24" s="571">
        <f t="shared" si="20"/>
        <v>0</v>
      </c>
      <c r="U24" s="571">
        <f t="shared" si="20"/>
        <v>0</v>
      </c>
      <c r="V24" s="571">
        <f t="shared" si="20"/>
        <v>0</v>
      </c>
      <c r="W24" s="571">
        <f t="shared" si="20"/>
        <v>0</v>
      </c>
      <c r="X24" s="571">
        <f t="shared" si="20"/>
        <v>0</v>
      </c>
      <c r="Y24" s="571">
        <f t="shared" si="20"/>
        <v>0</v>
      </c>
      <c r="Z24" s="571">
        <f t="shared" si="20"/>
        <v>0</v>
      </c>
      <c r="AA24" s="571">
        <f t="shared" si="20"/>
        <v>0</v>
      </c>
      <c r="AB24" s="571">
        <f t="shared" si="20"/>
        <v>0</v>
      </c>
      <c r="AC24" s="571">
        <f t="shared" si="20"/>
        <v>0</v>
      </c>
      <c r="AD24" s="571">
        <f t="shared" si="20"/>
        <v>0</v>
      </c>
    </row>
    <row r="25" spans="1:30" ht="18.75" x14ac:dyDescent="0.3">
      <c r="A25" s="535" t="str">
        <f t="shared" si="21"/>
        <v xml:space="preserve">Mantenimiento </v>
      </c>
      <c r="B25" s="536">
        <f t="shared" si="22"/>
        <v>7.7006098218621186E-2</v>
      </c>
      <c r="C25" s="494"/>
      <c r="D25" s="547" t="s">
        <v>648</v>
      </c>
      <c r="E25" s="548">
        <f>N5</f>
        <v>12151249</v>
      </c>
      <c r="F25" s="593">
        <f>E25/E35</f>
        <v>0.15017806630699729</v>
      </c>
      <c r="G25" s="541"/>
      <c r="H25" s="609"/>
      <c r="I25" s="542"/>
      <c r="K25" s="575" t="s">
        <v>626</v>
      </c>
      <c r="L25" s="576"/>
      <c r="M25" s="533">
        <f t="shared" si="6"/>
        <v>10838739</v>
      </c>
      <c r="N25" s="572">
        <f>SUM(N15:N24)</f>
        <v>1717665</v>
      </c>
      <c r="O25" s="572">
        <f t="shared" ref="O25:AD25" si="24">SUM(O15:O24)</f>
        <v>5839259</v>
      </c>
      <c r="P25" s="572">
        <f t="shared" si="24"/>
        <v>219549</v>
      </c>
      <c r="Q25" s="572">
        <f t="shared" si="24"/>
        <v>219259</v>
      </c>
      <c r="R25" s="572">
        <f t="shared" si="24"/>
        <v>223371</v>
      </c>
      <c r="S25" s="572">
        <f t="shared" si="24"/>
        <v>223803</v>
      </c>
      <c r="T25" s="572">
        <f t="shared" si="24"/>
        <v>222803</v>
      </c>
      <c r="U25" s="572">
        <f t="shared" si="24"/>
        <v>221803</v>
      </c>
      <c r="V25" s="572">
        <f t="shared" si="24"/>
        <v>220803</v>
      </c>
      <c r="W25" s="572">
        <f t="shared" si="24"/>
        <v>219803</v>
      </c>
      <c r="X25" s="572">
        <f t="shared" si="24"/>
        <v>218803</v>
      </c>
      <c r="Y25" s="572">
        <f t="shared" si="24"/>
        <v>217803</v>
      </c>
      <c r="Z25" s="572">
        <f t="shared" si="24"/>
        <v>216803</v>
      </c>
      <c r="AA25" s="572">
        <f t="shared" si="24"/>
        <v>215803</v>
      </c>
      <c r="AB25" s="572">
        <f t="shared" si="24"/>
        <v>214803</v>
      </c>
      <c r="AC25" s="572">
        <f t="shared" si="24"/>
        <v>213803</v>
      </c>
      <c r="AD25" s="572">
        <f t="shared" si="24"/>
        <v>212803</v>
      </c>
    </row>
    <row r="26" spans="1:30" ht="18.75" x14ac:dyDescent="0.3">
      <c r="A26" s="535" t="str">
        <f t="shared" si="21"/>
        <v>Estadio</v>
      </c>
      <c r="B26" s="536">
        <f t="shared" si="22"/>
        <v>0</v>
      </c>
      <c r="C26" s="502"/>
      <c r="D26" s="547" t="str">
        <f>D12</f>
        <v>Ing Reservas</v>
      </c>
      <c r="E26" s="548">
        <f>M13</f>
        <v>8500000</v>
      </c>
      <c r="F26" s="593">
        <f>E26/E35</f>
        <v>0.10505204556416192</v>
      </c>
      <c r="G26" s="512" t="s">
        <v>630</v>
      </c>
      <c r="H26" s="602">
        <f>SUM(H27:H32)</f>
        <v>3728099</v>
      </c>
      <c r="I26" s="514">
        <f t="shared" ref="I26:I32" si="25">H26/$H$35</f>
        <v>4.6075814825377238E-2</v>
      </c>
      <c r="K26" s="537" t="s">
        <v>628</v>
      </c>
      <c r="L26" s="537"/>
      <c r="M26" s="506">
        <f t="shared" ref="M26:AD26" si="26">M5+M14-M25</f>
        <v>24115616</v>
      </c>
      <c r="N26" s="506">
        <f t="shared" si="26"/>
        <v>16853431</v>
      </c>
      <c r="O26" s="506">
        <f t="shared" si="26"/>
        <v>11755916</v>
      </c>
      <c r="P26" s="506">
        <f t="shared" si="26"/>
        <v>12415332</v>
      </c>
      <c r="Q26" s="506">
        <f t="shared" si="26"/>
        <v>13710711</v>
      </c>
      <c r="R26" s="506">
        <f t="shared" si="26"/>
        <v>14306291</v>
      </c>
      <c r="S26" s="506">
        <f t="shared" si="26"/>
        <v>16625519</v>
      </c>
      <c r="T26" s="506">
        <f t="shared" si="26"/>
        <v>17197346</v>
      </c>
      <c r="U26" s="506">
        <f t="shared" si="26"/>
        <v>18069173</v>
      </c>
      <c r="V26" s="506">
        <f t="shared" si="26"/>
        <v>18641000</v>
      </c>
      <c r="W26" s="506">
        <f t="shared" si="26"/>
        <v>19512827</v>
      </c>
      <c r="X26" s="506">
        <f t="shared" si="26"/>
        <v>20084654</v>
      </c>
      <c r="Y26" s="506">
        <f t="shared" si="26"/>
        <v>20956481</v>
      </c>
      <c r="Z26" s="506">
        <f t="shared" si="26"/>
        <v>21528308</v>
      </c>
      <c r="AA26" s="506">
        <f t="shared" si="26"/>
        <v>22400135</v>
      </c>
      <c r="AB26" s="506">
        <f t="shared" si="26"/>
        <v>22971962</v>
      </c>
      <c r="AC26" s="506">
        <f t="shared" si="26"/>
        <v>23543789</v>
      </c>
      <c r="AD26" s="506">
        <f t="shared" si="26"/>
        <v>24115616</v>
      </c>
    </row>
    <row r="27" spans="1:30" x14ac:dyDescent="0.25">
      <c r="A27" s="535" t="str">
        <f t="shared" si="21"/>
        <v>Empleados</v>
      </c>
      <c r="B27" s="536">
        <f t="shared" si="22"/>
        <v>0.10238829443166775</v>
      </c>
      <c r="C27" s="499"/>
      <c r="D27" s="547" t="str">
        <f>D13</f>
        <v>Pago Reservas</v>
      </c>
      <c r="E27" s="548">
        <f>M23*-1</f>
        <v>0</v>
      </c>
      <c r="F27" s="593">
        <f>E27/E35</f>
        <v>0</v>
      </c>
      <c r="G27" s="531" t="s">
        <v>632</v>
      </c>
      <c r="H27" s="608">
        <f>M15</f>
        <v>1389690</v>
      </c>
      <c r="I27" s="518">
        <f t="shared" si="25"/>
        <v>1.7175267905889434E-2</v>
      </c>
      <c r="K27" s="538"/>
      <c r="L27" s="538"/>
      <c r="M27" s="538"/>
      <c r="N27" s="539">
        <f>N1+7</f>
        <v>43644</v>
      </c>
      <c r="O27" s="539">
        <f t="shared" ref="O27:AD27" si="27">N27+7</f>
        <v>43651</v>
      </c>
      <c r="P27" s="539">
        <f t="shared" si="27"/>
        <v>43658</v>
      </c>
      <c r="Q27" s="539">
        <f t="shared" si="27"/>
        <v>43665</v>
      </c>
      <c r="R27" s="539">
        <f t="shared" si="27"/>
        <v>43672</v>
      </c>
      <c r="S27" s="539">
        <f t="shared" si="27"/>
        <v>43679</v>
      </c>
      <c r="T27" s="539">
        <f t="shared" si="27"/>
        <v>43686</v>
      </c>
      <c r="U27" s="539">
        <f t="shared" si="27"/>
        <v>43693</v>
      </c>
      <c r="V27" s="539">
        <f t="shared" si="27"/>
        <v>43700</v>
      </c>
      <c r="W27" s="539">
        <f t="shared" si="27"/>
        <v>43707</v>
      </c>
      <c r="X27" s="539">
        <f t="shared" si="27"/>
        <v>43714</v>
      </c>
      <c r="Y27" s="539">
        <f t="shared" si="27"/>
        <v>43721</v>
      </c>
      <c r="Z27" s="539">
        <f t="shared" si="27"/>
        <v>43728</v>
      </c>
      <c r="AA27" s="539">
        <f t="shared" si="27"/>
        <v>43735</v>
      </c>
      <c r="AB27" s="539">
        <f t="shared" si="27"/>
        <v>43742</v>
      </c>
      <c r="AC27" s="539">
        <f t="shared" si="27"/>
        <v>43749</v>
      </c>
      <c r="AD27" s="539">
        <f t="shared" si="27"/>
        <v>43756</v>
      </c>
    </row>
    <row r="28" spans="1:30" x14ac:dyDescent="0.25">
      <c r="A28" s="535" t="str">
        <f t="shared" si="21"/>
        <v>Juveniles</v>
      </c>
      <c r="B28" s="536">
        <f t="shared" si="22"/>
        <v>3.1368962754800167E-2</v>
      </c>
      <c r="C28" s="502"/>
      <c r="D28" s="527"/>
      <c r="E28" s="528"/>
      <c r="F28" s="593"/>
      <c r="G28" s="531" t="s">
        <v>613</v>
      </c>
      <c r="H28" s="608">
        <f>M16</f>
        <v>834649</v>
      </c>
      <c r="I28" s="518">
        <f t="shared" si="25"/>
        <v>1.0315480562127317E-2</v>
      </c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</row>
    <row r="29" spans="1:30" x14ac:dyDescent="0.25">
      <c r="A29" s="535" t="str">
        <f t="shared" si="21"/>
        <v>Compra</v>
      </c>
      <c r="B29" s="536">
        <f t="shared" si="22"/>
        <v>0.65603941565527135</v>
      </c>
      <c r="D29" s="512" t="s">
        <v>629</v>
      </c>
      <c r="E29" s="513">
        <f>SUM(E30:E34)</f>
        <v>8920167</v>
      </c>
      <c r="F29" s="592">
        <f>E29/E35</f>
        <v>0.11024491648516865</v>
      </c>
      <c r="G29" s="531" t="s">
        <v>618</v>
      </c>
      <c r="H29" s="608">
        <f>M18</f>
        <v>1109760</v>
      </c>
      <c r="I29" s="518">
        <f t="shared" si="25"/>
        <v>1.3715595068856981E-2</v>
      </c>
      <c r="K29" s="543"/>
      <c r="L29" s="543"/>
      <c r="M29" s="544" t="s">
        <v>603</v>
      </c>
      <c r="N29" s="545"/>
      <c r="O29" s="545">
        <v>22</v>
      </c>
      <c r="P29" s="545">
        <v>25</v>
      </c>
      <c r="Q29" s="545">
        <v>24</v>
      </c>
      <c r="R29" s="545">
        <v>25</v>
      </c>
      <c r="S29" s="545">
        <v>24</v>
      </c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</row>
    <row r="30" spans="1:30" x14ac:dyDescent="0.25">
      <c r="A30" s="535" t="str">
        <f t="shared" si="21"/>
        <v>Entrenador</v>
      </c>
      <c r="B30" s="536">
        <f t="shared" si="22"/>
        <v>0</v>
      </c>
      <c r="D30" s="547" t="s">
        <v>584</v>
      </c>
      <c r="E30" s="548">
        <f>M11</f>
        <v>100620</v>
      </c>
      <c r="F30" s="593">
        <f>E30/E35</f>
        <v>1.2435690381959969E-3</v>
      </c>
      <c r="G30" s="531" t="s">
        <v>620</v>
      </c>
      <c r="H30" s="608">
        <f>M19</f>
        <v>340000</v>
      </c>
      <c r="I30" s="518">
        <f t="shared" si="25"/>
        <v>4.2020818225664775E-3</v>
      </c>
      <c r="K30" s="491"/>
      <c r="L30" s="678" t="s">
        <v>631</v>
      </c>
      <c r="M30" s="546" t="s">
        <v>73</v>
      </c>
      <c r="N30" s="545"/>
      <c r="O30" s="545">
        <v>345970</v>
      </c>
      <c r="P30" s="545">
        <v>414040</v>
      </c>
      <c r="Q30" s="545">
        <v>409350</v>
      </c>
      <c r="R30" s="545">
        <v>405290</v>
      </c>
      <c r="S30" s="545">
        <v>401840</v>
      </c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</row>
    <row r="31" spans="1:30" x14ac:dyDescent="0.25">
      <c r="A31" s="535" t="str">
        <f t="shared" si="21"/>
        <v>Viajes+Venta</v>
      </c>
      <c r="B31" s="536">
        <f t="shared" si="22"/>
        <v>4.9821293787035556E-3</v>
      </c>
      <c r="D31" s="547" t="s">
        <v>605</v>
      </c>
      <c r="E31" s="548">
        <f>M12</f>
        <v>1190000</v>
      </c>
      <c r="F31" s="593">
        <f>E31/E35</f>
        <v>1.470728637898267E-2</v>
      </c>
      <c r="G31" s="531" t="s">
        <v>624</v>
      </c>
      <c r="H31" s="608">
        <f>M22</f>
        <v>54000</v>
      </c>
      <c r="I31" s="518">
        <f t="shared" si="25"/>
        <v>6.6738946593702876E-4</v>
      </c>
      <c r="K31" s="491"/>
      <c r="L31" s="678"/>
      <c r="M31" s="546" t="s">
        <v>65</v>
      </c>
      <c r="N31" s="545"/>
      <c r="O31" s="545">
        <v>79566</v>
      </c>
      <c r="P31" s="545">
        <v>84872</v>
      </c>
      <c r="Q31" s="545">
        <v>85038</v>
      </c>
      <c r="R31" s="545">
        <v>86476</v>
      </c>
      <c r="S31" s="545">
        <v>86476</v>
      </c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</row>
    <row r="32" spans="1:30" x14ac:dyDescent="0.25">
      <c r="A32" s="535" t="str">
        <f>L24</f>
        <v>Intereses</v>
      </c>
      <c r="B32" s="536">
        <f>M24/$M$25</f>
        <v>0</v>
      </c>
      <c r="D32" s="547" t="s">
        <v>588</v>
      </c>
      <c r="E32" s="548">
        <f>M6</f>
        <v>3122989</v>
      </c>
      <c r="F32" s="593">
        <f>E32/E35</f>
        <v>3.8597221496985468E-2</v>
      </c>
      <c r="G32" s="531" t="s">
        <v>625</v>
      </c>
      <c r="H32" s="608">
        <f>M24</f>
        <v>0</v>
      </c>
      <c r="I32" s="518">
        <f t="shared" si="25"/>
        <v>0</v>
      </c>
      <c r="K32" s="491"/>
      <c r="L32" s="678"/>
      <c r="M32" s="546" t="s">
        <v>633</v>
      </c>
      <c r="N32" s="545"/>
      <c r="O32" s="545">
        <v>280250</v>
      </c>
      <c r="P32" s="545">
        <v>325260</v>
      </c>
      <c r="Q32" s="545">
        <v>321450</v>
      </c>
      <c r="R32" s="545">
        <v>315120</v>
      </c>
      <c r="S32" s="545">
        <v>307290</v>
      </c>
      <c r="T32" s="545"/>
      <c r="U32" s="545"/>
      <c r="V32" s="545"/>
      <c r="W32" s="545"/>
      <c r="X32" s="545"/>
      <c r="Y32" s="545"/>
      <c r="Z32" s="545"/>
      <c r="AA32" s="545"/>
      <c r="AB32" s="545"/>
      <c r="AC32" s="545"/>
      <c r="AD32" s="545"/>
    </row>
    <row r="33" spans="1:30" ht="18.75" x14ac:dyDescent="0.3">
      <c r="A33" s="502"/>
      <c r="B33" s="550">
        <f>SUM(B24:B32)</f>
        <v>1</v>
      </c>
      <c r="D33" s="547" t="s">
        <v>591</v>
      </c>
      <c r="E33" s="548">
        <f>M7</f>
        <v>4283434</v>
      </c>
      <c r="F33" s="593">
        <f>E33/E35</f>
        <v>5.2939235734009459E-2</v>
      </c>
      <c r="G33" s="527"/>
      <c r="H33" s="607"/>
      <c r="I33" s="532"/>
      <c r="K33" s="491"/>
      <c r="L33" s="678"/>
      <c r="M33" s="546" t="s">
        <v>634</v>
      </c>
      <c r="N33" s="545"/>
      <c r="O33" s="545">
        <v>65410</v>
      </c>
      <c r="P33" s="545">
        <v>60046</v>
      </c>
      <c r="Q33" s="545">
        <v>58040</v>
      </c>
      <c r="R33" s="545">
        <v>59634</v>
      </c>
      <c r="S33" s="545">
        <v>58794</v>
      </c>
      <c r="T33" s="545"/>
      <c r="U33" s="545"/>
      <c r="V33" s="545"/>
      <c r="W33" s="545"/>
      <c r="X33" s="545"/>
      <c r="Y33" s="545"/>
      <c r="Z33" s="545"/>
      <c r="AA33" s="545"/>
      <c r="AB33" s="545"/>
      <c r="AC33" s="545"/>
      <c r="AD33" s="545"/>
    </row>
    <row r="34" spans="1:30" ht="18.75" x14ac:dyDescent="0.3">
      <c r="A34" s="499"/>
      <c r="B34" s="552"/>
      <c r="D34" s="596" t="s">
        <v>600</v>
      </c>
      <c r="E34" s="597">
        <f>M10</f>
        <v>223124</v>
      </c>
      <c r="F34" s="593">
        <f>E34/E35</f>
        <v>2.7576038369950665E-3</v>
      </c>
      <c r="G34" s="613"/>
      <c r="H34" s="614"/>
      <c r="I34" s="612"/>
      <c r="K34" s="491"/>
      <c r="L34" s="678"/>
      <c r="M34" s="546" t="s">
        <v>635</v>
      </c>
      <c r="N34" s="549"/>
      <c r="O34" s="549" t="s">
        <v>644</v>
      </c>
      <c r="P34" s="549" t="s">
        <v>651</v>
      </c>
      <c r="Q34" s="549" t="s">
        <v>655</v>
      </c>
      <c r="R34" s="549" t="s">
        <v>658</v>
      </c>
      <c r="S34" s="549" t="s">
        <v>668</v>
      </c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</row>
    <row r="35" spans="1:30" ht="18.75" x14ac:dyDescent="0.3">
      <c r="A35" s="679">
        <f>M25</f>
        <v>10838739</v>
      </c>
      <c r="B35" s="679"/>
      <c r="D35" s="599" t="s">
        <v>27</v>
      </c>
      <c r="E35" s="600">
        <f>E29+E21+E15+E5+E10+E24</f>
        <v>80912275</v>
      </c>
      <c r="F35" s="553">
        <f>F29+F21+F15+F5+F10+F24</f>
        <v>1</v>
      </c>
      <c r="G35" s="599" t="s">
        <v>27</v>
      </c>
      <c r="H35" s="600">
        <f>H26+H18+H10+H5+H22</f>
        <v>80912275</v>
      </c>
      <c r="I35" s="611">
        <f>H35/$H$35</f>
        <v>1</v>
      </c>
      <c r="K35" s="491"/>
      <c r="L35" s="678"/>
      <c r="M35" s="546" t="s">
        <v>636</v>
      </c>
      <c r="N35" s="551"/>
      <c r="O35" s="551">
        <v>5.5</v>
      </c>
      <c r="P35" s="551">
        <v>5.75</v>
      </c>
      <c r="Q35" s="551">
        <v>5.5</v>
      </c>
      <c r="R35" s="551">
        <v>5.5</v>
      </c>
      <c r="S35" s="551">
        <v>5.25</v>
      </c>
      <c r="T35" s="551"/>
      <c r="U35" s="551"/>
      <c r="V35" s="551"/>
      <c r="W35" s="551"/>
      <c r="X35" s="551"/>
      <c r="Y35" s="551"/>
      <c r="Z35" s="551"/>
      <c r="AA35" s="551"/>
      <c r="AB35" s="551"/>
      <c r="AC35" s="551"/>
      <c r="AD35" s="551"/>
    </row>
    <row r="36" spans="1:30" x14ac:dyDescent="0.25">
      <c r="E36" s="493"/>
      <c r="F36" s="554"/>
      <c r="G36" s="555"/>
      <c r="H36" s="556">
        <f>E35-H35</f>
        <v>0</v>
      </c>
      <c r="I36" s="493"/>
      <c r="K36" s="502"/>
      <c r="L36" s="678"/>
      <c r="M36" s="546" t="s">
        <v>637</v>
      </c>
      <c r="N36" s="551"/>
      <c r="O36" s="551">
        <v>5.5</v>
      </c>
      <c r="P36" s="551">
        <v>6</v>
      </c>
      <c r="Q36" s="551">
        <v>6.25</v>
      </c>
      <c r="R36" s="551">
        <v>6</v>
      </c>
      <c r="S36" s="551">
        <v>5.75</v>
      </c>
      <c r="T36" s="551"/>
      <c r="U36" s="551"/>
      <c r="V36" s="551"/>
      <c r="W36" s="551"/>
      <c r="X36" s="551"/>
      <c r="Y36" s="551"/>
      <c r="Z36" s="551"/>
      <c r="AA36" s="551"/>
      <c r="AB36" s="551"/>
      <c r="AC36" s="551"/>
      <c r="AD36" s="551"/>
    </row>
    <row r="37" spans="1:30" x14ac:dyDescent="0.25">
      <c r="E37" s="493"/>
      <c r="F37" s="493"/>
      <c r="H37" s="493"/>
      <c r="I37" s="493"/>
      <c r="K37" s="502"/>
      <c r="L37" s="678"/>
      <c r="M37" s="546" t="s">
        <v>638</v>
      </c>
      <c r="N37" s="551"/>
      <c r="O37" s="551">
        <v>11.75</v>
      </c>
      <c r="P37" s="551">
        <v>10.75</v>
      </c>
      <c r="Q37" s="551">
        <v>9.5</v>
      </c>
      <c r="R37" s="551">
        <v>9.75</v>
      </c>
      <c r="S37" s="551">
        <v>9.25</v>
      </c>
      <c r="T37" s="551"/>
      <c r="U37" s="551"/>
      <c r="V37" s="551"/>
      <c r="W37" s="551"/>
      <c r="X37" s="551"/>
      <c r="Y37" s="551"/>
      <c r="Z37" s="551"/>
      <c r="AA37" s="551"/>
      <c r="AB37" s="551"/>
      <c r="AC37" s="551"/>
      <c r="AD37" s="551"/>
    </row>
    <row r="38" spans="1:30" ht="15.75" x14ac:dyDescent="0.25">
      <c r="D38" s="559"/>
      <c r="E38" s="560"/>
      <c r="F38" s="493"/>
      <c r="G38" s="2"/>
      <c r="H38" s="561"/>
      <c r="I38" s="561"/>
      <c r="K38" s="502"/>
      <c r="L38" s="502"/>
      <c r="M38" s="557" t="s">
        <v>639</v>
      </c>
      <c r="N38" s="558"/>
      <c r="O38" s="558">
        <f t="shared" ref="O38:AD38" si="28">O30/O31</f>
        <v>4.3482140612824569</v>
      </c>
      <c r="P38" s="558">
        <f t="shared" si="28"/>
        <v>4.8784051277217459</v>
      </c>
      <c r="Q38" s="558">
        <f t="shared" si="28"/>
        <v>4.8137303323220211</v>
      </c>
      <c r="R38" s="558">
        <f t="shared" si="28"/>
        <v>4.6867338914843426</v>
      </c>
      <c r="S38" s="558">
        <f t="shared" si="28"/>
        <v>4.6468384291595353</v>
      </c>
      <c r="T38" s="558" t="e">
        <f t="shared" si="28"/>
        <v>#DIV/0!</v>
      </c>
      <c r="U38" s="558" t="e">
        <f t="shared" si="28"/>
        <v>#DIV/0!</v>
      </c>
      <c r="V38" s="558" t="e">
        <f t="shared" si="28"/>
        <v>#DIV/0!</v>
      </c>
      <c r="W38" s="558" t="e">
        <f t="shared" si="28"/>
        <v>#DIV/0!</v>
      </c>
      <c r="X38" s="558" t="e">
        <f t="shared" si="28"/>
        <v>#DIV/0!</v>
      </c>
      <c r="Y38" s="558" t="e">
        <f t="shared" si="28"/>
        <v>#DIV/0!</v>
      </c>
      <c r="Z38" s="558" t="e">
        <f t="shared" si="28"/>
        <v>#DIV/0!</v>
      </c>
      <c r="AA38" s="558" t="e">
        <f t="shared" si="28"/>
        <v>#DIV/0!</v>
      </c>
      <c r="AB38" s="558" t="e">
        <f t="shared" si="28"/>
        <v>#DIV/0!</v>
      </c>
      <c r="AC38" s="558" t="e">
        <f t="shared" si="28"/>
        <v>#DIV/0!</v>
      </c>
      <c r="AD38" s="558" t="e">
        <f t="shared" si="28"/>
        <v>#DIV/0!</v>
      </c>
    </row>
    <row r="39" spans="1:30" x14ac:dyDescent="0.25">
      <c r="E39" s="561"/>
      <c r="F39" s="493"/>
      <c r="H39" s="493"/>
      <c r="I39" s="493"/>
      <c r="K39" s="502"/>
      <c r="L39" s="502"/>
      <c r="M39" s="502"/>
      <c r="N39" s="343"/>
      <c r="O39" s="492"/>
      <c r="P39" s="680"/>
      <c r="Q39" s="680"/>
      <c r="R39" s="680"/>
      <c r="S39" s="680"/>
    </row>
    <row r="40" spans="1:30" x14ac:dyDescent="0.25">
      <c r="E40" s="493"/>
      <c r="F40" s="493"/>
      <c r="H40" s="493"/>
      <c r="I40" s="493"/>
      <c r="K40" s="502"/>
      <c r="L40" s="502"/>
      <c r="M40" s="50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</row>
    <row r="41" spans="1:30" x14ac:dyDescent="0.25">
      <c r="K41" s="502"/>
      <c r="L41" s="502"/>
      <c r="M41" s="50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92"/>
      <c r="AB41" s="492"/>
      <c r="AC41" s="492"/>
      <c r="AD41" s="492"/>
    </row>
    <row r="42" spans="1:30" x14ac:dyDescent="0.25">
      <c r="K42" s="502"/>
      <c r="L42" s="502"/>
      <c r="M42" s="502"/>
      <c r="O42" s="492"/>
      <c r="P42" s="671"/>
      <c r="Q42" s="671"/>
      <c r="R42" s="671"/>
      <c r="S42" s="671"/>
      <c r="V42" s="563"/>
    </row>
    <row r="43" spans="1:30" x14ac:dyDescent="0.25">
      <c r="K43" s="502"/>
      <c r="L43" s="502"/>
      <c r="M43" s="502"/>
      <c r="N43" s="563"/>
      <c r="O43" s="492"/>
      <c r="P43" s="564"/>
      <c r="Q43" s="564"/>
      <c r="R43" s="564"/>
      <c r="S43" s="564"/>
    </row>
    <row r="44" spans="1:30" x14ac:dyDescent="0.25">
      <c r="K44" s="502"/>
      <c r="L44" s="502"/>
      <c r="M44" s="502"/>
      <c r="O44" s="492"/>
      <c r="P44" s="671"/>
      <c r="Q44" s="671"/>
      <c r="R44" s="671"/>
      <c r="S44" s="671"/>
      <c r="Y44" s="563"/>
    </row>
    <row r="45" spans="1:30" x14ac:dyDescent="0.25">
      <c r="K45" s="502"/>
      <c r="L45" s="502"/>
      <c r="M45" s="502"/>
      <c r="O45" s="492"/>
      <c r="P45" s="671"/>
      <c r="Q45" s="671"/>
      <c r="R45" s="671"/>
      <c r="S45" s="565"/>
    </row>
    <row r="46" spans="1:30" x14ac:dyDescent="0.25">
      <c r="K46" s="502"/>
      <c r="L46" s="502"/>
      <c r="M46" s="502"/>
      <c r="O46" s="492"/>
    </row>
    <row r="47" spans="1:30" x14ac:dyDescent="0.25">
      <c r="K47" s="502"/>
      <c r="L47" s="502"/>
      <c r="M47" s="502"/>
      <c r="O47" s="492"/>
    </row>
    <row r="48" spans="1:30" x14ac:dyDescent="0.25">
      <c r="K48" s="502"/>
      <c r="L48" s="502"/>
      <c r="M48" s="502"/>
      <c r="O48" s="492"/>
    </row>
    <row r="49" spans="11:15" x14ac:dyDescent="0.25">
      <c r="K49" s="502"/>
      <c r="L49" s="502"/>
      <c r="M49" s="502"/>
      <c r="O49" s="492"/>
    </row>
    <row r="50" spans="11:15" x14ac:dyDescent="0.25">
      <c r="K50" s="502"/>
      <c r="L50" s="502"/>
      <c r="M50" s="502"/>
      <c r="O50" s="492"/>
    </row>
    <row r="51" spans="11:15" x14ac:dyDescent="0.25">
      <c r="K51" s="502"/>
      <c r="L51" s="502"/>
      <c r="M51" s="502"/>
      <c r="O51" s="492"/>
    </row>
    <row r="52" spans="11:15" x14ac:dyDescent="0.25">
      <c r="K52" s="502"/>
      <c r="L52" s="502"/>
      <c r="M52" s="502"/>
      <c r="O52" s="492"/>
    </row>
    <row r="53" spans="11:15" x14ac:dyDescent="0.25">
      <c r="K53" s="502"/>
      <c r="L53" s="502"/>
      <c r="M53" s="502"/>
      <c r="O53" s="492"/>
    </row>
    <row r="54" spans="11:15" x14ac:dyDescent="0.25">
      <c r="K54" s="502"/>
      <c r="L54" s="502"/>
      <c r="M54" s="502"/>
      <c r="O54" s="492"/>
    </row>
    <row r="55" spans="11:15" x14ac:dyDescent="0.25">
      <c r="K55" s="502"/>
      <c r="L55" s="502"/>
      <c r="M55" s="502"/>
      <c r="O55" s="492"/>
    </row>
    <row r="56" spans="11:15" x14ac:dyDescent="0.25">
      <c r="K56" s="502"/>
      <c r="L56" s="502"/>
      <c r="M56" s="502"/>
      <c r="O56" s="492"/>
    </row>
    <row r="57" spans="11:15" x14ac:dyDescent="0.25">
      <c r="K57" s="502"/>
      <c r="L57" s="502"/>
      <c r="M57" s="502"/>
      <c r="O57" s="492"/>
    </row>
    <row r="58" spans="11:15" x14ac:dyDescent="0.25">
      <c r="K58" s="502"/>
      <c r="L58" s="502"/>
      <c r="M58" s="502"/>
      <c r="O58" s="492"/>
    </row>
    <row r="59" spans="11:15" x14ac:dyDescent="0.25">
      <c r="K59" s="502"/>
      <c r="L59" s="502"/>
      <c r="M59" s="502"/>
      <c r="O59" s="492"/>
    </row>
    <row r="60" spans="11:15" x14ac:dyDescent="0.25">
      <c r="K60" s="502"/>
      <c r="L60" s="502"/>
      <c r="M60" s="502"/>
      <c r="O60" s="492"/>
    </row>
    <row r="61" spans="11:15" x14ac:dyDescent="0.25">
      <c r="K61" s="502"/>
      <c r="L61" s="502"/>
      <c r="M61" s="502"/>
      <c r="O61" s="492"/>
    </row>
    <row r="62" spans="11:15" x14ac:dyDescent="0.25">
      <c r="K62" s="502"/>
      <c r="L62" s="502"/>
      <c r="M62" s="502"/>
      <c r="O62" s="492"/>
    </row>
    <row r="63" spans="11:15" x14ac:dyDescent="0.25">
      <c r="K63" s="502"/>
      <c r="L63" s="502"/>
      <c r="M63" s="502"/>
      <c r="O63" s="492"/>
    </row>
    <row r="64" spans="11:15" x14ac:dyDescent="0.25">
      <c r="K64" s="502"/>
      <c r="L64" s="502"/>
      <c r="M64" s="502"/>
      <c r="O64" s="492"/>
    </row>
    <row r="65" spans="11:15" x14ac:dyDescent="0.25">
      <c r="K65" s="502"/>
      <c r="L65" s="502"/>
      <c r="M65" s="502"/>
      <c r="O65" s="492"/>
    </row>
    <row r="66" spans="11:15" x14ac:dyDescent="0.25">
      <c r="K66" s="502"/>
      <c r="L66" s="502"/>
      <c r="M66" s="502"/>
      <c r="O66" s="492"/>
    </row>
    <row r="67" spans="11:15" x14ac:dyDescent="0.25">
      <c r="K67" s="502"/>
      <c r="L67" s="502"/>
      <c r="M67" s="502"/>
      <c r="O67" s="492"/>
    </row>
    <row r="68" spans="11:15" x14ac:dyDescent="0.25">
      <c r="K68" s="502"/>
      <c r="L68" s="502"/>
      <c r="M68" s="502"/>
      <c r="O68" s="492"/>
    </row>
    <row r="69" spans="11:15" x14ac:dyDescent="0.25">
      <c r="K69" s="502"/>
      <c r="L69" s="502"/>
      <c r="M69" s="502"/>
      <c r="O69" s="492"/>
    </row>
    <row r="70" spans="11:15" x14ac:dyDescent="0.25">
      <c r="K70" s="502"/>
      <c r="L70" s="502"/>
      <c r="M70" s="502"/>
      <c r="O70" s="492"/>
    </row>
    <row r="71" spans="11:15" x14ac:dyDescent="0.25">
      <c r="K71" s="502"/>
      <c r="L71" s="502"/>
      <c r="M71" s="502"/>
      <c r="O71" s="492"/>
    </row>
    <row r="72" spans="11:15" x14ac:dyDescent="0.25">
      <c r="K72" s="502"/>
      <c r="L72" s="502"/>
      <c r="M72" s="502"/>
      <c r="O72" s="492"/>
    </row>
    <row r="73" spans="11:15" x14ac:dyDescent="0.25">
      <c r="K73" s="502"/>
      <c r="L73" s="502"/>
      <c r="M73" s="502"/>
      <c r="O73" s="492"/>
    </row>
    <row r="74" spans="11:15" x14ac:dyDescent="0.25">
      <c r="K74" s="502"/>
      <c r="L74" s="502"/>
      <c r="M74" s="502"/>
      <c r="O74" s="492"/>
    </row>
    <row r="75" spans="11:15" x14ac:dyDescent="0.25">
      <c r="K75" s="502"/>
      <c r="L75" s="502"/>
      <c r="M75" s="502"/>
      <c r="O75" s="492"/>
    </row>
    <row r="76" spans="11:15" x14ac:dyDescent="0.25">
      <c r="K76" s="502"/>
      <c r="L76" s="502"/>
      <c r="M76" s="502"/>
      <c r="O76" s="492"/>
    </row>
    <row r="77" spans="11:15" x14ac:dyDescent="0.25">
      <c r="K77" s="502"/>
      <c r="L77" s="502"/>
      <c r="M77" s="502"/>
      <c r="O77" s="492"/>
    </row>
    <row r="78" spans="11:15" x14ac:dyDescent="0.25">
      <c r="K78" s="502"/>
      <c r="L78" s="502"/>
      <c r="M78" s="502"/>
      <c r="O78" s="492"/>
    </row>
    <row r="79" spans="11:15" x14ac:dyDescent="0.25">
      <c r="K79" s="502"/>
      <c r="L79" s="502"/>
      <c r="M79" s="502"/>
      <c r="O79" s="492"/>
    </row>
    <row r="80" spans="11:15" x14ac:dyDescent="0.25">
      <c r="K80" s="502"/>
      <c r="L80" s="502"/>
      <c r="M80" s="502"/>
      <c r="O80" s="492"/>
    </row>
    <row r="81" spans="11:15" x14ac:dyDescent="0.25">
      <c r="K81" s="502"/>
      <c r="L81" s="502"/>
      <c r="M81" s="502"/>
      <c r="O81" s="492"/>
    </row>
  </sheetData>
  <mergeCells count="14">
    <mergeCell ref="D1:I1"/>
    <mergeCell ref="D2:I2"/>
    <mergeCell ref="D3:E3"/>
    <mergeCell ref="G3:H3"/>
    <mergeCell ref="A15:B15"/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3" t="s">
        <v>444</v>
      </c>
      <c r="B1" s="693"/>
      <c r="C1" s="693"/>
      <c r="D1" s="693"/>
      <c r="E1" s="69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80</v>
      </c>
      <c r="D3" s="186">
        <f>Plantilla!G4</f>
        <v>0</v>
      </c>
      <c r="E3" s="265">
        <f>Plantilla!O4</f>
        <v>42468</v>
      </c>
      <c r="F3" s="115">
        <f>Plantilla!Q4</f>
        <v>4</v>
      </c>
      <c r="G3" s="142">
        <f>(F3/7)^0.5</f>
        <v>0.7559289460184544</v>
      </c>
      <c r="H3" s="142">
        <f>IF(F3=7,1,((F3+0.99)/7)^0.5)</f>
        <v>0.84430867747355465</v>
      </c>
      <c r="I3" s="195">
        <f ca="1">Plantilla!P4</f>
        <v>1</v>
      </c>
      <c r="J3" s="196">
        <f>Plantilla!I4</f>
        <v>24</v>
      </c>
      <c r="K3" s="49">
        <f>Plantilla!X4</f>
        <v>16.666666666666668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15.904957935860825</v>
      </c>
      <c r="W3" s="196">
        <f ca="1">IF(F3=7,V3,IF(TODAY()-E3&gt;335,(Q3+1+(LOG(J3)*4/3))*((F3+0.99)/7)^0.5,(Q3+((TODAY()-E3)^0.5)/(336^0.5)+(LOG(J3)*4/3))*((F3+0.99)/7)^0.5))</f>
        <v>17.764492378323794</v>
      </c>
      <c r="X3" s="83">
        <f ca="1">((K3+I3+(LOG(J3)*4/3))*0.597)+((L3+I3+(LOG(J3)*4/3))*0.276)</f>
        <v>15.727765885352309</v>
      </c>
      <c r="Y3" s="83">
        <f ca="1">((K3+I3+(LOG(J3)*4/3))*0.866)+((L3+I3+(LOG(J3)*4/3))*0.425)</f>
        <v>23.17888695073291</v>
      </c>
      <c r="Z3" s="83">
        <f ca="1">X3</f>
        <v>15.727765885352309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89</v>
      </c>
      <c r="D4" s="319" t="str">
        <f>Plantilla!G5</f>
        <v>CAB</v>
      </c>
      <c r="E4" s="265">
        <v>36526</v>
      </c>
      <c r="F4" s="115">
        <f>Plantilla!Q5</f>
        <v>2</v>
      </c>
      <c r="G4" s="142">
        <f t="shared" ref="G4:G26" si="0">(F4/7)^0.5</f>
        <v>0.53452248382484879</v>
      </c>
      <c r="H4" s="142">
        <f t="shared" ref="H4:H26" si="1">IF(F4=7,1,((F4+0.99)/7)^0.5)</f>
        <v>0.65356167049702141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8.6498418794930299</v>
      </c>
      <c r="W4" s="196">
        <f t="shared" ref="W4:W26" ca="1" si="7">IF(F4=7,V4,IF(TODAY()-E4&gt;335,(Q4+1+(LOG(J4)*4/3))*((F4+0.99)/7)^0.5,(Q4+((TODAY()-E4)^0.5)/(336^0.5)+(LOG(J4)*4/3))*((F4+0.99)/7)^0.5))</f>
        <v>10.576178326202999</v>
      </c>
      <c r="X4" s="83">
        <f t="shared" ref="X4:X26" si="8">((K4+I4+(LOG(J4)*4/3))*0.597)+((L4+I4+(LOG(J4)*4/3))*0.276)</f>
        <v>8.4527110889760309</v>
      </c>
      <c r="Y4" s="83">
        <f t="shared" ref="Y4:Y26" si="9">((K4+I4+(LOG(J4)*4/3))*0.866)+((L4+I4+(LOG(J4)*4/3))*0.425)</f>
        <v>12.499942744407853</v>
      </c>
      <c r="Z4" s="83">
        <f t="shared" ref="Z4:Z26" si="10">X4</f>
        <v>8.4527110889760309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91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99</v>
      </c>
      <c r="D7" s="319">
        <f>Plantilla!G7</f>
        <v>0</v>
      </c>
      <c r="E7" s="265">
        <v>36526</v>
      </c>
      <c r="F7" s="115">
        <f>Plantilla!Q7</f>
        <v>5</v>
      </c>
      <c r="G7" s="142">
        <f t="shared" si="0"/>
        <v>0.84515425472851657</v>
      </c>
      <c r="H7" s="142">
        <f t="shared" si="1"/>
        <v>0.92504826128926143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13.024687215268859</v>
      </c>
      <c r="W7" s="196">
        <f t="shared" ca="1" si="7"/>
        <v>14.255935167943017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53</v>
      </c>
      <c r="D8" s="319" t="str">
        <f>Plantilla!G8</f>
        <v>IMP</v>
      </c>
      <c r="E8" s="265">
        <v>36526</v>
      </c>
      <c r="F8" s="115">
        <f>Plantilla!Q8</f>
        <v>6</v>
      </c>
      <c r="G8" s="142">
        <f t="shared" si="0"/>
        <v>0.92582009977255142</v>
      </c>
      <c r="H8" s="142">
        <f t="shared" si="1"/>
        <v>0.99928545900129484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11.95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4.3562499999999993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1.0039</v>
      </c>
      <c r="V8" s="196">
        <f t="shared" ca="1" si="6"/>
        <v>18.686813687209053</v>
      </c>
      <c r="W8" s="196">
        <f t="shared" ca="1" si="7"/>
        <v>20.169643321939041</v>
      </c>
      <c r="X8" s="83">
        <f t="shared" si="8"/>
        <v>6.0516993250009463</v>
      </c>
      <c r="Y8" s="83">
        <f t="shared" si="9"/>
        <v>9.1506487727104471</v>
      </c>
      <c r="Z8" s="83">
        <f t="shared" si="10"/>
        <v>6.0516993250009463</v>
      </c>
      <c r="AA8" s="83">
        <f t="shared" si="11"/>
        <v>7.7936978828184289</v>
      </c>
      <c r="AB8" s="83">
        <f t="shared" si="12"/>
        <v>15.104065664376799</v>
      </c>
      <c r="AC8" s="83">
        <f t="shared" si="13"/>
        <v>3.8968489414092145</v>
      </c>
      <c r="AD8" s="83">
        <f t="shared" si="14"/>
        <v>3.5947676281216783</v>
      </c>
      <c r="AE8" s="83">
        <f t="shared" si="15"/>
        <v>5.7093368211344302</v>
      </c>
      <c r="AF8" s="83">
        <f t="shared" si="16"/>
        <v>10.920239475344426</v>
      </c>
      <c r="AG8" s="83">
        <f t="shared" si="17"/>
        <v>2.8546684105672151</v>
      </c>
      <c r="AH8" s="83">
        <f t="shared" si="18"/>
        <v>5.8150652807850678</v>
      </c>
      <c r="AI8" s="83">
        <f t="shared" si="19"/>
        <v>13.895740411226656</v>
      </c>
      <c r="AJ8" s="83">
        <f t="shared" si="20"/>
        <v>6.2530831850519943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11.388465510940106</v>
      </c>
      <c r="AN8" s="83">
        <f t="shared" si="24"/>
        <v>10.693678490378772</v>
      </c>
      <c r="AO8" s="83">
        <f t="shared" si="25"/>
        <v>3.4542389659509252</v>
      </c>
      <c r="AP8" s="83">
        <f t="shared" si="26"/>
        <v>2.1629709113405182</v>
      </c>
      <c r="AQ8" s="83">
        <f t="shared" si="27"/>
        <v>4.078097729381736</v>
      </c>
      <c r="AR8" s="83">
        <f t="shared" si="28"/>
        <v>8.9718150046398186</v>
      </c>
      <c r="AS8" s="83">
        <f t="shared" si="29"/>
        <v>2.039048864690868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2.8546684105672151</v>
      </c>
      <c r="AY8" s="83">
        <f t="shared" si="35"/>
        <v>6.04162626575072</v>
      </c>
      <c r="AZ8" s="83">
        <f t="shared" si="36"/>
        <v>1.4273342052836075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4.3952831083336479</v>
      </c>
      <c r="BF8" s="83">
        <f t="shared" si="42"/>
        <v>5.2562148512031257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7.3254718472227474</v>
      </c>
      <c r="BK8" s="83">
        <f t="shared" si="47"/>
        <v>3.987473335395475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2.7187318195878238</v>
      </c>
      <c r="BP8" s="83">
        <f t="shared" si="52"/>
        <v>1.0270764651776225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4.2895546486830103</v>
      </c>
      <c r="BU8" s="83">
        <f t="shared" si="57"/>
        <v>3.6853920221079388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4.2895546486830103</v>
      </c>
      <c r="BZ8" s="83">
        <f t="shared" si="62"/>
        <v>3.6853920221079388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12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77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35</v>
      </c>
      <c r="D12" s="319" t="str">
        <f>Plantilla!G11</f>
        <v>CAB</v>
      </c>
      <c r="E12" s="265">
        <f>Plantilla!O11</f>
        <v>43626</v>
      </c>
      <c r="F12" s="115">
        <f>Plantilla!Q11</f>
        <v>4</v>
      </c>
      <c r="G12" s="142">
        <f t="shared" si="0"/>
        <v>0.7559289460184544</v>
      </c>
      <c r="H12" s="142">
        <f t="shared" si="1"/>
        <v>0.84430867747355465</v>
      </c>
      <c r="I12" s="195">
        <f ca="1">Plantilla!P11</f>
        <v>0.4364827370446035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9.6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7.3975917949787107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4.6277174769362546</v>
      </c>
      <c r="W12" s="196">
        <f t="shared" ca="1" si="7"/>
        <v>5.1687688945541685</v>
      </c>
      <c r="X12" s="83">
        <f t="shared" ca="1" si="8"/>
        <v>1.1346505144870649</v>
      </c>
      <c r="Y12" s="83">
        <f t="shared" ca="1" si="9"/>
        <v>1.7453262476549833</v>
      </c>
      <c r="Z12" s="83">
        <f t="shared" ca="1" si="10"/>
        <v>1.1346505144870649</v>
      </c>
      <c r="AA12" s="83">
        <f t="shared" ca="1" si="11"/>
        <v>2.0821164552981966</v>
      </c>
      <c r="AB12" s="83">
        <f t="shared" ca="1" si="12"/>
        <v>4.0351094094926285</v>
      </c>
      <c r="AC12" s="83">
        <f t="shared" ca="1" si="13"/>
        <v>1.0410582276490983</v>
      </c>
      <c r="AD12" s="83">
        <f t="shared" ca="1" si="14"/>
        <v>2.2931560394592454</v>
      </c>
      <c r="AE12" s="83">
        <f t="shared" ca="1" si="15"/>
        <v>1.5252713567882137</v>
      </c>
      <c r="AF12" s="83">
        <f t="shared" ca="1" si="16"/>
        <v>2.9173841030631702</v>
      </c>
      <c r="AG12" s="83">
        <f t="shared" ca="1" si="17"/>
        <v>0.76263567839410684</v>
      </c>
      <c r="AH12" s="83">
        <f t="shared" ca="1" si="18"/>
        <v>3.7095171226546619</v>
      </c>
      <c r="AI12" s="83">
        <f t="shared" ca="1" si="19"/>
        <v>3.7123006567332184</v>
      </c>
      <c r="AJ12" s="83">
        <f t="shared" ca="1" si="20"/>
        <v>1.6705352955299482</v>
      </c>
      <c r="AK12" s="83">
        <f t="shared" ca="1" si="21"/>
        <v>1.6090632713852691</v>
      </c>
      <c r="AL12" s="83">
        <f t="shared" ca="1" si="22"/>
        <v>1.7846443327816655</v>
      </c>
      <c r="AM12" s="83">
        <f t="shared" ca="1" si="23"/>
        <v>3.0424724947574417</v>
      </c>
      <c r="AN12" s="83">
        <f t="shared" ca="1" si="24"/>
        <v>2.8568574619207809</v>
      </c>
      <c r="AO12" s="83">
        <f t="shared" ca="1" si="25"/>
        <v>1.0078632713852691</v>
      </c>
      <c r="AP12" s="83">
        <f t="shared" ca="1" si="26"/>
        <v>0.55011150993387703</v>
      </c>
      <c r="AQ12" s="83">
        <f t="shared" ca="1" si="27"/>
        <v>1.0894795405630098</v>
      </c>
      <c r="AR12" s="83">
        <f t="shared" ca="1" si="28"/>
        <v>2.3968549892386211</v>
      </c>
      <c r="AS12" s="83">
        <f t="shared" ca="1" si="29"/>
        <v>0.54473977028150489</v>
      </c>
      <c r="AT12" s="83">
        <f t="shared" ca="1" si="30"/>
        <v>9.0955432825610405</v>
      </c>
      <c r="AU12" s="83">
        <f t="shared" ca="1" si="31"/>
        <v>0.52456422323404173</v>
      </c>
      <c r="AV12" s="83">
        <f t="shared" ca="1" si="32"/>
        <v>1.7012870569813401</v>
      </c>
      <c r="AW12" s="83">
        <f t="shared" ca="1" si="33"/>
        <v>0.26228211161702086</v>
      </c>
      <c r="AX12" s="83">
        <f t="shared" ca="1" si="34"/>
        <v>0.76263567839410684</v>
      </c>
      <c r="AY12" s="83">
        <f t="shared" ca="1" si="35"/>
        <v>1.6140437637970515</v>
      </c>
      <c r="AZ12" s="83">
        <f t="shared" ca="1" si="36"/>
        <v>0.38131783919705342</v>
      </c>
      <c r="BA12" s="83">
        <f t="shared" ca="1" si="37"/>
        <v>9.6351094094926282</v>
      </c>
      <c r="BB12" s="83">
        <f t="shared" ca="1" si="38"/>
        <v>1.0208826806016351</v>
      </c>
      <c r="BC12" s="83">
        <f t="shared" ca="1" si="39"/>
        <v>2.8533452846304383</v>
      </c>
      <c r="BD12" s="83">
        <f t="shared" ca="1" si="40"/>
        <v>0.51044134030081756</v>
      </c>
      <c r="BE12" s="83">
        <f t="shared" ca="1" si="41"/>
        <v>1.1742168381623548</v>
      </c>
      <c r="BF12" s="83">
        <f t="shared" ca="1" si="42"/>
        <v>1.4042180745034347</v>
      </c>
      <c r="BG12" s="83">
        <f t="shared" ca="1" si="43"/>
        <v>8.4885313897630059</v>
      </c>
      <c r="BH12" s="83">
        <f t="shared" ca="1" si="44"/>
        <v>3.0132122650389466</v>
      </c>
      <c r="BI12" s="83">
        <f t="shared" ca="1" si="45"/>
        <v>0.9724613676877234</v>
      </c>
      <c r="BJ12" s="83">
        <f t="shared" ca="1" si="46"/>
        <v>1.9570280636039248</v>
      </c>
      <c r="BK12" s="83">
        <f t="shared" ca="1" si="47"/>
        <v>1.065268884106054</v>
      </c>
      <c r="BL12" s="83">
        <f t="shared" ca="1" si="48"/>
        <v>3.6709766850166914</v>
      </c>
      <c r="BM12" s="83">
        <f t="shared" ca="1" si="49"/>
        <v>2.8536856238965571</v>
      </c>
      <c r="BN12" s="83">
        <f t="shared" ca="1" si="50"/>
        <v>0.20982568929361667</v>
      </c>
      <c r="BO12" s="83">
        <f t="shared" ca="1" si="51"/>
        <v>0.72631969370867311</v>
      </c>
      <c r="BP12" s="83">
        <f t="shared" ca="1" si="52"/>
        <v>0.27438743984549874</v>
      </c>
      <c r="BQ12" s="83">
        <f t="shared" ca="1" si="53"/>
        <v>2.9387083698952514</v>
      </c>
      <c r="BR12" s="83">
        <f t="shared" ca="1" si="54"/>
        <v>4.1891507006075202</v>
      </c>
      <c r="BS12" s="83">
        <f t="shared" ca="1" si="55"/>
        <v>0.54473977028150489</v>
      </c>
      <c r="BT12" s="83">
        <f t="shared" ca="1" si="56"/>
        <v>1.1459710722959064</v>
      </c>
      <c r="BU12" s="83">
        <f t="shared" ca="1" si="57"/>
        <v>0.98456669591620138</v>
      </c>
      <c r="BV12" s="83">
        <f t="shared" ca="1" si="58"/>
        <v>4.3839747813191456</v>
      </c>
      <c r="BW12" s="83">
        <f t="shared" ca="1" si="59"/>
        <v>3.6069012257178326</v>
      </c>
      <c r="BX12" s="83">
        <f t="shared" ca="1" si="60"/>
        <v>0.48824823854860805</v>
      </c>
      <c r="BY12" s="83">
        <f t="shared" ca="1" si="61"/>
        <v>1.1459710722959064</v>
      </c>
      <c r="BZ12" s="83">
        <f t="shared" ca="1" si="62"/>
        <v>0.98456669591620138</v>
      </c>
      <c r="CA12" s="83">
        <f t="shared" ca="1" si="63"/>
        <v>6.079754037389848</v>
      </c>
      <c r="CB12" s="83">
        <f t="shared" ca="1" si="64"/>
        <v>2.9094229214959024</v>
      </c>
      <c r="CC12" s="83">
        <f t="shared" ca="1" si="65"/>
        <v>0.59719619260490897</v>
      </c>
      <c r="CD12" s="83">
        <f t="shared" ca="1" si="66"/>
        <v>3.9118544202540071</v>
      </c>
      <c r="CE12" s="83">
        <f t="shared" ca="1" si="67"/>
        <v>2.3392920023456596</v>
      </c>
      <c r="CF12" s="83">
        <f t="shared" ca="1" si="68"/>
        <v>6.2925331950886996</v>
      </c>
      <c r="CG12" s="83">
        <f t="shared" ca="1" si="69"/>
        <v>2.3392920023456596</v>
      </c>
      <c r="CH12" s="83">
        <f t="shared" ca="1" si="70"/>
        <v>3.2193876504823105</v>
      </c>
      <c r="CI12" s="83">
        <f t="shared" ca="1" si="71"/>
        <v>8.524064781595408</v>
      </c>
      <c r="CJ12" s="83">
        <f t="shared" ca="1" si="72"/>
        <v>3.2193876504823105</v>
      </c>
      <c r="CK12" s="83">
        <f t="shared" ca="1" si="73"/>
        <v>2.408777352373157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90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0.41492631106246303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8.4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9.7875777592465827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2.4976818776306922</v>
      </c>
      <c r="W13" s="196">
        <f t="shared" ca="1" si="7"/>
        <v>2.6958770738943514</v>
      </c>
      <c r="X13" s="83">
        <f t="shared" ca="1" si="8"/>
        <v>1.3603237030869995</v>
      </c>
      <c r="Y13" s="83">
        <f t="shared" ca="1" si="9"/>
        <v>2.0622049263291133</v>
      </c>
      <c r="Z13" s="83">
        <f t="shared" ca="1" si="10"/>
        <v>1.3603237030869995</v>
      </c>
      <c r="AA13" s="83">
        <f t="shared" ca="1" si="11"/>
        <v>1.8626380650548588</v>
      </c>
      <c r="AB13" s="83">
        <f t="shared" ca="1" si="12"/>
        <v>3.6097636919667808</v>
      </c>
      <c r="AC13" s="83">
        <f t="shared" ca="1" si="13"/>
        <v>0.93131903252742942</v>
      </c>
      <c r="AD13" s="83">
        <f t="shared" ca="1" si="14"/>
        <v>2.1443237586880937</v>
      </c>
      <c r="AE13" s="83">
        <f t="shared" ca="1" si="15"/>
        <v>1.3644906755634432</v>
      </c>
      <c r="AF13" s="83">
        <f t="shared" ca="1" si="16"/>
        <v>2.6098591492919825</v>
      </c>
      <c r="AG13" s="83">
        <f t="shared" ca="1" si="17"/>
        <v>0.68224533778172158</v>
      </c>
      <c r="AH13" s="83">
        <f t="shared" ca="1" si="18"/>
        <v>3.4687590214072106</v>
      </c>
      <c r="AI13" s="83">
        <f t="shared" ca="1" si="19"/>
        <v>3.3209825966094386</v>
      </c>
      <c r="AJ13" s="83">
        <f t="shared" ca="1" si="20"/>
        <v>1.4944421684742473</v>
      </c>
      <c r="AK13" s="83">
        <f t="shared" ca="1" si="21"/>
        <v>1.5046305365584525</v>
      </c>
      <c r="AL13" s="83">
        <f t="shared" ca="1" si="22"/>
        <v>1.534541050876467</v>
      </c>
      <c r="AM13" s="83">
        <f t="shared" ca="1" si="23"/>
        <v>2.7217618237429528</v>
      </c>
      <c r="AN13" s="83">
        <f t="shared" ca="1" si="24"/>
        <v>2.5557126939124806</v>
      </c>
      <c r="AO13" s="83">
        <f t="shared" ca="1" si="25"/>
        <v>0.43583053655845244</v>
      </c>
      <c r="AP13" s="83">
        <f t="shared" ca="1" si="26"/>
        <v>0.82361194328643283</v>
      </c>
      <c r="AQ13" s="83">
        <f t="shared" ca="1" si="27"/>
        <v>0.97463619683103087</v>
      </c>
      <c r="AR13" s="83">
        <f t="shared" ca="1" si="28"/>
        <v>2.1441996330282675</v>
      </c>
      <c r="AS13" s="83">
        <f t="shared" ca="1" si="29"/>
        <v>0.48731809841551543</v>
      </c>
      <c r="AT13" s="83">
        <f t="shared" ca="1" si="30"/>
        <v>8.5052169252166401</v>
      </c>
      <c r="AU13" s="83">
        <f t="shared" ca="1" si="31"/>
        <v>0.85926927995568159</v>
      </c>
      <c r="AV13" s="83">
        <f t="shared" ca="1" si="32"/>
        <v>2.4556607617462665</v>
      </c>
      <c r="AW13" s="83">
        <f t="shared" ca="1" si="33"/>
        <v>0.42963463997784079</v>
      </c>
      <c r="AX13" s="83">
        <f t="shared" ca="1" si="34"/>
        <v>0.68224533778172158</v>
      </c>
      <c r="AY13" s="83">
        <f t="shared" ca="1" si="35"/>
        <v>1.4439054767867123</v>
      </c>
      <c r="AZ13" s="83">
        <f t="shared" ca="1" si="36"/>
        <v>0.34112266889086079</v>
      </c>
      <c r="BA13" s="83">
        <f t="shared" ca="1" si="37"/>
        <v>9.0097636919667803</v>
      </c>
      <c r="BB13" s="83">
        <f t="shared" ca="1" si="38"/>
        <v>1.6722702140675956</v>
      </c>
      <c r="BC13" s="83">
        <f t="shared" ca="1" si="39"/>
        <v>4.2719797942736957</v>
      </c>
      <c r="BD13" s="83">
        <f t="shared" ca="1" si="40"/>
        <v>0.83613510703379779</v>
      </c>
      <c r="BE13" s="83">
        <f t="shared" ca="1" si="41"/>
        <v>1.0504412343623331</v>
      </c>
      <c r="BF13" s="83">
        <f t="shared" ca="1" si="42"/>
        <v>1.2561977648044396</v>
      </c>
      <c r="BG13" s="83">
        <f t="shared" ca="1" si="43"/>
        <v>7.9376018126227335</v>
      </c>
      <c r="BH13" s="83">
        <f t="shared" ca="1" si="44"/>
        <v>3.5800799221584683</v>
      </c>
      <c r="BI13" s="83">
        <f t="shared" ca="1" si="45"/>
        <v>1.5929530497639941</v>
      </c>
      <c r="BJ13" s="83">
        <f t="shared" ca="1" si="46"/>
        <v>1.7507353906038887</v>
      </c>
      <c r="BK13" s="83">
        <f t="shared" ca="1" si="47"/>
        <v>0.95297761467923015</v>
      </c>
      <c r="BL13" s="83">
        <f t="shared" ca="1" si="48"/>
        <v>3.4327199666393433</v>
      </c>
      <c r="BM13" s="83">
        <f t="shared" ca="1" si="49"/>
        <v>3.084933466778967</v>
      </c>
      <c r="BN13" s="83">
        <f t="shared" ca="1" si="50"/>
        <v>0.34370771198227257</v>
      </c>
      <c r="BO13" s="83">
        <f t="shared" ca="1" si="51"/>
        <v>0.6497574645540205</v>
      </c>
      <c r="BP13" s="83">
        <f t="shared" ca="1" si="52"/>
        <v>0.24546393105374112</v>
      </c>
      <c r="BQ13" s="83">
        <f t="shared" ca="1" si="53"/>
        <v>2.747977926049868</v>
      </c>
      <c r="BR13" s="83">
        <f t="shared" ca="1" si="54"/>
        <v>4.5001561078692802</v>
      </c>
      <c r="BS13" s="83">
        <f t="shared" ca="1" si="55"/>
        <v>0.89231809841551546</v>
      </c>
      <c r="BT13" s="83">
        <f t="shared" ca="1" si="56"/>
        <v>1.0251728885185656</v>
      </c>
      <c r="BU13" s="83">
        <f t="shared" ca="1" si="57"/>
        <v>0.88078234083989448</v>
      </c>
      <c r="BV13" s="83">
        <f t="shared" ca="1" si="58"/>
        <v>4.0994424798448854</v>
      </c>
      <c r="BW13" s="83">
        <f t="shared" ca="1" si="59"/>
        <v>3.8676181706991928</v>
      </c>
      <c r="BX13" s="83">
        <f t="shared" ca="1" si="60"/>
        <v>0.79978140672798048</v>
      </c>
      <c r="BY13" s="83">
        <f t="shared" ca="1" si="61"/>
        <v>1.0251728885185656</v>
      </c>
      <c r="BZ13" s="83">
        <f t="shared" ca="1" si="62"/>
        <v>0.88078234083989448</v>
      </c>
      <c r="CA13" s="83">
        <f t="shared" ca="1" si="63"/>
        <v>5.6851608896310388</v>
      </c>
      <c r="CB13" s="83">
        <f t="shared" ca="1" si="64"/>
        <v>3.1077385043102685</v>
      </c>
      <c r="CC13" s="83">
        <f t="shared" ca="1" si="65"/>
        <v>0.97824502641108346</v>
      </c>
      <c r="CD13" s="83">
        <f t="shared" ca="1" si="66"/>
        <v>3.657964058938513</v>
      </c>
      <c r="CE13" s="83">
        <f t="shared" ca="1" si="67"/>
        <v>3.2486868835146927</v>
      </c>
      <c r="CF13" s="83">
        <f t="shared" ca="1" si="68"/>
        <v>9.1915939171545951</v>
      </c>
      <c r="CG13" s="83">
        <f t="shared" ca="1" si="69"/>
        <v>3.2486868835146927</v>
      </c>
      <c r="CH13" s="83">
        <f t="shared" ca="1" si="70"/>
        <v>4.1660019392190639</v>
      </c>
      <c r="CI13" s="83">
        <f t="shared" ca="1" si="71"/>
        <v>12.048766494302523</v>
      </c>
      <c r="CJ13" s="83">
        <f t="shared" ca="1" si="72"/>
        <v>4.1660019392190639</v>
      </c>
      <c r="CK13" s="83">
        <f t="shared" ca="1" si="73"/>
        <v>2.2524409229916951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51</v>
      </c>
      <c r="D14" s="319" t="str">
        <f>Plantilla!G13</f>
        <v>IMP</v>
      </c>
      <c r="E14" s="265">
        <f>Plantilla!O13</f>
        <v>43630</v>
      </c>
      <c r="F14" s="115">
        <f>Plantilla!Q13</f>
        <v>3</v>
      </c>
      <c r="G14" s="142">
        <f t="shared" si="0"/>
        <v>0.65465367070797709</v>
      </c>
      <c r="H14" s="142">
        <f t="shared" si="1"/>
        <v>0.75498344352707503</v>
      </c>
      <c r="I14" s="195">
        <f ca="1">Plantilla!P13</f>
        <v>0.42424015486581296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10.333333333333334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7.504605796143311</v>
      </c>
      <c r="T14" s="49">
        <f t="shared" si="4"/>
        <v>0.4</v>
      </c>
      <c r="U14" s="49">
        <f t="shared" si="5"/>
        <v>0.16</v>
      </c>
      <c r="V14" s="196">
        <f t="shared" ca="1" si="6"/>
        <v>0.59779021933642051</v>
      </c>
      <c r="W14" s="196">
        <f t="shared" ca="1" si="7"/>
        <v>0.68940531229792545</v>
      </c>
      <c r="X14" s="83">
        <f t="shared" ca="1" si="8"/>
        <v>1.824760570150729</v>
      </c>
      <c r="Y14" s="83">
        <f t="shared" ca="1" si="9"/>
        <v>2.7658670058013639</v>
      </c>
      <c r="Z14" s="83">
        <f t="shared" ca="1" si="10"/>
        <v>1.824760570150729</v>
      </c>
      <c r="AA14" s="83">
        <f t="shared" ca="1" si="11"/>
        <v>2.4900165569275785</v>
      </c>
      <c r="AB14" s="83">
        <f t="shared" ca="1" si="12"/>
        <v>4.8256134824177881</v>
      </c>
      <c r="AC14" s="83">
        <f t="shared" ca="1" si="13"/>
        <v>1.2450082784637893</v>
      </c>
      <c r="AD14" s="83">
        <f t="shared" ca="1" si="14"/>
        <v>2.6558293421487669</v>
      </c>
      <c r="AE14" s="83">
        <f t="shared" ca="1" si="15"/>
        <v>1.8240818963539238</v>
      </c>
      <c r="AF14" s="83">
        <f t="shared" ca="1" si="16"/>
        <v>3.4889185477880607</v>
      </c>
      <c r="AG14" s="83">
        <f t="shared" ca="1" si="17"/>
        <v>0.91204094817696191</v>
      </c>
      <c r="AH14" s="83">
        <f t="shared" ca="1" si="18"/>
        <v>4.2961945240641821</v>
      </c>
      <c r="AI14" s="83">
        <f t="shared" ca="1" si="19"/>
        <v>4.4395644038243649</v>
      </c>
      <c r="AJ14" s="83">
        <f t="shared" ca="1" si="20"/>
        <v>1.9978039817209641</v>
      </c>
      <c r="AK14" s="83">
        <f t="shared" ca="1" si="21"/>
        <v>1.8635441182304375</v>
      </c>
      <c r="AL14" s="83">
        <f t="shared" ca="1" si="22"/>
        <v>2.2494607276616589</v>
      </c>
      <c r="AM14" s="83">
        <f t="shared" ca="1" si="23"/>
        <v>3.6385125657430124</v>
      </c>
      <c r="AN14" s="83">
        <f t="shared" ca="1" si="24"/>
        <v>3.4165343455517938</v>
      </c>
      <c r="AO14" s="83">
        <f t="shared" ca="1" si="25"/>
        <v>0.13787745156377057</v>
      </c>
      <c r="AP14" s="83">
        <f t="shared" ca="1" si="26"/>
        <v>0.63377668293632294</v>
      </c>
      <c r="AQ14" s="83">
        <f t="shared" ca="1" si="27"/>
        <v>1.3029156402528028</v>
      </c>
      <c r="AR14" s="83">
        <f t="shared" ca="1" si="28"/>
        <v>2.866414408556166</v>
      </c>
      <c r="AS14" s="83">
        <f t="shared" ca="1" si="29"/>
        <v>0.65145782012640141</v>
      </c>
      <c r="AT14" s="83">
        <f t="shared" ca="1" si="30"/>
        <v>10.534045794069058</v>
      </c>
      <c r="AU14" s="83">
        <f t="shared" ca="1" si="31"/>
        <v>0.3673297527143124</v>
      </c>
      <c r="AV14" s="83">
        <f t="shared" ca="1" si="32"/>
        <v>1.8659047503484119</v>
      </c>
      <c r="AW14" s="83">
        <f t="shared" ca="1" si="33"/>
        <v>0.1836648763571562</v>
      </c>
      <c r="AX14" s="83">
        <f t="shared" ca="1" si="34"/>
        <v>0.91204094817696191</v>
      </c>
      <c r="AY14" s="83">
        <f t="shared" ca="1" si="35"/>
        <v>1.9302453929671153</v>
      </c>
      <c r="AZ14" s="83">
        <f t="shared" ca="1" si="36"/>
        <v>0.45602047408848095</v>
      </c>
      <c r="BA14" s="83">
        <f t="shared" ca="1" si="37"/>
        <v>11.158946815751122</v>
      </c>
      <c r="BB14" s="83">
        <f t="shared" ca="1" si="38"/>
        <v>0.7148802110517003</v>
      </c>
      <c r="BC14" s="83">
        <f t="shared" ca="1" si="39"/>
        <v>2.8169130288122011</v>
      </c>
      <c r="BD14" s="83">
        <f t="shared" ca="1" si="40"/>
        <v>0.35744010552585015</v>
      </c>
      <c r="BE14" s="83">
        <f t="shared" ca="1" si="41"/>
        <v>1.4042535233835762</v>
      </c>
      <c r="BF14" s="83">
        <f t="shared" ca="1" si="42"/>
        <v>1.6793134918813901</v>
      </c>
      <c r="BG14" s="83">
        <f t="shared" ca="1" si="43"/>
        <v>9.8310321446767386</v>
      </c>
      <c r="BH14" s="83">
        <f t="shared" ca="1" si="44"/>
        <v>3.085970385869413</v>
      </c>
      <c r="BI14" s="83">
        <f t="shared" ca="1" si="45"/>
        <v>0.68097284926268675</v>
      </c>
      <c r="BJ14" s="83">
        <f t="shared" ca="1" si="46"/>
        <v>2.3404225389726272</v>
      </c>
      <c r="BK14" s="83">
        <f t="shared" ca="1" si="47"/>
        <v>1.273961959358296</v>
      </c>
      <c r="BL14" s="83">
        <f t="shared" ca="1" si="48"/>
        <v>4.2515587368011776</v>
      </c>
      <c r="BM14" s="83">
        <f t="shared" ca="1" si="49"/>
        <v>3.1425861836331466</v>
      </c>
      <c r="BN14" s="83">
        <f t="shared" ca="1" si="50"/>
        <v>0.14693190108572496</v>
      </c>
      <c r="BO14" s="83">
        <f t="shared" ca="1" si="51"/>
        <v>0.86861042683520184</v>
      </c>
      <c r="BP14" s="83">
        <f t="shared" ca="1" si="52"/>
        <v>0.32814171680440962</v>
      </c>
      <c r="BQ14" s="83">
        <f t="shared" ca="1" si="53"/>
        <v>3.4034787788040921</v>
      </c>
      <c r="BR14" s="83">
        <f t="shared" ca="1" si="54"/>
        <v>4.6337389383892749</v>
      </c>
      <c r="BS14" s="83">
        <f t="shared" ca="1" si="55"/>
        <v>0.38145782012640134</v>
      </c>
      <c r="BT14" s="83">
        <f t="shared" ca="1" si="56"/>
        <v>1.3704742290066516</v>
      </c>
      <c r="BU14" s="83">
        <f t="shared" ca="1" si="57"/>
        <v>1.1774496897099402</v>
      </c>
      <c r="BV14" s="83">
        <f t="shared" ca="1" si="58"/>
        <v>5.0773208011667608</v>
      </c>
      <c r="BW14" s="83">
        <f t="shared" ca="1" si="59"/>
        <v>3.9947797385189086</v>
      </c>
      <c r="BX14" s="83">
        <f t="shared" ca="1" si="60"/>
        <v>0.34189923137255229</v>
      </c>
      <c r="BY14" s="83">
        <f t="shared" ca="1" si="61"/>
        <v>1.3704742290066516</v>
      </c>
      <c r="BZ14" s="83">
        <f t="shared" ca="1" si="62"/>
        <v>1.1774496897099402</v>
      </c>
      <c r="CA14" s="83">
        <f t="shared" ca="1" si="63"/>
        <v>7.0412954407389581</v>
      </c>
      <c r="CB14" s="83">
        <f t="shared" ca="1" si="64"/>
        <v>3.2309240667639196</v>
      </c>
      <c r="CC14" s="83">
        <f t="shared" ca="1" si="65"/>
        <v>0.41819079539783255</v>
      </c>
      <c r="CD14" s="83">
        <f t="shared" ca="1" si="66"/>
        <v>4.530532407194956</v>
      </c>
      <c r="CE14" s="83">
        <f t="shared" ca="1" si="67"/>
        <v>2.3781446243396678</v>
      </c>
      <c r="CF14" s="83">
        <f t="shared" ca="1" si="68"/>
        <v>6.679640781202429</v>
      </c>
      <c r="CG14" s="83">
        <f t="shared" ca="1" si="69"/>
        <v>2.3781446243396678</v>
      </c>
      <c r="CH14" s="83">
        <f t="shared" ca="1" si="70"/>
        <v>3.6910547592811707</v>
      </c>
      <c r="CI14" s="83">
        <f t="shared" ca="1" si="71"/>
        <v>9.868264857429951</v>
      </c>
      <c r="CJ14" s="83">
        <f t="shared" ca="1" si="72"/>
        <v>3.6910547592811707</v>
      </c>
      <c r="CK14" s="83">
        <f t="shared" ca="1" si="73"/>
        <v>2.7897367039377805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51</v>
      </c>
      <c r="D15" s="319" t="str">
        <f>Plantilla!G14</f>
        <v>RAP</v>
      </c>
      <c r="E15" s="265">
        <f>Plantilla!O14</f>
        <v>43627</v>
      </c>
      <c r="F15" s="115">
        <f>Plantilla!Q14</f>
        <v>7</v>
      </c>
      <c r="G15" s="142">
        <f t="shared" si="0"/>
        <v>1</v>
      </c>
      <c r="H15" s="142">
        <f t="shared" si="1"/>
        <v>1</v>
      </c>
      <c r="I15" s="195">
        <f ca="1">Plantilla!P14</f>
        <v>0.43344036514721096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10.333333333333334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10.824938260865201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6.9217898274185083</v>
      </c>
      <c r="W15" s="196">
        <f t="shared" ca="1" si="7"/>
        <v>6.9217898274185083</v>
      </c>
      <c r="X15" s="83">
        <f t="shared" ca="1" si="8"/>
        <v>1.2807923537263894</v>
      </c>
      <c r="Y15" s="83">
        <f t="shared" ca="1" si="9"/>
        <v>1.9277444772746488</v>
      </c>
      <c r="Z15" s="83">
        <f t="shared" ca="1" si="10"/>
        <v>1.2807923537263894</v>
      </c>
      <c r="AA15" s="83">
        <f t="shared" ca="1" si="11"/>
        <v>1.4627638654327801</v>
      </c>
      <c r="AB15" s="83">
        <f t="shared" ca="1" si="12"/>
        <v>2.834813692699186</v>
      </c>
      <c r="AC15" s="83">
        <f t="shared" ca="1" si="13"/>
        <v>0.73138193271639007</v>
      </c>
      <c r="AD15" s="83">
        <f t="shared" ca="1" si="14"/>
        <v>2.6580189921957396</v>
      </c>
      <c r="AE15" s="83">
        <f t="shared" ca="1" si="15"/>
        <v>1.0715595758402923</v>
      </c>
      <c r="AF15" s="83">
        <f t="shared" ca="1" si="16"/>
        <v>2.0495702998215113</v>
      </c>
      <c r="AG15" s="83">
        <f t="shared" ca="1" si="17"/>
        <v>0.53577978792014613</v>
      </c>
      <c r="AH15" s="83">
        <f t="shared" ca="1" si="18"/>
        <v>4.2997366050225203</v>
      </c>
      <c r="AI15" s="83">
        <f t="shared" ca="1" si="19"/>
        <v>2.6080285972832513</v>
      </c>
      <c r="AJ15" s="83">
        <f t="shared" ca="1" si="20"/>
        <v>1.173612868777463</v>
      </c>
      <c r="AK15" s="83">
        <f t="shared" ca="1" si="21"/>
        <v>1.8650805533474308</v>
      </c>
      <c r="AL15" s="83">
        <f t="shared" ca="1" si="22"/>
        <v>3.4308704513071215</v>
      </c>
      <c r="AM15" s="83">
        <f t="shared" ca="1" si="23"/>
        <v>2.1374495242951861</v>
      </c>
      <c r="AN15" s="83">
        <f t="shared" ca="1" si="24"/>
        <v>2.0070480944310236</v>
      </c>
      <c r="AO15" s="83">
        <f t="shared" ca="1" si="25"/>
        <v>1.1414138866807642</v>
      </c>
      <c r="AP15" s="83">
        <f t="shared" ca="1" si="26"/>
        <v>0.70842634349736555</v>
      </c>
      <c r="AQ15" s="83">
        <f t="shared" ca="1" si="27"/>
        <v>0.7653996970287803</v>
      </c>
      <c r="AR15" s="83">
        <f t="shared" ca="1" si="28"/>
        <v>1.6838793334633164</v>
      </c>
      <c r="AS15" s="83">
        <f t="shared" ca="1" si="29"/>
        <v>0.38269984851439015</v>
      </c>
      <c r="AT15" s="83">
        <f t="shared" ca="1" si="30"/>
        <v>10.542730792574698</v>
      </c>
      <c r="AU15" s="83">
        <f t="shared" ca="1" si="31"/>
        <v>0.62852578005089421</v>
      </c>
      <c r="AV15" s="83">
        <f t="shared" ca="1" si="32"/>
        <v>2.1086004119608615</v>
      </c>
      <c r="AW15" s="83">
        <f t="shared" ca="1" si="33"/>
        <v>0.31426289002544711</v>
      </c>
      <c r="AX15" s="83">
        <f t="shared" ca="1" si="34"/>
        <v>0.53577978792014613</v>
      </c>
      <c r="AY15" s="83">
        <f t="shared" ca="1" si="35"/>
        <v>1.1339254770796745</v>
      </c>
      <c r="AZ15" s="83">
        <f t="shared" ca="1" si="36"/>
        <v>0.26788989396007307</v>
      </c>
      <c r="BA15" s="83">
        <f t="shared" ca="1" si="37"/>
        <v>11.16814702603252</v>
      </c>
      <c r="BB15" s="83">
        <f t="shared" ca="1" si="38"/>
        <v>1.2232078642528943</v>
      </c>
      <c r="BC15" s="83">
        <f t="shared" ca="1" si="39"/>
        <v>3.5039823446772518</v>
      </c>
      <c r="BD15" s="83">
        <f t="shared" ca="1" si="40"/>
        <v>0.61160393212644715</v>
      </c>
      <c r="BE15" s="83">
        <f t="shared" ca="1" si="41"/>
        <v>0.82493078457546309</v>
      </c>
      <c r="BF15" s="83">
        <f t="shared" ca="1" si="42"/>
        <v>0.98651516505931669</v>
      </c>
      <c r="BG15" s="83">
        <f t="shared" ca="1" si="43"/>
        <v>9.83913752993465</v>
      </c>
      <c r="BH15" s="83">
        <f t="shared" ca="1" si="44"/>
        <v>4.8721493728095764</v>
      </c>
      <c r="BI15" s="83">
        <f t="shared" ca="1" si="45"/>
        <v>1.1651900999405038</v>
      </c>
      <c r="BJ15" s="83">
        <f t="shared" ca="1" si="46"/>
        <v>1.3748846409591051</v>
      </c>
      <c r="BK15" s="83">
        <f t="shared" ca="1" si="47"/>
        <v>0.74839081487258519</v>
      </c>
      <c r="BL15" s="83">
        <f t="shared" ca="1" si="48"/>
        <v>4.2550640169183902</v>
      </c>
      <c r="BM15" s="83">
        <f t="shared" ca="1" si="49"/>
        <v>4.8986271674190895</v>
      </c>
      <c r="BN15" s="83">
        <f t="shared" ca="1" si="50"/>
        <v>0.25141031202035768</v>
      </c>
      <c r="BO15" s="83">
        <f t="shared" ca="1" si="51"/>
        <v>0.51026646468585346</v>
      </c>
      <c r="BP15" s="83">
        <f t="shared" ca="1" si="52"/>
        <v>0.19276733110354466</v>
      </c>
      <c r="BQ15" s="83">
        <f t="shared" ca="1" si="53"/>
        <v>3.4062848429399182</v>
      </c>
      <c r="BR15" s="83">
        <f t="shared" ca="1" si="54"/>
        <v>7.2175704088111541</v>
      </c>
      <c r="BS15" s="83">
        <f t="shared" ca="1" si="55"/>
        <v>0.65269984851439022</v>
      </c>
      <c r="BT15" s="83">
        <f t="shared" ca="1" si="56"/>
        <v>0.80508708872656876</v>
      </c>
      <c r="BU15" s="83">
        <f t="shared" ca="1" si="57"/>
        <v>0.69169454101860139</v>
      </c>
      <c r="BV15" s="83">
        <f t="shared" ca="1" si="58"/>
        <v>5.0815068968447967</v>
      </c>
      <c r="BW15" s="83">
        <f t="shared" ca="1" si="59"/>
        <v>6.2209735715106991</v>
      </c>
      <c r="BX15" s="83">
        <f t="shared" ca="1" si="60"/>
        <v>0.58501245681660152</v>
      </c>
      <c r="BY15" s="83">
        <f t="shared" ca="1" si="61"/>
        <v>0.80508708872656876</v>
      </c>
      <c r="BZ15" s="83">
        <f t="shared" ca="1" si="62"/>
        <v>0.69169454101860139</v>
      </c>
      <c r="CA15" s="83">
        <f t="shared" ca="1" si="63"/>
        <v>7.0471007734265196</v>
      </c>
      <c r="CB15" s="83">
        <f t="shared" ca="1" si="64"/>
        <v>5.0291582549657718</v>
      </c>
      <c r="CC15" s="83">
        <f t="shared" ca="1" si="65"/>
        <v>0.71555242651947959</v>
      </c>
      <c r="CD15" s="83">
        <f t="shared" ca="1" si="66"/>
        <v>4.5342676925692036</v>
      </c>
      <c r="CE15" s="83">
        <f t="shared" ca="1" si="67"/>
        <v>3.1709379338962762</v>
      </c>
      <c r="CF15" s="83">
        <f t="shared" ca="1" si="68"/>
        <v>7.7760002179792842</v>
      </c>
      <c r="CG15" s="83">
        <f t="shared" ca="1" si="69"/>
        <v>3.1709379338962762</v>
      </c>
      <c r="CH15" s="83">
        <f t="shared" ca="1" si="70"/>
        <v>4.4203944356133178</v>
      </c>
      <c r="CI15" s="83">
        <f t="shared" ca="1" si="71"/>
        <v>10.618859945305186</v>
      </c>
      <c r="CJ15" s="83">
        <f t="shared" ca="1" si="72"/>
        <v>4.4203944356133178</v>
      </c>
      <c r="CK15" s="83">
        <f t="shared" ca="1" si="73"/>
        <v>2.7920367565081299</v>
      </c>
    </row>
    <row r="16" spans="1:89" x14ac:dyDescent="0.25">
      <c r="A16" t="str">
        <f>Plantilla!D19</f>
        <v>J. Vartiainen</v>
      </c>
      <c r="B16" s="319">
        <f>Plantilla!E19</f>
        <v>19</v>
      </c>
      <c r="C16" s="115">
        <f ca="1">Plantilla!F19</f>
        <v>97</v>
      </c>
      <c r="D16" s="319" t="str">
        <f>Plantilla!G19</f>
        <v>CAB</v>
      </c>
      <c r="E16" s="265">
        <f>Plantilla!O19</f>
        <v>43628</v>
      </c>
      <c r="F16" s="115">
        <f>Plantilla!Q19</f>
        <v>5</v>
      </c>
      <c r="G16" s="142">
        <f t="shared" si="0"/>
        <v>0.84515425472851657</v>
      </c>
      <c r="H16" s="142">
        <f t="shared" si="1"/>
        <v>0.92504826128926143</v>
      </c>
      <c r="I16" s="195">
        <f ca="1">Plantilla!P19</f>
        <v>0.43038593336745762</v>
      </c>
      <c r="J16" s="196">
        <f>Plantilla!I19</f>
        <v>0.4</v>
      </c>
      <c r="K16" s="49">
        <f>Plantilla!X19</f>
        <v>0</v>
      </c>
      <c r="L16" s="49">
        <f>Plantilla!Y19</f>
        <v>7</v>
      </c>
      <c r="M16" s="49">
        <f>Plantilla!Z19</f>
        <v>9</v>
      </c>
      <c r="N16" s="49">
        <f>Plantilla!AA19</f>
        <v>1</v>
      </c>
      <c r="O16" s="49">
        <f>Plantilla!AB19</f>
        <v>1</v>
      </c>
      <c r="P16" s="49">
        <f>Plantilla!AC19</f>
        <v>6</v>
      </c>
      <c r="Q16" s="49">
        <f>Plantilla!AD19</f>
        <v>1</v>
      </c>
      <c r="R16" s="196">
        <f t="shared" si="2"/>
        <v>1.5</v>
      </c>
      <c r="S16" s="196">
        <f t="shared" ca="1" si="3"/>
        <v>2.6885563538551445</v>
      </c>
      <c r="T16" s="49">
        <f t="shared" si="4"/>
        <v>0.32999999999999996</v>
      </c>
      <c r="U16" s="49">
        <f t="shared" si="5"/>
        <v>0.31</v>
      </c>
      <c r="V16" s="196">
        <f t="shared" ca="1" si="6"/>
        <v>0.83413554876053608</v>
      </c>
      <c r="W16" s="196">
        <f t="shared" ca="1" si="7"/>
        <v>0.91298793651386034</v>
      </c>
      <c r="X16" s="83">
        <f t="shared" ca="1" si="8"/>
        <v>1.8445247497355388</v>
      </c>
      <c r="Y16" s="83">
        <f t="shared" ca="1" si="9"/>
        <v>2.8456408383832534</v>
      </c>
      <c r="Z16" s="83">
        <f t="shared" ca="1" si="10"/>
        <v>1.8445247497355388</v>
      </c>
      <c r="AA16" s="83">
        <f t="shared" ca="1" si="11"/>
        <v>3.5602964156512464</v>
      </c>
      <c r="AB16" s="83">
        <f t="shared" ca="1" si="12"/>
        <v>6.899799255138074</v>
      </c>
      <c r="AC16" s="83">
        <f t="shared" ca="1" si="13"/>
        <v>1.7801482078256232</v>
      </c>
      <c r="AD16" s="83">
        <f t="shared" ca="1" si="14"/>
        <v>2.1181522227228613</v>
      </c>
      <c r="AE16" s="83">
        <f t="shared" ca="1" si="15"/>
        <v>2.6081241184421922</v>
      </c>
      <c r="AF16" s="83">
        <f t="shared" ca="1" si="16"/>
        <v>4.9885548614648272</v>
      </c>
      <c r="AG16" s="83">
        <f t="shared" ca="1" si="17"/>
        <v>1.3040620592210961</v>
      </c>
      <c r="AH16" s="83">
        <f t="shared" ca="1" si="18"/>
        <v>3.4264227132281584</v>
      </c>
      <c r="AI16" s="83">
        <f t="shared" ca="1" si="19"/>
        <v>6.3478153147270282</v>
      </c>
      <c r="AJ16" s="83">
        <f t="shared" ca="1" si="20"/>
        <v>2.8565168916271624</v>
      </c>
      <c r="AK16" s="83">
        <f t="shared" ca="1" si="21"/>
        <v>1.4862664756080584</v>
      </c>
      <c r="AL16" s="83">
        <f t="shared" ca="1" si="22"/>
        <v>0.52908196202118751</v>
      </c>
      <c r="AM16" s="83">
        <f t="shared" ca="1" si="23"/>
        <v>5.2024486383741078</v>
      </c>
      <c r="AN16" s="83">
        <f t="shared" ca="1" si="24"/>
        <v>4.8850578726377565</v>
      </c>
      <c r="AO16" s="83">
        <f t="shared" ca="1" si="25"/>
        <v>0.15026647560805839</v>
      </c>
      <c r="AP16" s="83">
        <f t="shared" ca="1" si="26"/>
        <v>0.40314218547976527</v>
      </c>
      <c r="AQ16" s="83">
        <f t="shared" ca="1" si="27"/>
        <v>1.8629457988872802</v>
      </c>
      <c r="AR16" s="83">
        <f t="shared" ca="1" si="28"/>
        <v>4.0984807575520161</v>
      </c>
      <c r="AS16" s="83">
        <f t="shared" ca="1" si="29"/>
        <v>0.93147289944364009</v>
      </c>
      <c r="AT16" s="83">
        <f t="shared" ca="1" si="30"/>
        <v>8.4014104968503407</v>
      </c>
      <c r="AU16" s="83">
        <f t="shared" ca="1" si="31"/>
        <v>0.11697390316794964</v>
      </c>
      <c r="AV16" s="83">
        <f t="shared" ca="1" si="32"/>
        <v>1.1286411817554558</v>
      </c>
      <c r="AW16" s="83">
        <f t="shared" ca="1" si="33"/>
        <v>5.8486951583974822E-2</v>
      </c>
      <c r="AX16" s="83">
        <f t="shared" ca="1" si="34"/>
        <v>1.3040620592210961</v>
      </c>
      <c r="AY16" s="83">
        <f t="shared" ca="1" si="35"/>
        <v>2.75991970205523</v>
      </c>
      <c r="AZ16" s="83">
        <f t="shared" ca="1" si="36"/>
        <v>0.65203102961054804</v>
      </c>
      <c r="BA16" s="83">
        <f t="shared" ca="1" si="37"/>
        <v>8.899799255138074</v>
      </c>
      <c r="BB16" s="83">
        <f t="shared" ca="1" si="38"/>
        <v>0.22764921154993276</v>
      </c>
      <c r="BC16" s="83">
        <f t="shared" ca="1" si="39"/>
        <v>1.5457893895810786</v>
      </c>
      <c r="BD16" s="83">
        <f t="shared" ca="1" si="40"/>
        <v>0.11382460577496638</v>
      </c>
      <c r="BE16" s="83">
        <f t="shared" ca="1" si="41"/>
        <v>2.0078415832451793</v>
      </c>
      <c r="BF16" s="83">
        <f t="shared" ca="1" si="42"/>
        <v>2.4011301407880494</v>
      </c>
      <c r="BG16" s="83">
        <f t="shared" ca="1" si="43"/>
        <v>7.8407231437766436</v>
      </c>
      <c r="BH16" s="83">
        <f t="shared" ca="1" si="44"/>
        <v>0.79992153781774777</v>
      </c>
      <c r="BI16" s="83">
        <f t="shared" ca="1" si="45"/>
        <v>0.21685162048827586</v>
      </c>
      <c r="BJ16" s="83">
        <f t="shared" ca="1" si="46"/>
        <v>3.3464026387419659</v>
      </c>
      <c r="BK16" s="83">
        <f t="shared" ca="1" si="47"/>
        <v>1.8215470033564516</v>
      </c>
      <c r="BL16" s="83">
        <f t="shared" ca="1" si="48"/>
        <v>3.3908235162076061</v>
      </c>
      <c r="BM16" s="83">
        <f t="shared" ca="1" si="49"/>
        <v>0.78642454899067693</v>
      </c>
      <c r="BN16" s="83">
        <f t="shared" ca="1" si="50"/>
        <v>4.6789561267179855E-2</v>
      </c>
      <c r="BO16" s="83">
        <f t="shared" ca="1" si="51"/>
        <v>1.2419638659248533</v>
      </c>
      <c r="BP16" s="83">
        <f t="shared" ca="1" si="52"/>
        <v>0.46918634934938908</v>
      </c>
      <c r="BQ16" s="83">
        <f t="shared" ca="1" si="53"/>
        <v>2.7144387728171124</v>
      </c>
      <c r="BR16" s="83">
        <f t="shared" ca="1" si="54"/>
        <v>1.1571418421075634</v>
      </c>
      <c r="BS16" s="83">
        <f t="shared" ca="1" si="55"/>
        <v>0.12147289944364001</v>
      </c>
      <c r="BT16" s="83">
        <f t="shared" ca="1" si="56"/>
        <v>1.9595429884592128</v>
      </c>
      <c r="BU16" s="83">
        <f t="shared" ca="1" si="57"/>
        <v>1.6835510182536899</v>
      </c>
      <c r="BV16" s="83">
        <f t="shared" ca="1" si="58"/>
        <v>4.0494086610878242</v>
      </c>
      <c r="BW16" s="83">
        <f t="shared" ca="1" si="59"/>
        <v>0.99697757469298609</v>
      </c>
      <c r="BX16" s="83">
        <f t="shared" ca="1" si="60"/>
        <v>0.10887570987170697</v>
      </c>
      <c r="BY16" s="83">
        <f t="shared" ca="1" si="61"/>
        <v>1.9595429884592128</v>
      </c>
      <c r="BZ16" s="83">
        <f t="shared" ca="1" si="62"/>
        <v>1.6835510182536899</v>
      </c>
      <c r="CA16" s="83">
        <f t="shared" ca="1" si="63"/>
        <v>5.6157733299921251</v>
      </c>
      <c r="CB16" s="83">
        <f t="shared" ca="1" si="64"/>
        <v>0.80532033334857633</v>
      </c>
      <c r="CC16" s="83">
        <f t="shared" ca="1" si="65"/>
        <v>0.13317028976043496</v>
      </c>
      <c r="CD16" s="83">
        <f t="shared" ca="1" si="66"/>
        <v>3.6133184975860582</v>
      </c>
      <c r="CE16" s="83">
        <f t="shared" ca="1" si="67"/>
        <v>1.1037954119269364</v>
      </c>
      <c r="CF16" s="83">
        <f t="shared" ca="1" si="68"/>
        <v>3.9281739612854714</v>
      </c>
      <c r="CG16" s="83">
        <f t="shared" ca="1" si="69"/>
        <v>1.1037954119269364</v>
      </c>
      <c r="CH16" s="83">
        <f t="shared" ca="1" si="70"/>
        <v>2.0086745932754813</v>
      </c>
      <c r="CI16" s="83">
        <f t="shared" ca="1" si="71"/>
        <v>6.231825180284023</v>
      </c>
      <c r="CJ16" s="83">
        <f t="shared" ca="1" si="72"/>
        <v>2.0086745932754813</v>
      </c>
      <c r="CK16" s="83">
        <f t="shared" ca="1" si="73"/>
        <v>2.2249498137845185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92</v>
      </c>
      <c r="D17" s="319" t="str">
        <f>Plantilla!G16</f>
        <v>POT</v>
      </c>
      <c r="E17" s="265">
        <f>Plantilla!O16</f>
        <v>43626</v>
      </c>
      <c r="F17" s="115">
        <f>Plantilla!Q16</f>
        <v>3</v>
      </c>
      <c r="G17" s="142">
        <f t="shared" si="0"/>
        <v>0.65465367070797709</v>
      </c>
      <c r="H17" s="142">
        <f t="shared" si="1"/>
        <v>0.75498344352707503</v>
      </c>
      <c r="I17" s="195">
        <f ca="1">Plantilla!P16</f>
        <v>0.4364827370446035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9.8000000000000007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5.3740997040178549</v>
      </c>
      <c r="T17" s="49">
        <f t="shared" si="4"/>
        <v>0.36</v>
      </c>
      <c r="U17" s="49">
        <f t="shared" si="5"/>
        <v>0.34</v>
      </c>
      <c r="V17" s="196">
        <f t="shared" ca="1" si="6"/>
        <v>1.9331227946989522</v>
      </c>
      <c r="W17" s="196">
        <f t="shared" ca="1" si="7"/>
        <v>2.2293859633050612</v>
      </c>
      <c r="X17" s="83">
        <f t="shared" ca="1" si="8"/>
        <v>2.6881126885102211</v>
      </c>
      <c r="Y17" s="83">
        <f t="shared" ca="1" si="9"/>
        <v>4.093146026193236</v>
      </c>
      <c r="Z17" s="83">
        <f t="shared" ca="1" si="10"/>
        <v>2.6881126885102211</v>
      </c>
      <c r="AA17" s="83">
        <f t="shared" ca="1" si="11"/>
        <v>4.0589119670919525</v>
      </c>
      <c r="AB17" s="83">
        <f t="shared" ca="1" si="12"/>
        <v>7.8661084633564959</v>
      </c>
      <c r="AC17" s="83">
        <f t="shared" ca="1" si="13"/>
        <v>2.0294559835459762</v>
      </c>
      <c r="AD17" s="83">
        <f t="shared" ca="1" si="14"/>
        <v>2.5385338142788458</v>
      </c>
      <c r="AE17" s="83">
        <f t="shared" ca="1" si="15"/>
        <v>2.9733889991487557</v>
      </c>
      <c r="AF17" s="83">
        <f t="shared" ca="1" si="16"/>
        <v>5.6871964190067468</v>
      </c>
      <c r="AG17" s="83">
        <f t="shared" ca="1" si="17"/>
        <v>1.4866944995743778</v>
      </c>
      <c r="AH17" s="83">
        <f t="shared" ca="1" si="18"/>
        <v>4.1064517583922511</v>
      </c>
      <c r="AI17" s="83">
        <f t="shared" ca="1" si="19"/>
        <v>7.2368197862879766</v>
      </c>
      <c r="AJ17" s="83">
        <f t="shared" ca="1" si="20"/>
        <v>3.2565689038295891</v>
      </c>
      <c r="AK17" s="83">
        <f t="shared" ca="1" si="21"/>
        <v>1.7812401133805349</v>
      </c>
      <c r="AL17" s="83">
        <f t="shared" ca="1" si="22"/>
        <v>1.6852717764536196</v>
      </c>
      <c r="AM17" s="83">
        <f t="shared" ca="1" si="23"/>
        <v>5.9310457813707984</v>
      </c>
      <c r="AN17" s="83">
        <f t="shared" ca="1" si="24"/>
        <v>5.5692047920563992</v>
      </c>
      <c r="AO17" s="83">
        <f t="shared" ca="1" si="25"/>
        <v>0.47864011338053486</v>
      </c>
      <c r="AP17" s="83">
        <f t="shared" ca="1" si="26"/>
        <v>0.89743923744667076</v>
      </c>
      <c r="AQ17" s="83">
        <f t="shared" ca="1" si="27"/>
        <v>2.123849285106254</v>
      </c>
      <c r="AR17" s="83">
        <f t="shared" ca="1" si="28"/>
        <v>4.672468427233758</v>
      </c>
      <c r="AS17" s="83">
        <f t="shared" ca="1" si="29"/>
        <v>1.061924642553127</v>
      </c>
      <c r="AT17" s="83">
        <f t="shared" ca="1" si="30"/>
        <v>10.068806389408531</v>
      </c>
      <c r="AU17" s="83">
        <f t="shared" ca="1" si="31"/>
        <v>0.63259410023634455</v>
      </c>
      <c r="AV17" s="83">
        <f t="shared" ca="1" si="32"/>
        <v>1.7717697797634533</v>
      </c>
      <c r="AW17" s="83">
        <f t="shared" ca="1" si="33"/>
        <v>0.31629705011817227</v>
      </c>
      <c r="AX17" s="83">
        <f t="shared" ca="1" si="34"/>
        <v>1.4866944995743778</v>
      </c>
      <c r="AY17" s="83">
        <f t="shared" ca="1" si="35"/>
        <v>3.1464433853425984</v>
      </c>
      <c r="AZ17" s="83">
        <f t="shared" ca="1" si="36"/>
        <v>0.74334724978718891</v>
      </c>
      <c r="BA17" s="83">
        <f t="shared" ca="1" si="37"/>
        <v>10.666108463356496</v>
      </c>
      <c r="BB17" s="83">
        <f t="shared" ca="1" si="38"/>
        <v>1.2311254412291934</v>
      </c>
      <c r="BC17" s="83">
        <f t="shared" ca="1" si="39"/>
        <v>3.1012257633094293</v>
      </c>
      <c r="BD17" s="83">
        <f t="shared" ca="1" si="40"/>
        <v>0.61556272061459671</v>
      </c>
      <c r="BE17" s="83">
        <f t="shared" ca="1" si="41"/>
        <v>2.2890375628367403</v>
      </c>
      <c r="BF17" s="83">
        <f t="shared" ca="1" si="42"/>
        <v>2.7374057452480605</v>
      </c>
      <c r="BG17" s="83">
        <f t="shared" ca="1" si="43"/>
        <v>9.3968415562170726</v>
      </c>
      <c r="BH17" s="83">
        <f t="shared" ca="1" si="44"/>
        <v>3.1779704239239246</v>
      </c>
      <c r="BI17" s="83">
        <f t="shared" ca="1" si="45"/>
        <v>1.1727321396689154</v>
      </c>
      <c r="BJ17" s="83">
        <f t="shared" ca="1" si="46"/>
        <v>3.8150626047279004</v>
      </c>
      <c r="BK17" s="83">
        <f t="shared" ca="1" si="47"/>
        <v>2.0766526343261149</v>
      </c>
      <c r="BL17" s="83">
        <f t="shared" ca="1" si="48"/>
        <v>4.0637873245388247</v>
      </c>
      <c r="BM17" s="83">
        <f t="shared" ca="1" si="49"/>
        <v>2.9069787969735779</v>
      </c>
      <c r="BN17" s="83">
        <f t="shared" ca="1" si="50"/>
        <v>0.25303764009453777</v>
      </c>
      <c r="BO17" s="83">
        <f t="shared" ca="1" si="51"/>
        <v>1.4158995234041691</v>
      </c>
      <c r="BP17" s="83">
        <f t="shared" ca="1" si="52"/>
        <v>0.53489537550824173</v>
      </c>
      <c r="BQ17" s="83">
        <f t="shared" ca="1" si="53"/>
        <v>3.2531630813237311</v>
      </c>
      <c r="BR17" s="83">
        <f t="shared" ca="1" si="54"/>
        <v>4.2578154838764535</v>
      </c>
      <c r="BS17" s="83">
        <f t="shared" ca="1" si="55"/>
        <v>0.65692464255312699</v>
      </c>
      <c r="BT17" s="83">
        <f t="shared" ca="1" si="56"/>
        <v>2.2339748035932447</v>
      </c>
      <c r="BU17" s="83">
        <f t="shared" ca="1" si="57"/>
        <v>1.9193304650589849</v>
      </c>
      <c r="BV17" s="83">
        <f t="shared" ca="1" si="58"/>
        <v>4.8530793508272057</v>
      </c>
      <c r="BW17" s="83">
        <f t="shared" ca="1" si="59"/>
        <v>3.6636481773989975</v>
      </c>
      <c r="BX17" s="83">
        <f t="shared" ca="1" si="60"/>
        <v>0.58879912406613599</v>
      </c>
      <c r="BY17" s="83">
        <f t="shared" ca="1" si="61"/>
        <v>2.2339748035932447</v>
      </c>
      <c r="BZ17" s="83">
        <f t="shared" ca="1" si="62"/>
        <v>1.9193304650589849</v>
      </c>
      <c r="CA17" s="83">
        <f t="shared" ca="1" si="63"/>
        <v>6.7303144403779491</v>
      </c>
      <c r="CB17" s="83">
        <f t="shared" ca="1" si="64"/>
        <v>2.9511670747040637</v>
      </c>
      <c r="CC17" s="83">
        <f t="shared" ca="1" si="65"/>
        <v>0.72018405257676132</v>
      </c>
      <c r="CD17" s="83">
        <f t="shared" ca="1" si="66"/>
        <v>4.330440036122738</v>
      </c>
      <c r="CE17" s="83">
        <f t="shared" ca="1" si="67"/>
        <v>2.5012425094087343</v>
      </c>
      <c r="CF17" s="83">
        <f t="shared" ca="1" si="68"/>
        <v>6.6452381297394147</v>
      </c>
      <c r="CG17" s="83">
        <f t="shared" ca="1" si="69"/>
        <v>2.5012425094087343</v>
      </c>
      <c r="CH17" s="83">
        <f t="shared" ca="1" si="70"/>
        <v>3.2561000610395001</v>
      </c>
      <c r="CI17" s="83">
        <f t="shared" ca="1" si="71"/>
        <v>8.6617024863350434</v>
      </c>
      <c r="CJ17" s="83">
        <f t="shared" ca="1" si="72"/>
        <v>3.2561000610395001</v>
      </c>
      <c r="CK17" s="83">
        <f t="shared" ca="1" si="73"/>
        <v>2.6665271158391239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50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0.35970673264589692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9.5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0.57715486085184153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3.2033298945582689</v>
      </c>
      <c r="W18" s="196">
        <f t="shared" ca="1" si="7"/>
        <v>3.5061466385788953</v>
      </c>
      <c r="X18" s="83">
        <f t="shared" ca="1" si="8"/>
        <v>1.4391611735401164</v>
      </c>
      <c r="Y18" s="83">
        <f t="shared" ca="1" si="9"/>
        <v>2.178790463963677</v>
      </c>
      <c r="Z18" s="83">
        <f t="shared" ca="1" si="10"/>
        <v>1.4391611735401164</v>
      </c>
      <c r="AA18" s="83">
        <f t="shared" ca="1" si="11"/>
        <v>1.9092361575563574</v>
      </c>
      <c r="AB18" s="83">
        <f t="shared" ca="1" si="12"/>
        <v>3.7000700727836384</v>
      </c>
      <c r="AC18" s="83">
        <f t="shared" ca="1" si="13"/>
        <v>0.95461807877817872</v>
      </c>
      <c r="AD18" s="83">
        <f t="shared" ca="1" si="14"/>
        <v>2.4276166773225061</v>
      </c>
      <c r="AE18" s="83">
        <f t="shared" ca="1" si="15"/>
        <v>1.3986264875122154</v>
      </c>
      <c r="AF18" s="83">
        <f t="shared" ca="1" si="16"/>
        <v>2.6751506626225705</v>
      </c>
      <c r="AG18" s="83">
        <f t="shared" ca="1" si="17"/>
        <v>0.69931324375610771</v>
      </c>
      <c r="AH18" s="83">
        <f t="shared" ca="1" si="18"/>
        <v>3.9270269780217011</v>
      </c>
      <c r="AI18" s="83">
        <f t="shared" ca="1" si="19"/>
        <v>3.4040644669609477</v>
      </c>
      <c r="AJ18" s="83">
        <f t="shared" ca="1" si="20"/>
        <v>1.5318290101324263</v>
      </c>
      <c r="AK18" s="83">
        <f t="shared" ca="1" si="21"/>
        <v>1.7034117021548678</v>
      </c>
      <c r="AL18" s="83">
        <f t="shared" ca="1" si="22"/>
        <v>5.7036412027967796</v>
      </c>
      <c r="AM18" s="83">
        <f t="shared" ca="1" si="23"/>
        <v>2.7898528348788636</v>
      </c>
      <c r="AN18" s="83">
        <f t="shared" ca="1" si="24"/>
        <v>2.6196496115308157</v>
      </c>
      <c r="AO18" s="83">
        <f t="shared" ca="1" si="25"/>
        <v>0.61791170215486768</v>
      </c>
      <c r="AP18" s="83">
        <f t="shared" ca="1" si="26"/>
        <v>0.84962018096168779</v>
      </c>
      <c r="AQ18" s="83">
        <f t="shared" ca="1" si="27"/>
        <v>0.9990189196515824</v>
      </c>
      <c r="AR18" s="83">
        <f t="shared" ca="1" si="28"/>
        <v>2.1978416232334812</v>
      </c>
      <c r="AS18" s="83">
        <f t="shared" ca="1" si="29"/>
        <v>0.4995094598257912</v>
      </c>
      <c r="AT18" s="83">
        <f t="shared" ca="1" si="30"/>
        <v>9.628866148707754</v>
      </c>
      <c r="AU18" s="83">
        <f t="shared" ca="1" si="31"/>
        <v>0.87100910946187293</v>
      </c>
      <c r="AV18" s="83">
        <f t="shared" ca="1" si="32"/>
        <v>1.444120531325606</v>
      </c>
      <c r="AW18" s="83">
        <f t="shared" ca="1" si="33"/>
        <v>0.43550455473093647</v>
      </c>
      <c r="AX18" s="83">
        <f t="shared" ca="1" si="34"/>
        <v>0.69931324375610771</v>
      </c>
      <c r="AY18" s="83">
        <f t="shared" ca="1" si="35"/>
        <v>1.4800280291134555</v>
      </c>
      <c r="AZ18" s="83">
        <f t="shared" ca="1" si="36"/>
        <v>0.34965662187805385</v>
      </c>
      <c r="BA18" s="83">
        <f t="shared" ca="1" si="37"/>
        <v>10.200070072783639</v>
      </c>
      <c r="BB18" s="83">
        <f t="shared" ca="1" si="38"/>
        <v>1.6951177284142604</v>
      </c>
      <c r="BC18" s="83">
        <f t="shared" ca="1" si="39"/>
        <v>3.0617386101037845</v>
      </c>
      <c r="BD18" s="83">
        <f t="shared" ca="1" si="40"/>
        <v>0.84755886420713022</v>
      </c>
      <c r="BE18" s="83">
        <f t="shared" ca="1" si="41"/>
        <v>1.0767203911800387</v>
      </c>
      <c r="BF18" s="83">
        <f t="shared" ca="1" si="42"/>
        <v>1.2876243853287062</v>
      </c>
      <c r="BG18" s="83">
        <f t="shared" ca="1" si="43"/>
        <v>8.9862617341223867</v>
      </c>
      <c r="BH18" s="83">
        <f t="shared" ca="1" si="44"/>
        <v>7.6783622947046535</v>
      </c>
      <c r="BI18" s="83">
        <f t="shared" ca="1" si="45"/>
        <v>1.6147168875408566</v>
      </c>
      <c r="BJ18" s="83">
        <f t="shared" ca="1" si="46"/>
        <v>1.7945339853000646</v>
      </c>
      <c r="BK18" s="83">
        <f t="shared" ca="1" si="47"/>
        <v>0.97681849921488062</v>
      </c>
      <c r="BL18" s="83">
        <f t="shared" ca="1" si="48"/>
        <v>3.8862266977305664</v>
      </c>
      <c r="BM18" s="83">
        <f t="shared" ca="1" si="49"/>
        <v>7.8748612436129015</v>
      </c>
      <c r="BN18" s="83">
        <f t="shared" ca="1" si="50"/>
        <v>0.34840364378474914</v>
      </c>
      <c r="BO18" s="83">
        <f t="shared" ca="1" si="51"/>
        <v>0.66601261310105486</v>
      </c>
      <c r="BP18" s="83">
        <f t="shared" ca="1" si="52"/>
        <v>0.25160476494928741</v>
      </c>
      <c r="BQ18" s="83">
        <f t="shared" ca="1" si="53"/>
        <v>3.1110213721990099</v>
      </c>
      <c r="BR18" s="83">
        <f t="shared" ca="1" si="54"/>
        <v>11.61629011359976</v>
      </c>
      <c r="BS18" s="83">
        <f t="shared" ca="1" si="55"/>
        <v>0.90450945982579123</v>
      </c>
      <c r="BT18" s="83">
        <f t="shared" ca="1" si="56"/>
        <v>1.0508199006705532</v>
      </c>
      <c r="BU18" s="83">
        <f t="shared" ca="1" si="57"/>
        <v>0.90281709775920771</v>
      </c>
      <c r="BV18" s="83">
        <f t="shared" ca="1" si="58"/>
        <v>4.6410318831165558</v>
      </c>
      <c r="BW18" s="83">
        <f t="shared" ca="1" si="59"/>
        <v>10.01567764064427</v>
      </c>
      <c r="BX18" s="83">
        <f t="shared" ca="1" si="60"/>
        <v>0.81070847880682018</v>
      </c>
      <c r="BY18" s="83">
        <f t="shared" ca="1" si="61"/>
        <v>1.0508199006705532</v>
      </c>
      <c r="BZ18" s="83">
        <f t="shared" ca="1" si="62"/>
        <v>0.90281709775920771</v>
      </c>
      <c r="CA18" s="83">
        <f t="shared" ca="1" si="63"/>
        <v>6.4362442159264761</v>
      </c>
      <c r="CB18" s="83">
        <f t="shared" ca="1" si="64"/>
        <v>8.1025627151413566</v>
      </c>
      <c r="CC18" s="83">
        <f t="shared" ca="1" si="65"/>
        <v>0.99161037077197833</v>
      </c>
      <c r="CD18" s="83">
        <f t="shared" ca="1" si="66"/>
        <v>4.1412284495501579</v>
      </c>
      <c r="CE18" s="83">
        <f t="shared" ca="1" si="67"/>
        <v>3.5417365079202754</v>
      </c>
      <c r="CF18" s="83">
        <f t="shared" ca="1" si="68"/>
        <v>5.7952789019543776</v>
      </c>
      <c r="CG18" s="83">
        <f t="shared" ca="1" si="69"/>
        <v>3.5417365079202754</v>
      </c>
      <c r="CH18" s="83">
        <f t="shared" ca="1" si="70"/>
        <v>4.2236199048562737</v>
      </c>
      <c r="CI18" s="83">
        <f t="shared" ca="1" si="71"/>
        <v>6.1723959296408006</v>
      </c>
      <c r="CJ18" s="83">
        <f t="shared" ca="1" si="72"/>
        <v>4.2236199048562737</v>
      </c>
      <c r="CK18" s="83">
        <f t="shared" ca="1" si="73"/>
        <v>2.5500175181959097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56</v>
      </c>
      <c r="D19" s="319">
        <f>Plantilla!G18</f>
        <v>0</v>
      </c>
      <c r="E19" s="265">
        <f>Plantilla!O18</f>
        <v>43639</v>
      </c>
      <c r="F19" s="115">
        <f>Plantilla!Q18</f>
        <v>3</v>
      </c>
      <c r="G19" s="142">
        <f t="shared" si="0"/>
        <v>0.65465367070797709</v>
      </c>
      <c r="H19" s="142">
        <f t="shared" si="1"/>
        <v>0.75498344352707503</v>
      </c>
      <c r="I19" s="195">
        <f ca="1">Plantilla!P18</f>
        <v>0.39593527945771984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10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4.0779433782899321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1.5505916486798414</v>
      </c>
      <c r="W19" s="196">
        <f t="shared" ca="1" si="7"/>
        <v>1.788229524717406</v>
      </c>
      <c r="X19" s="83">
        <f t="shared" ca="1" si="8"/>
        <v>1.9451016150439417</v>
      </c>
      <c r="Y19" s="83">
        <f t="shared" ca="1" si="9"/>
        <v>2.926979593381132</v>
      </c>
      <c r="Z19" s="83">
        <f t="shared" ca="1" si="10"/>
        <v>1.9451016150439417</v>
      </c>
      <c r="AA19" s="83">
        <f t="shared" ca="1" si="11"/>
        <v>2.2082799923971064</v>
      </c>
      <c r="AB19" s="83">
        <f t="shared" ca="1" si="12"/>
        <v>4.2796123883664849</v>
      </c>
      <c r="AC19" s="83">
        <f t="shared" ca="1" si="13"/>
        <v>1.1041399961985532</v>
      </c>
      <c r="AD19" s="83">
        <f t="shared" ca="1" si="14"/>
        <v>2.6845477484312235</v>
      </c>
      <c r="AE19" s="83">
        <f t="shared" ca="1" si="15"/>
        <v>1.6176934828025313</v>
      </c>
      <c r="AF19" s="83">
        <f t="shared" ca="1" si="16"/>
        <v>3.0941597567889687</v>
      </c>
      <c r="AG19" s="83">
        <f t="shared" ca="1" si="17"/>
        <v>0.80884674140126567</v>
      </c>
      <c r="AH19" s="83">
        <f t="shared" ca="1" si="18"/>
        <v>4.3426507695210974</v>
      </c>
      <c r="AI19" s="83">
        <f t="shared" ca="1" si="19"/>
        <v>3.9372433972971663</v>
      </c>
      <c r="AJ19" s="83">
        <f t="shared" ca="1" si="20"/>
        <v>1.7717595287837247</v>
      </c>
      <c r="AK19" s="83">
        <f t="shared" ca="1" si="21"/>
        <v>1.8836952688572033</v>
      </c>
      <c r="AL19" s="83">
        <f t="shared" ca="1" si="22"/>
        <v>6.0444120843594931</v>
      </c>
      <c r="AM19" s="83">
        <f t="shared" ca="1" si="23"/>
        <v>3.2268277408283295</v>
      </c>
      <c r="AN19" s="83">
        <f t="shared" ca="1" si="24"/>
        <v>3.029965570963471</v>
      </c>
      <c r="AO19" s="83">
        <f t="shared" ca="1" si="25"/>
        <v>0.38069526885720306</v>
      </c>
      <c r="AP19" s="83">
        <f t="shared" ca="1" si="26"/>
        <v>0.94452836784954775</v>
      </c>
      <c r="AQ19" s="83">
        <f t="shared" ca="1" si="27"/>
        <v>1.1554953448589511</v>
      </c>
      <c r="AR19" s="83">
        <f t="shared" ca="1" si="28"/>
        <v>2.5420897586896918</v>
      </c>
      <c r="AS19" s="83">
        <f t="shared" ca="1" si="29"/>
        <v>0.57774767242947556</v>
      </c>
      <c r="AT19" s="83">
        <f t="shared" ca="1" si="30"/>
        <v>10.647954094617962</v>
      </c>
      <c r="AU19" s="83">
        <f t="shared" ca="1" si="31"/>
        <v>0.8163496104876431</v>
      </c>
      <c r="AV19" s="83">
        <f t="shared" ca="1" si="32"/>
        <v>1.83992642979138</v>
      </c>
      <c r="AW19" s="83">
        <f t="shared" ca="1" si="33"/>
        <v>0.40817480524382155</v>
      </c>
      <c r="AX19" s="83">
        <f t="shared" ca="1" si="34"/>
        <v>0.80884674140126567</v>
      </c>
      <c r="AY19" s="83">
        <f t="shared" ca="1" si="35"/>
        <v>1.711844955346594</v>
      </c>
      <c r="AZ19" s="83">
        <f t="shared" ca="1" si="36"/>
        <v>0.40442337070063283</v>
      </c>
      <c r="BA19" s="83">
        <f t="shared" ca="1" si="37"/>
        <v>11.279612388366486</v>
      </c>
      <c r="BB19" s="83">
        <f t="shared" ca="1" si="38"/>
        <v>1.5887419342567206</v>
      </c>
      <c r="BC19" s="83">
        <f t="shared" ca="1" si="39"/>
        <v>3.4600664259899334</v>
      </c>
      <c r="BD19" s="83">
        <f t="shared" ca="1" si="40"/>
        <v>0.79437096712836031</v>
      </c>
      <c r="BE19" s="83">
        <f t="shared" ca="1" si="41"/>
        <v>1.2453672050146469</v>
      </c>
      <c r="BF19" s="83">
        <f t="shared" ca="1" si="42"/>
        <v>1.4893051111515367</v>
      </c>
      <c r="BG19" s="83">
        <f t="shared" ca="1" si="43"/>
        <v>9.9373385141508734</v>
      </c>
      <c r="BH19" s="83">
        <f t="shared" ca="1" si="44"/>
        <v>7.8785754132578054</v>
      </c>
      <c r="BI19" s="83">
        <f t="shared" ca="1" si="45"/>
        <v>1.5133865855963229</v>
      </c>
      <c r="BJ19" s="83">
        <f t="shared" ca="1" si="46"/>
        <v>2.0756120083577452</v>
      </c>
      <c r="BK19" s="83">
        <f t="shared" ca="1" si="47"/>
        <v>1.1298176705287521</v>
      </c>
      <c r="BL19" s="83">
        <f t="shared" ca="1" si="48"/>
        <v>4.2975323199676314</v>
      </c>
      <c r="BM19" s="83">
        <f t="shared" ca="1" si="49"/>
        <v>8.18038122743231</v>
      </c>
      <c r="BN19" s="83">
        <f t="shared" ca="1" si="50"/>
        <v>0.32653984419505722</v>
      </c>
      <c r="BO19" s="83">
        <f t="shared" ca="1" si="51"/>
        <v>0.77033022990596722</v>
      </c>
      <c r="BP19" s="83">
        <f t="shared" ca="1" si="52"/>
        <v>0.29101364240892097</v>
      </c>
      <c r="BQ19" s="83">
        <f t="shared" ca="1" si="53"/>
        <v>3.4402817784517783</v>
      </c>
      <c r="BR19" s="83">
        <f t="shared" ca="1" si="54"/>
        <v>12.075581531439301</v>
      </c>
      <c r="BS19" s="83">
        <f t="shared" ca="1" si="55"/>
        <v>0.84774767242947557</v>
      </c>
      <c r="BT19" s="83">
        <f t="shared" ca="1" si="56"/>
        <v>1.2154099182960816</v>
      </c>
      <c r="BU19" s="83">
        <f t="shared" ca="1" si="57"/>
        <v>1.0442254227614223</v>
      </c>
      <c r="BV19" s="83">
        <f t="shared" ca="1" si="58"/>
        <v>5.1322236367067511</v>
      </c>
      <c r="BW19" s="83">
        <f t="shared" ca="1" si="59"/>
        <v>10.413810526310066</v>
      </c>
      <c r="BX19" s="83">
        <f t="shared" ca="1" si="60"/>
        <v>0.75983309899234464</v>
      </c>
      <c r="BY19" s="83">
        <f t="shared" ca="1" si="61"/>
        <v>1.2154099182960816</v>
      </c>
      <c r="BZ19" s="83">
        <f t="shared" ca="1" si="62"/>
        <v>1.0442254227614223</v>
      </c>
      <c r="CA19" s="83">
        <f t="shared" ca="1" si="63"/>
        <v>7.1174354170592524</v>
      </c>
      <c r="CB19" s="83">
        <f t="shared" ca="1" si="64"/>
        <v>8.4282530875880042</v>
      </c>
      <c r="CC19" s="83">
        <f t="shared" ca="1" si="65"/>
        <v>0.92938263347823968</v>
      </c>
      <c r="CD19" s="83">
        <f t="shared" ca="1" si="66"/>
        <v>4.5795226296767932</v>
      </c>
      <c r="CE19" s="83">
        <f t="shared" ca="1" si="67"/>
        <v>3.8476780543389388</v>
      </c>
      <c r="CF19" s="83">
        <f t="shared" ca="1" si="68"/>
        <v>7.0708435493006618</v>
      </c>
      <c r="CG19" s="83">
        <f t="shared" ca="1" si="69"/>
        <v>3.8476780543389388</v>
      </c>
      <c r="CH19" s="83">
        <f t="shared" ca="1" si="70"/>
        <v>4.9532553452933135</v>
      </c>
      <c r="CI19" s="83">
        <f t="shared" ca="1" si="71"/>
        <v>8.5967893596737177</v>
      </c>
      <c r="CJ19" s="83">
        <f t="shared" ca="1" si="72"/>
        <v>4.9532553452933135</v>
      </c>
      <c r="CK19" s="83">
        <f t="shared" ca="1" si="73"/>
        <v>2.8199030970916215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37</v>
      </c>
      <c r="D20" s="319" t="str">
        <f>Plantilla!G15</f>
        <v>CAB</v>
      </c>
      <c r="E20" s="265">
        <f>Plantilla!O15</f>
        <v>43626</v>
      </c>
      <c r="F20" s="115">
        <f>Plantilla!Q15</f>
        <v>6</v>
      </c>
      <c r="G20" s="142">
        <f t="shared" si="0"/>
        <v>0.92582009977255142</v>
      </c>
      <c r="H20" s="142">
        <f t="shared" si="1"/>
        <v>0.99928545900129484</v>
      </c>
      <c r="I20" s="195">
        <f ca="1">Plantilla!P15</f>
        <v>0.4364827370446035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8.5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7.9579475872222414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7.9887563919867857</v>
      </c>
      <c r="W20" s="196">
        <f t="shared" ca="1" si="7"/>
        <v>8.6226774510266715</v>
      </c>
      <c r="X20" s="83">
        <f t="shared" ca="1" si="8"/>
        <v>2.1292163998393745</v>
      </c>
      <c r="Y20" s="83">
        <f t="shared" ca="1" si="9"/>
        <v>3.2497965317212283</v>
      </c>
      <c r="Z20" s="83">
        <f t="shared" ca="1" si="10"/>
        <v>2.1292163998393745</v>
      </c>
      <c r="AA20" s="83">
        <f t="shared" ca="1" si="11"/>
        <v>3.3757017895957815</v>
      </c>
      <c r="AB20" s="83">
        <f t="shared" ca="1" si="12"/>
        <v>6.5420577317747703</v>
      </c>
      <c r="AC20" s="83">
        <f t="shared" ca="1" si="13"/>
        <v>1.6878508947978907</v>
      </c>
      <c r="AD20" s="83">
        <f t="shared" ca="1" si="14"/>
        <v>2.152009740162395</v>
      </c>
      <c r="AE20" s="83">
        <f t="shared" ca="1" si="15"/>
        <v>2.4728978226108631</v>
      </c>
      <c r="AF20" s="83">
        <f t="shared" ca="1" si="16"/>
        <v>4.7299077400731591</v>
      </c>
      <c r="AG20" s="83">
        <f t="shared" ca="1" si="17"/>
        <v>1.2364489113054316</v>
      </c>
      <c r="AH20" s="83">
        <f t="shared" ca="1" si="18"/>
        <v>3.481192226733286</v>
      </c>
      <c r="AI20" s="83">
        <f t="shared" ca="1" si="19"/>
        <v>6.0186931132327892</v>
      </c>
      <c r="AJ20" s="83">
        <f t="shared" ca="1" si="20"/>
        <v>2.7084119009547547</v>
      </c>
      <c r="AK20" s="83">
        <f t="shared" ca="1" si="21"/>
        <v>1.5100236412063865</v>
      </c>
      <c r="AL20" s="83">
        <f t="shared" ca="1" si="22"/>
        <v>1.4947299462835646</v>
      </c>
      <c r="AM20" s="83">
        <f t="shared" ca="1" si="23"/>
        <v>4.9327115297581772</v>
      </c>
      <c r="AN20" s="83">
        <f t="shared" ca="1" si="24"/>
        <v>4.6317768740965368</v>
      </c>
      <c r="AO20" s="83">
        <f t="shared" ca="1" si="25"/>
        <v>1.4265236412063864</v>
      </c>
      <c r="AP20" s="83">
        <f t="shared" ca="1" si="26"/>
        <v>0.69611262675113372</v>
      </c>
      <c r="AQ20" s="83">
        <f t="shared" ca="1" si="27"/>
        <v>1.7663555875791881</v>
      </c>
      <c r="AR20" s="83">
        <f t="shared" ca="1" si="28"/>
        <v>3.8859822926742136</v>
      </c>
      <c r="AS20" s="83">
        <f t="shared" ca="1" si="29"/>
        <v>0.88317779378959405</v>
      </c>
      <c r="AT20" s="83">
        <f t="shared" ca="1" si="30"/>
        <v>8.5357024987953807</v>
      </c>
      <c r="AU20" s="83">
        <f t="shared" ca="1" si="31"/>
        <v>0.4604675051307201</v>
      </c>
      <c r="AV20" s="83">
        <f t="shared" ca="1" si="32"/>
        <v>1.5568229154100077</v>
      </c>
      <c r="AW20" s="83">
        <f t="shared" ca="1" si="33"/>
        <v>0.23023375256536005</v>
      </c>
      <c r="AX20" s="83">
        <f t="shared" ca="1" si="34"/>
        <v>1.2364489113054316</v>
      </c>
      <c r="AY20" s="83">
        <f t="shared" ca="1" si="35"/>
        <v>2.6168230927099083</v>
      </c>
      <c r="AZ20" s="83">
        <f t="shared" ca="1" si="36"/>
        <v>0.61822445565271578</v>
      </c>
      <c r="BA20" s="83">
        <f t="shared" ca="1" si="37"/>
        <v>9.0420577317747686</v>
      </c>
      <c r="BB20" s="83">
        <f t="shared" ca="1" si="38"/>
        <v>0.8961406061390168</v>
      </c>
      <c r="BC20" s="83">
        <f t="shared" ca="1" si="39"/>
        <v>2.5816738102078984</v>
      </c>
      <c r="BD20" s="83">
        <f t="shared" ca="1" si="40"/>
        <v>0.4480703030695084</v>
      </c>
      <c r="BE20" s="83">
        <f t="shared" ca="1" si="41"/>
        <v>1.9037387999464581</v>
      </c>
      <c r="BF20" s="83">
        <f t="shared" ca="1" si="42"/>
        <v>2.27663609065762</v>
      </c>
      <c r="BG20" s="83">
        <f t="shared" ca="1" si="43"/>
        <v>7.9660528616935711</v>
      </c>
      <c r="BH20" s="83">
        <f t="shared" ca="1" si="44"/>
        <v>2.5748893235477706</v>
      </c>
      <c r="BI20" s="83">
        <f t="shared" ca="1" si="45"/>
        <v>0.85363591335771949</v>
      </c>
      <c r="BJ20" s="83">
        <f t="shared" ca="1" si="46"/>
        <v>3.1728979999107634</v>
      </c>
      <c r="BK20" s="83">
        <f t="shared" ca="1" si="47"/>
        <v>1.7271032411885394</v>
      </c>
      <c r="BL20" s="83">
        <f t="shared" ca="1" si="48"/>
        <v>3.4450239958061868</v>
      </c>
      <c r="BM20" s="83">
        <f t="shared" ca="1" si="49"/>
        <v>2.4227584575711489</v>
      </c>
      <c r="BN20" s="83">
        <f t="shared" ca="1" si="50"/>
        <v>0.18418700205228802</v>
      </c>
      <c r="BO20" s="83">
        <f t="shared" ca="1" si="51"/>
        <v>1.1775703917194587</v>
      </c>
      <c r="BP20" s="83">
        <f t="shared" ca="1" si="52"/>
        <v>0.44485992576068439</v>
      </c>
      <c r="BQ20" s="83">
        <f t="shared" ca="1" si="53"/>
        <v>2.7578276081913042</v>
      </c>
      <c r="BR20" s="83">
        <f t="shared" ca="1" si="54"/>
        <v>3.555086243062354</v>
      </c>
      <c r="BS20" s="83">
        <f t="shared" ca="1" si="55"/>
        <v>0.47817779378959396</v>
      </c>
      <c r="BT20" s="83">
        <f t="shared" ca="1" si="56"/>
        <v>1.8579443958240347</v>
      </c>
      <c r="BU20" s="83">
        <f t="shared" ca="1" si="57"/>
        <v>1.5962620865530439</v>
      </c>
      <c r="BV20" s="83">
        <f t="shared" ca="1" si="58"/>
        <v>4.1141362679575195</v>
      </c>
      <c r="BW20" s="83">
        <f t="shared" ca="1" si="59"/>
        <v>3.060599966806445</v>
      </c>
      <c r="BX20" s="83">
        <f t="shared" ca="1" si="60"/>
        <v>0.42858898554474717</v>
      </c>
      <c r="BY20" s="83">
        <f t="shared" ca="1" si="61"/>
        <v>1.8579443958240347</v>
      </c>
      <c r="BZ20" s="83">
        <f t="shared" ca="1" si="62"/>
        <v>1.5962620865530439</v>
      </c>
      <c r="CA20" s="83">
        <f t="shared" ca="1" si="63"/>
        <v>5.7055384287498789</v>
      </c>
      <c r="CB20" s="83">
        <f t="shared" ca="1" si="64"/>
        <v>2.4681416699384187</v>
      </c>
      <c r="CC20" s="83">
        <f t="shared" ca="1" si="65"/>
        <v>0.52422454430266596</v>
      </c>
      <c r="CD20" s="83">
        <f t="shared" ca="1" si="66"/>
        <v>3.6710754391005564</v>
      </c>
      <c r="CE20" s="83">
        <f t="shared" ca="1" si="67"/>
        <v>2.0824120782546554</v>
      </c>
      <c r="CF20" s="83">
        <f t="shared" ca="1" si="68"/>
        <v>5.7373570059783905</v>
      </c>
      <c r="CG20" s="83">
        <f t="shared" ca="1" si="69"/>
        <v>2.0824120782546554</v>
      </c>
      <c r="CH20" s="83">
        <f t="shared" ca="1" si="70"/>
        <v>2.9122164552640846</v>
      </c>
      <c r="CI20" s="83">
        <f t="shared" ca="1" si="71"/>
        <v>7.8490770347996603</v>
      </c>
      <c r="CJ20" s="83">
        <f t="shared" ca="1" si="72"/>
        <v>2.9122164552640846</v>
      </c>
      <c r="CK20" s="83">
        <f t="shared" ca="1" si="73"/>
        <v>2.2605144329436921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52</v>
      </c>
      <c r="D21" s="319" t="str">
        <f>Plantilla!G20</f>
        <v>IMP</v>
      </c>
      <c r="E21" s="265">
        <f>Plantilla!O20</f>
        <v>43650</v>
      </c>
      <c r="F21" s="115">
        <f>Plantilla!Q20</f>
        <v>5</v>
      </c>
      <c r="G21" s="142">
        <f t="shared" si="0"/>
        <v>0.84515425472851657</v>
      </c>
      <c r="H21" s="142">
        <f t="shared" si="1"/>
        <v>0.92504826128926143</v>
      </c>
      <c r="I21" s="195">
        <f ca="1">Plantilla!P20</f>
        <v>0.35970673264589692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9.0833333333333339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4.8192529593981774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3.5559611756729801</v>
      </c>
      <c r="W21" s="196">
        <f t="shared" ca="1" si="7"/>
        <v>3.8921128117908514</v>
      </c>
      <c r="X21" s="83">
        <f t="shared" ca="1" si="8"/>
        <v>3.4594107844138504</v>
      </c>
      <c r="Y21" s="83">
        <f t="shared" ca="1" si="9"/>
        <v>5.26744595953984</v>
      </c>
      <c r="Z21" s="83">
        <f t="shared" ca="1" si="10"/>
        <v>3.4594107844138504</v>
      </c>
      <c r="AA21" s="83">
        <f t="shared" ca="1" si="11"/>
        <v>5.2205314602033752</v>
      </c>
      <c r="AB21" s="83">
        <f t="shared" ca="1" si="12"/>
        <v>10.11730903140189</v>
      </c>
      <c r="AC21" s="83">
        <f t="shared" ca="1" si="13"/>
        <v>2.6102657301016876</v>
      </c>
      <c r="AD21" s="83">
        <f t="shared" ca="1" si="14"/>
        <v>2.427752882806983</v>
      </c>
      <c r="AE21" s="83">
        <f t="shared" ca="1" si="15"/>
        <v>3.8243428138699143</v>
      </c>
      <c r="AF21" s="83">
        <f t="shared" ca="1" si="16"/>
        <v>7.3148144297035662</v>
      </c>
      <c r="AG21" s="83">
        <f t="shared" ca="1" si="17"/>
        <v>1.9121714069349571</v>
      </c>
      <c r="AH21" s="83">
        <f t="shared" ca="1" si="18"/>
        <v>3.927247310423061</v>
      </c>
      <c r="AI21" s="83">
        <f t="shared" ca="1" si="19"/>
        <v>9.3079243088897385</v>
      </c>
      <c r="AJ21" s="83">
        <f t="shared" ca="1" si="20"/>
        <v>4.188565939000382</v>
      </c>
      <c r="AK21" s="83">
        <f t="shared" ca="1" si="21"/>
        <v>1.7035072749107825</v>
      </c>
      <c r="AL21" s="83">
        <f t="shared" ca="1" si="22"/>
        <v>5.9489777104643107</v>
      </c>
      <c r="AM21" s="83">
        <f t="shared" ca="1" si="23"/>
        <v>7.6284510096770246</v>
      </c>
      <c r="AN21" s="83">
        <f t="shared" ca="1" si="24"/>
        <v>7.1630547942325373</v>
      </c>
      <c r="AO21" s="83">
        <f t="shared" ca="1" si="25"/>
        <v>0.68759060824411578</v>
      </c>
      <c r="AP21" s="83">
        <f t="shared" ca="1" si="26"/>
        <v>1.1137850010437442</v>
      </c>
      <c r="AQ21" s="83">
        <f t="shared" ca="1" si="27"/>
        <v>2.7316734384785102</v>
      </c>
      <c r="AR21" s="83">
        <f t="shared" ca="1" si="28"/>
        <v>6.0096815646527224</v>
      </c>
      <c r="AS21" s="83">
        <f t="shared" ca="1" si="29"/>
        <v>1.3658367192392551</v>
      </c>
      <c r="AT21" s="83">
        <f t="shared" ca="1" si="30"/>
        <v>9.6294063923100506</v>
      </c>
      <c r="AU21" s="83">
        <f t="shared" ca="1" si="31"/>
        <v>0.79525017408224574</v>
      </c>
      <c r="AV21" s="83">
        <f t="shared" ca="1" si="32"/>
        <v>1.7923715462007539</v>
      </c>
      <c r="AW21" s="83">
        <f t="shared" ca="1" si="33"/>
        <v>0.39762508704112287</v>
      </c>
      <c r="AX21" s="83">
        <f t="shared" ca="1" si="34"/>
        <v>1.9121714069349571</v>
      </c>
      <c r="AY21" s="83">
        <f t="shared" ca="1" si="35"/>
        <v>4.0469236125607564</v>
      </c>
      <c r="AZ21" s="83">
        <f t="shared" ca="1" si="36"/>
        <v>0.95608570346747856</v>
      </c>
      <c r="BA21" s="83">
        <f t="shared" ca="1" si="37"/>
        <v>10.200642364735224</v>
      </c>
      <c r="BB21" s="83">
        <f t="shared" ca="1" si="38"/>
        <v>1.5476791849446783</v>
      </c>
      <c r="BC21" s="83">
        <f t="shared" ca="1" si="39"/>
        <v>3.3706372763024417</v>
      </c>
      <c r="BD21" s="83">
        <f t="shared" ca="1" si="40"/>
        <v>0.77383959247233913</v>
      </c>
      <c r="BE21" s="83">
        <f t="shared" ca="1" si="41"/>
        <v>2.9441369281379495</v>
      </c>
      <c r="BF21" s="83">
        <f t="shared" ca="1" si="42"/>
        <v>3.5208235429278574</v>
      </c>
      <c r="BG21" s="83">
        <f t="shared" ca="1" si="43"/>
        <v>8.9867659233317312</v>
      </c>
      <c r="BH21" s="83">
        <f t="shared" ca="1" si="44"/>
        <v>7.7342877289162795</v>
      </c>
      <c r="BI21" s="83">
        <f t="shared" ca="1" si="45"/>
        <v>1.4742714765678555</v>
      </c>
      <c r="BJ21" s="83">
        <f t="shared" ca="1" si="46"/>
        <v>4.9068948802299159</v>
      </c>
      <c r="BK21" s="83">
        <f t="shared" ca="1" si="47"/>
        <v>2.6709695842900989</v>
      </c>
      <c r="BL21" s="83">
        <f t="shared" ca="1" si="48"/>
        <v>3.8864447409641203</v>
      </c>
      <c r="BM21" s="83">
        <f t="shared" ca="1" si="49"/>
        <v>8.0385280934452528</v>
      </c>
      <c r="BN21" s="83">
        <f t="shared" ca="1" si="50"/>
        <v>0.31810006963289827</v>
      </c>
      <c r="BO21" s="83">
        <f t="shared" ca="1" si="51"/>
        <v>1.82111562565234</v>
      </c>
      <c r="BP21" s="83">
        <f t="shared" ca="1" si="52"/>
        <v>0.68797701413532852</v>
      </c>
      <c r="BQ21" s="83">
        <f t="shared" ca="1" si="53"/>
        <v>3.111195921244243</v>
      </c>
      <c r="BR21" s="83">
        <f t="shared" ca="1" si="54"/>
        <v>11.86685941438283</v>
      </c>
      <c r="BS21" s="83">
        <f t="shared" ca="1" si="55"/>
        <v>0.82583671923925528</v>
      </c>
      <c r="BT21" s="83">
        <f t="shared" ca="1" si="56"/>
        <v>2.8733157649181362</v>
      </c>
      <c r="BU21" s="83">
        <f t="shared" ca="1" si="57"/>
        <v>2.4686234036620611</v>
      </c>
      <c r="BV21" s="83">
        <f t="shared" ca="1" si="58"/>
        <v>4.6412922759545268</v>
      </c>
      <c r="BW21" s="83">
        <f t="shared" ca="1" si="59"/>
        <v>10.233978406793295</v>
      </c>
      <c r="BX21" s="83">
        <f t="shared" ca="1" si="60"/>
        <v>0.74019439279962873</v>
      </c>
      <c r="BY21" s="83">
        <f t="shared" ca="1" si="61"/>
        <v>2.8733157649181362</v>
      </c>
      <c r="BZ21" s="83">
        <f t="shared" ca="1" si="62"/>
        <v>2.4686234036620611</v>
      </c>
      <c r="CA21" s="83">
        <f t="shared" ca="1" si="63"/>
        <v>6.4366053321479262</v>
      </c>
      <c r="CB21" s="83">
        <f t="shared" ca="1" si="64"/>
        <v>8.2829915831046907</v>
      </c>
      <c r="CC21" s="83">
        <f t="shared" ca="1" si="65"/>
        <v>0.90536173664747976</v>
      </c>
      <c r="CD21" s="83">
        <f t="shared" ca="1" si="66"/>
        <v>4.1414608000825011</v>
      </c>
      <c r="CE21" s="83">
        <f t="shared" ca="1" si="67"/>
        <v>3.7631180053603845</v>
      </c>
      <c r="CF21" s="83">
        <f t="shared" ca="1" si="68"/>
        <v>6.8880899693585285</v>
      </c>
      <c r="CG21" s="83">
        <f t="shared" ca="1" si="69"/>
        <v>3.7631180053603845</v>
      </c>
      <c r="CH21" s="83">
        <f t="shared" ca="1" si="70"/>
        <v>4.8615597760754445</v>
      </c>
      <c r="CI21" s="83">
        <f t="shared" ca="1" si="71"/>
        <v>8.3745960639891877</v>
      </c>
      <c r="CJ21" s="83">
        <f t="shared" ca="1" si="72"/>
        <v>4.8615597760754445</v>
      </c>
      <c r="CK21" s="83">
        <f t="shared" ca="1" si="73"/>
        <v>2.5501605911838059</v>
      </c>
    </row>
    <row r="22" spans="1:89" x14ac:dyDescent="0.25">
      <c r="A22" t="str">
        <f>Plantilla!D21</f>
        <v>K. Helms</v>
      </c>
      <c r="B22" s="319">
        <f>Plantilla!E21</f>
        <v>36</v>
      </c>
      <c r="C22" s="115">
        <f ca="1">Plantilla!F21</f>
        <v>0</v>
      </c>
      <c r="D22" s="319" t="str">
        <f>Plantilla!G21</f>
        <v>TEC</v>
      </c>
      <c r="E22" s="265">
        <v>36526</v>
      </c>
      <c r="F22" s="115">
        <f>Plantilla!Q21</f>
        <v>4</v>
      </c>
      <c r="G22" s="142">
        <f t="shared" si="0"/>
        <v>0.7559289460184544</v>
      </c>
      <c r="H22" s="142">
        <f t="shared" si="1"/>
        <v>0.84430867747355465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15.467353356749989</v>
      </c>
      <c r="W22" s="196">
        <f t="shared" ca="1" si="7"/>
        <v>17.275725086911695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15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15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52</v>
      </c>
      <c r="D25" s="319" t="str">
        <f>Plantilla!G24</f>
        <v>RAP</v>
      </c>
      <c r="E25" s="265">
        <v>36526</v>
      </c>
      <c r="F25" s="115">
        <f>Plantilla!Q24</f>
        <v>6</v>
      </c>
      <c r="G25" s="142">
        <f t="shared" si="0"/>
        <v>0.92582009977255142</v>
      </c>
      <c r="H25" s="142">
        <f t="shared" si="1"/>
        <v>0.99928545900129484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8.9499999999999993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3.4672023809523811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19.946315699456896</v>
      </c>
      <c r="W25" s="196">
        <f t="shared" ca="1" si="7"/>
        <v>21.529088906163604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1.8753654826788615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1.5592828319631766</v>
      </c>
      <c r="AV25" s="83">
        <f t="shared" si="32"/>
        <v>3.1683836135785439</v>
      </c>
      <c r="AW25" s="83">
        <f t="shared" si="33"/>
        <v>0.77964141598158831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3.0346042806667977</v>
      </c>
      <c r="BC25" s="83">
        <f t="shared" si="39"/>
        <v>6.1889603108593105</v>
      </c>
      <c r="BD25" s="83">
        <f t="shared" si="40"/>
        <v>1.5173021403333988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10.08909567396357</v>
      </c>
      <c r="BI25" s="83">
        <f t="shared" si="45"/>
        <v>2.8906704807932733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9.8101784241216645</v>
      </c>
      <c r="BN25" s="83">
        <f t="shared" si="50"/>
        <v>0.62371313278527063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14.424905553112655</v>
      </c>
      <c r="BS25" s="83">
        <f t="shared" si="55"/>
        <v>1.619255248577145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12.425887521655381</v>
      </c>
      <c r="BX25" s="83">
        <f t="shared" si="60"/>
        <v>1.4513324820580336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10.033062573900331</v>
      </c>
      <c r="CC25" s="83">
        <f t="shared" si="65"/>
        <v>1.7751835317734626</v>
      </c>
      <c r="CD25" s="83">
        <f t="shared" si="66"/>
        <v>4.8697602290542292</v>
      </c>
      <c r="CE25" s="83">
        <f t="shared" si="67"/>
        <v>5.8511258111754998</v>
      </c>
      <c r="CF25" s="83">
        <f t="shared" si="68"/>
        <v>12.339788221465668</v>
      </c>
      <c r="CG25" s="83">
        <f t="shared" si="69"/>
        <v>5.8511258111754998</v>
      </c>
      <c r="CH25" s="83">
        <f t="shared" si="70"/>
        <v>6.6015631101004546</v>
      </c>
      <c r="CI25" s="83">
        <f t="shared" si="71"/>
        <v>14.420447668904529</v>
      </c>
      <c r="CJ25" s="83">
        <f t="shared" si="72"/>
        <v>6.6015631101004546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83</v>
      </c>
      <c r="D26" s="319">
        <f>Plantilla!G25</f>
        <v>0</v>
      </c>
      <c r="E26" s="265">
        <v>36526</v>
      </c>
      <c r="F26" s="115">
        <f>Plantilla!Q25</f>
        <v>2</v>
      </c>
      <c r="G26" s="142">
        <f t="shared" si="0"/>
        <v>0.53452248382484879</v>
      </c>
      <c r="H26" s="142">
        <f t="shared" si="1"/>
        <v>0.65356167049702141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8.58752458526053</v>
      </c>
      <c r="W26" s="196">
        <f t="shared" ca="1" si="7"/>
        <v>10.499982850517842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4" t="s">
        <v>445</v>
      </c>
      <c r="B35" s="694"/>
      <c r="C35" s="694"/>
      <c r="D35" s="694"/>
      <c r="E35" s="69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80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16.666666666666668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15.727765885352309</v>
      </c>
      <c r="U37" s="83">
        <f ca="1">((H37+F37+(LOG(G37)*4/3))*0.866)+((I37+F37+(LOG(G37)*4/3))*0.425)</f>
        <v>23.17888695073291</v>
      </c>
      <c r="V37" s="83">
        <f ca="1">T37</f>
        <v>15.727765885352309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89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8.4527110889760309</v>
      </c>
      <c r="U38" s="83">
        <f t="shared" ref="U38:U60" si="91">((H38+F38+(LOG(G38)*4/3))*0.866)+((I38+F38+(LOG(G38)*4/3))*0.425)</f>
        <v>12.499942744407853</v>
      </c>
      <c r="V38" s="83">
        <f t="shared" ref="V38:V60" si="92">T38</f>
        <v>8.4527110889760309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91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99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53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11.95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4.3562499999999993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1.0039</v>
      </c>
      <c r="S42" s="196">
        <f t="shared" ca="1" si="89"/>
        <v>20.184065664376796</v>
      </c>
      <c r="T42" s="83">
        <f t="shared" si="90"/>
        <v>6.0516993250009463</v>
      </c>
      <c r="U42" s="83">
        <f t="shared" si="91"/>
        <v>9.1506487727104471</v>
      </c>
      <c r="V42" s="83">
        <f t="shared" si="92"/>
        <v>6.0516993250009463</v>
      </c>
      <c r="W42" s="83">
        <f t="shared" si="93"/>
        <v>7.7936978828184289</v>
      </c>
      <c r="X42" s="83">
        <f t="shared" si="94"/>
        <v>15.104065664376799</v>
      </c>
      <c r="Y42" s="83">
        <f t="shared" si="95"/>
        <v>3.8968489414092145</v>
      </c>
      <c r="Z42" s="83">
        <f t="shared" si="96"/>
        <v>3.5947676281216783</v>
      </c>
      <c r="AA42" s="83">
        <f t="shared" si="97"/>
        <v>5.7093368211344302</v>
      </c>
      <c r="AB42" s="83">
        <f t="shared" si="98"/>
        <v>10.920239475344426</v>
      </c>
      <c r="AC42" s="83">
        <f t="shared" si="99"/>
        <v>2.8546684105672151</v>
      </c>
      <c r="AD42" s="83">
        <f t="shared" si="100"/>
        <v>5.8150652807850678</v>
      </c>
      <c r="AE42" s="326">
        <f t="shared" si="101"/>
        <v>13.895740411226656</v>
      </c>
      <c r="AF42" s="83">
        <f t="shared" si="102"/>
        <v>6.2530831850519943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11.388465510940106</v>
      </c>
      <c r="AJ42" s="83">
        <f t="shared" si="106"/>
        <v>10.693678490378772</v>
      </c>
      <c r="AK42" s="83">
        <f t="shared" si="107"/>
        <v>3.4542389659509252</v>
      </c>
      <c r="AL42" s="83">
        <f t="shared" si="108"/>
        <v>2.1629709113405182</v>
      </c>
      <c r="AM42" s="83">
        <f t="shared" si="109"/>
        <v>4.078097729381736</v>
      </c>
      <c r="AN42" s="83">
        <f t="shared" si="110"/>
        <v>8.9718150046398186</v>
      </c>
      <c r="AO42" s="83">
        <f t="shared" si="111"/>
        <v>2.039048864690868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2.8546684105672151</v>
      </c>
      <c r="AU42" s="83">
        <f t="shared" si="117"/>
        <v>6.04162626575072</v>
      </c>
      <c r="AV42" s="83">
        <f t="shared" si="118"/>
        <v>1.4273342052836075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4.3952831083336479</v>
      </c>
      <c r="BB42" s="83">
        <f t="shared" si="124"/>
        <v>5.2562148512031257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7.3254718472227474</v>
      </c>
      <c r="BG42" s="83">
        <f t="shared" si="129"/>
        <v>3.987473335395475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2.7187318195878238</v>
      </c>
      <c r="BL42" s="83">
        <f t="shared" si="134"/>
        <v>1.0270764651776225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4.2895546486830103</v>
      </c>
      <c r="BQ42" s="83">
        <f t="shared" si="139"/>
        <v>3.6853920221079388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4.2895546486830103</v>
      </c>
      <c r="BV42" s="83">
        <f t="shared" si="144"/>
        <v>3.6853920221079388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12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77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35</v>
      </c>
      <c r="D46" t="str">
        <f t="shared" si="170"/>
        <v>CAB</v>
      </c>
      <c r="E46" s="265">
        <f t="shared" si="170"/>
        <v>43626</v>
      </c>
      <c r="F46" s="195">
        <f t="shared" ca="1" si="77"/>
        <v>0.4364827370446035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9.6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7.3975917949787107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6.1218947909203081</v>
      </c>
      <c r="T46" s="83">
        <f t="shared" ca="1" si="90"/>
        <v>1.1346505144870649</v>
      </c>
      <c r="U46" s="83">
        <f t="shared" ca="1" si="91"/>
        <v>1.7453262476549833</v>
      </c>
      <c r="V46" s="83">
        <f t="shared" ca="1" si="92"/>
        <v>1.1346505144870649</v>
      </c>
      <c r="W46" s="83">
        <f t="shared" ca="1" si="93"/>
        <v>2.0821164552981966</v>
      </c>
      <c r="X46" s="83">
        <f t="shared" ca="1" si="94"/>
        <v>4.0351094094926285</v>
      </c>
      <c r="Y46" s="83">
        <f t="shared" ca="1" si="95"/>
        <v>1.0410582276490983</v>
      </c>
      <c r="Z46" s="83">
        <f t="shared" ca="1" si="96"/>
        <v>2.2931560394592454</v>
      </c>
      <c r="AA46" s="83">
        <f t="shared" ca="1" si="97"/>
        <v>1.5252713567882137</v>
      </c>
      <c r="AB46" s="83">
        <f t="shared" ca="1" si="98"/>
        <v>2.9173841030631702</v>
      </c>
      <c r="AC46" s="83">
        <f t="shared" ca="1" si="99"/>
        <v>0.76263567839410684</v>
      </c>
      <c r="AD46" s="83">
        <f t="shared" ca="1" si="100"/>
        <v>3.7095171226546619</v>
      </c>
      <c r="AE46" s="326">
        <f t="shared" ca="1" si="101"/>
        <v>3.7123006567332184</v>
      </c>
      <c r="AF46" s="83">
        <f t="shared" ca="1" si="102"/>
        <v>1.6705352955299482</v>
      </c>
      <c r="AG46" s="83">
        <f t="shared" ca="1" si="103"/>
        <v>1.6090632713852691</v>
      </c>
      <c r="AH46" s="326">
        <f t="shared" ca="1" si="104"/>
        <v>1.7846443327816655</v>
      </c>
      <c r="AI46" s="83">
        <f t="shared" ca="1" si="105"/>
        <v>3.0424724947574417</v>
      </c>
      <c r="AJ46" s="83">
        <f t="shared" ca="1" si="106"/>
        <v>2.8568574619207809</v>
      </c>
      <c r="AK46" s="83">
        <f t="shared" ca="1" si="107"/>
        <v>1.0078632713852691</v>
      </c>
      <c r="AL46" s="83">
        <f t="shared" ca="1" si="108"/>
        <v>0.55011150993387703</v>
      </c>
      <c r="AM46" s="83">
        <f t="shared" ca="1" si="109"/>
        <v>1.0894795405630098</v>
      </c>
      <c r="AN46" s="83">
        <f t="shared" ca="1" si="110"/>
        <v>2.3968549892386211</v>
      </c>
      <c r="AO46" s="83">
        <f t="shared" ca="1" si="111"/>
        <v>0.54473977028150489</v>
      </c>
      <c r="AP46" s="83">
        <f t="shared" ca="1" si="112"/>
        <v>9.0955432825610405</v>
      </c>
      <c r="AQ46" s="83">
        <f t="shared" ca="1" si="113"/>
        <v>0.52456422323404173</v>
      </c>
      <c r="AR46" s="83">
        <f t="shared" ca="1" si="114"/>
        <v>1.7012870569813401</v>
      </c>
      <c r="AS46" s="83">
        <f t="shared" ca="1" si="115"/>
        <v>0.26228211161702086</v>
      </c>
      <c r="AT46" s="83">
        <f t="shared" ca="1" si="116"/>
        <v>0.76263567839410684</v>
      </c>
      <c r="AU46" s="83">
        <f t="shared" ca="1" si="117"/>
        <v>1.6140437637970515</v>
      </c>
      <c r="AV46" s="83">
        <f t="shared" ca="1" si="118"/>
        <v>0.38131783919705342</v>
      </c>
      <c r="AW46" s="83">
        <f t="shared" ca="1" si="119"/>
        <v>9.6351094094926282</v>
      </c>
      <c r="AX46" s="83">
        <f t="shared" ca="1" si="120"/>
        <v>1.0208826806016351</v>
      </c>
      <c r="AY46" s="83">
        <f t="shared" ca="1" si="121"/>
        <v>2.8533452846304383</v>
      </c>
      <c r="AZ46" s="83">
        <f t="shared" ca="1" si="122"/>
        <v>0.51044134030081756</v>
      </c>
      <c r="BA46" s="83">
        <f t="shared" ca="1" si="123"/>
        <v>1.1742168381623548</v>
      </c>
      <c r="BB46" s="83">
        <f t="shared" ca="1" si="124"/>
        <v>1.4042180745034347</v>
      </c>
      <c r="BC46" s="83">
        <f t="shared" ca="1" si="125"/>
        <v>8.4885313897630059</v>
      </c>
      <c r="BD46" s="83">
        <f t="shared" ca="1" si="126"/>
        <v>3.0132122650389466</v>
      </c>
      <c r="BE46" s="83">
        <f t="shared" ca="1" si="127"/>
        <v>0.9724613676877234</v>
      </c>
      <c r="BF46" s="83">
        <f t="shared" ca="1" si="128"/>
        <v>1.9570280636039248</v>
      </c>
      <c r="BG46" s="83">
        <f t="shared" ca="1" si="129"/>
        <v>1.065268884106054</v>
      </c>
      <c r="BH46" s="83">
        <f t="shared" ca="1" si="130"/>
        <v>3.6709766850166914</v>
      </c>
      <c r="BI46" s="83">
        <f t="shared" ca="1" si="131"/>
        <v>2.8536856238965571</v>
      </c>
      <c r="BJ46" s="83">
        <f t="shared" ca="1" si="132"/>
        <v>0.20982568929361667</v>
      </c>
      <c r="BK46" s="83">
        <f t="shared" ca="1" si="133"/>
        <v>0.72631969370867311</v>
      </c>
      <c r="BL46" s="83">
        <f t="shared" ca="1" si="134"/>
        <v>0.27438743984549874</v>
      </c>
      <c r="BM46" s="83">
        <f t="shared" ca="1" si="135"/>
        <v>2.9387083698952514</v>
      </c>
      <c r="BN46" s="83">
        <f t="shared" ca="1" si="136"/>
        <v>4.1891507006075202</v>
      </c>
      <c r="BO46" s="83">
        <f t="shared" ca="1" si="137"/>
        <v>0.54473977028150489</v>
      </c>
      <c r="BP46" s="83">
        <f t="shared" ca="1" si="138"/>
        <v>1.1459710722959064</v>
      </c>
      <c r="BQ46" s="83">
        <f t="shared" ca="1" si="139"/>
        <v>0.98456669591620138</v>
      </c>
      <c r="BR46" s="83">
        <f t="shared" ca="1" si="140"/>
        <v>4.3839747813191456</v>
      </c>
      <c r="BS46" s="83">
        <f t="shared" ca="1" si="141"/>
        <v>3.6069012257178326</v>
      </c>
      <c r="BT46" s="83">
        <f t="shared" ca="1" si="142"/>
        <v>0.48824823854860805</v>
      </c>
      <c r="BU46" s="83">
        <f t="shared" ca="1" si="143"/>
        <v>1.1459710722959064</v>
      </c>
      <c r="BV46" s="83">
        <f t="shared" ca="1" si="144"/>
        <v>0.98456669591620138</v>
      </c>
      <c r="BW46" s="83">
        <f t="shared" ca="1" si="145"/>
        <v>6.079754037389848</v>
      </c>
      <c r="BX46" s="83">
        <f t="shared" ca="1" si="146"/>
        <v>2.9094229214959024</v>
      </c>
      <c r="BY46" s="83">
        <f t="shared" ca="1" si="147"/>
        <v>0.59719619260490897</v>
      </c>
      <c r="BZ46" s="83">
        <f t="shared" ca="1" si="148"/>
        <v>3.9118544202540071</v>
      </c>
      <c r="CA46" s="83">
        <f t="shared" ca="1" si="149"/>
        <v>2.3392920023456596</v>
      </c>
      <c r="CB46" s="83">
        <f t="shared" ca="1" si="150"/>
        <v>6.2925331950886996</v>
      </c>
      <c r="CC46" s="83">
        <f t="shared" ca="1" si="151"/>
        <v>2.3392920023456596</v>
      </c>
      <c r="CD46" s="83">
        <f t="shared" ca="1" si="152"/>
        <v>3.2193876504823105</v>
      </c>
      <c r="CE46" s="83">
        <f t="shared" ca="1" si="153"/>
        <v>8.524064781595408</v>
      </c>
      <c r="CF46" s="83">
        <f t="shared" ca="1" si="154"/>
        <v>3.2193876504823105</v>
      </c>
      <c r="CG46" s="83">
        <f t="shared" ca="1" si="155"/>
        <v>2.408777352373157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90</v>
      </c>
      <c r="D47" t="str">
        <f t="shared" si="172"/>
        <v>RAP</v>
      </c>
      <c r="E47" s="265">
        <f t="shared" si="172"/>
        <v>43633</v>
      </c>
      <c r="F47" s="195">
        <f t="shared" ca="1" si="77"/>
        <v>0.41492631106246303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8.4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9.7875777592465827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2.6978047660061648</v>
      </c>
      <c r="T47" s="83">
        <f t="shared" ca="1" si="90"/>
        <v>1.3603237030869995</v>
      </c>
      <c r="U47" s="83">
        <f t="shared" ca="1" si="91"/>
        <v>2.0622049263291133</v>
      </c>
      <c r="V47" s="83">
        <f t="shared" ca="1" si="92"/>
        <v>1.3603237030869995</v>
      </c>
      <c r="W47" s="83">
        <f t="shared" ca="1" si="93"/>
        <v>1.8626380650548588</v>
      </c>
      <c r="X47" s="83">
        <f t="shared" ca="1" si="94"/>
        <v>3.6097636919667808</v>
      </c>
      <c r="Y47" s="83">
        <f t="shared" ca="1" si="95"/>
        <v>0.93131903252742942</v>
      </c>
      <c r="Z47" s="83">
        <f t="shared" ca="1" si="96"/>
        <v>2.1443237586880937</v>
      </c>
      <c r="AA47" s="83">
        <f t="shared" ca="1" si="97"/>
        <v>1.3644906755634432</v>
      </c>
      <c r="AB47" s="83">
        <f t="shared" ca="1" si="98"/>
        <v>2.6098591492919825</v>
      </c>
      <c r="AC47" s="83">
        <f t="shared" ca="1" si="99"/>
        <v>0.68224533778172158</v>
      </c>
      <c r="AD47" s="83">
        <f t="shared" ca="1" si="100"/>
        <v>3.4687590214072106</v>
      </c>
      <c r="AE47" s="326">
        <f t="shared" ca="1" si="101"/>
        <v>3.3209825966094386</v>
      </c>
      <c r="AF47" s="83">
        <f t="shared" ca="1" si="102"/>
        <v>1.4944421684742473</v>
      </c>
      <c r="AG47" s="83">
        <f t="shared" ca="1" si="103"/>
        <v>1.5046305365584525</v>
      </c>
      <c r="AH47" s="326">
        <f t="shared" ca="1" si="104"/>
        <v>1.534541050876467</v>
      </c>
      <c r="AI47" s="83">
        <f t="shared" ca="1" si="105"/>
        <v>2.7217618237429528</v>
      </c>
      <c r="AJ47" s="83">
        <f t="shared" ca="1" si="106"/>
        <v>2.5557126939124806</v>
      </c>
      <c r="AK47" s="83">
        <f t="shared" ca="1" si="107"/>
        <v>0.43583053655845244</v>
      </c>
      <c r="AL47" s="83">
        <f t="shared" ca="1" si="108"/>
        <v>0.82361194328643283</v>
      </c>
      <c r="AM47" s="83">
        <f t="shared" ca="1" si="109"/>
        <v>0.97463619683103087</v>
      </c>
      <c r="AN47" s="83">
        <f t="shared" ca="1" si="110"/>
        <v>2.1441996330282675</v>
      </c>
      <c r="AO47" s="83">
        <f t="shared" ca="1" si="111"/>
        <v>0.48731809841551543</v>
      </c>
      <c r="AP47" s="83">
        <f t="shared" ca="1" si="112"/>
        <v>8.5052169252166401</v>
      </c>
      <c r="AQ47" s="83">
        <f t="shared" ca="1" si="113"/>
        <v>0.85926927995568159</v>
      </c>
      <c r="AR47" s="83">
        <f t="shared" ca="1" si="114"/>
        <v>2.4556607617462665</v>
      </c>
      <c r="AS47" s="83">
        <f t="shared" ca="1" si="115"/>
        <v>0.42963463997784079</v>
      </c>
      <c r="AT47" s="83">
        <f t="shared" ca="1" si="116"/>
        <v>0.68224533778172158</v>
      </c>
      <c r="AU47" s="83">
        <f t="shared" ca="1" si="117"/>
        <v>1.4439054767867123</v>
      </c>
      <c r="AV47" s="83">
        <f t="shared" ca="1" si="118"/>
        <v>0.34112266889086079</v>
      </c>
      <c r="AW47" s="83">
        <f t="shared" ca="1" si="119"/>
        <v>9.0097636919667803</v>
      </c>
      <c r="AX47" s="83">
        <f t="shared" ca="1" si="120"/>
        <v>1.6722702140675956</v>
      </c>
      <c r="AY47" s="83">
        <f t="shared" ca="1" si="121"/>
        <v>4.2719797942736957</v>
      </c>
      <c r="AZ47" s="83">
        <f t="shared" ca="1" si="122"/>
        <v>0.83613510703379779</v>
      </c>
      <c r="BA47" s="83">
        <f t="shared" ca="1" si="123"/>
        <v>1.0504412343623331</v>
      </c>
      <c r="BB47" s="83">
        <f t="shared" ca="1" si="124"/>
        <v>1.2561977648044396</v>
      </c>
      <c r="BC47" s="83">
        <f t="shared" ca="1" si="125"/>
        <v>7.9376018126227335</v>
      </c>
      <c r="BD47" s="83">
        <f t="shared" ca="1" si="126"/>
        <v>3.5800799221584683</v>
      </c>
      <c r="BE47" s="83">
        <f t="shared" ca="1" si="127"/>
        <v>1.5929530497639941</v>
      </c>
      <c r="BF47" s="83">
        <f t="shared" ca="1" si="128"/>
        <v>1.7507353906038887</v>
      </c>
      <c r="BG47" s="83">
        <f t="shared" ca="1" si="129"/>
        <v>0.95297761467923015</v>
      </c>
      <c r="BH47" s="83">
        <f t="shared" ca="1" si="130"/>
        <v>3.4327199666393433</v>
      </c>
      <c r="BI47" s="83">
        <f t="shared" ca="1" si="131"/>
        <v>3.084933466778967</v>
      </c>
      <c r="BJ47" s="83">
        <f t="shared" ca="1" si="132"/>
        <v>0.34370771198227257</v>
      </c>
      <c r="BK47" s="83">
        <f t="shared" ca="1" si="133"/>
        <v>0.6497574645540205</v>
      </c>
      <c r="BL47" s="83">
        <f t="shared" ca="1" si="134"/>
        <v>0.24546393105374112</v>
      </c>
      <c r="BM47" s="83">
        <f t="shared" ca="1" si="135"/>
        <v>2.747977926049868</v>
      </c>
      <c r="BN47" s="83">
        <f t="shared" ca="1" si="136"/>
        <v>4.5001561078692802</v>
      </c>
      <c r="BO47" s="83">
        <f t="shared" ca="1" si="137"/>
        <v>0.89231809841551546</v>
      </c>
      <c r="BP47" s="83">
        <f t="shared" ca="1" si="138"/>
        <v>1.0251728885185656</v>
      </c>
      <c r="BQ47" s="83">
        <f t="shared" ca="1" si="139"/>
        <v>0.88078234083989448</v>
      </c>
      <c r="BR47" s="83">
        <f t="shared" ca="1" si="140"/>
        <v>4.0994424798448854</v>
      </c>
      <c r="BS47" s="83">
        <f t="shared" ca="1" si="141"/>
        <v>3.8676181706991928</v>
      </c>
      <c r="BT47" s="83">
        <f t="shared" ca="1" si="142"/>
        <v>0.79978140672798048</v>
      </c>
      <c r="BU47" s="83">
        <f t="shared" ca="1" si="143"/>
        <v>1.0251728885185656</v>
      </c>
      <c r="BV47" s="83">
        <f t="shared" ca="1" si="144"/>
        <v>0.88078234083989448</v>
      </c>
      <c r="BW47" s="83">
        <f t="shared" ca="1" si="145"/>
        <v>5.6851608896310388</v>
      </c>
      <c r="BX47" s="83">
        <f t="shared" ca="1" si="146"/>
        <v>3.1077385043102685</v>
      </c>
      <c r="BY47" s="83">
        <f t="shared" ca="1" si="147"/>
        <v>0.97824502641108346</v>
      </c>
      <c r="BZ47" s="83">
        <f t="shared" ca="1" si="148"/>
        <v>3.657964058938513</v>
      </c>
      <c r="CA47" s="83">
        <f t="shared" ca="1" si="149"/>
        <v>3.2486868835146927</v>
      </c>
      <c r="CB47" s="83">
        <f t="shared" ca="1" si="150"/>
        <v>9.1915939171545951</v>
      </c>
      <c r="CC47" s="83">
        <f t="shared" ca="1" si="151"/>
        <v>3.2486868835146927</v>
      </c>
      <c r="CD47" s="83">
        <f t="shared" ca="1" si="152"/>
        <v>4.1660019392190639</v>
      </c>
      <c r="CE47" s="83">
        <f t="shared" ca="1" si="153"/>
        <v>12.048766494302523</v>
      </c>
      <c r="CF47" s="83">
        <f t="shared" ca="1" si="154"/>
        <v>4.1660019392190639</v>
      </c>
      <c r="CG47" s="83">
        <f t="shared" ca="1" si="155"/>
        <v>2.2524409229916951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51</v>
      </c>
      <c r="D48" t="str">
        <f t="shared" si="174"/>
        <v>IMP</v>
      </c>
      <c r="E48" s="265">
        <f t="shared" si="174"/>
        <v>43630</v>
      </c>
      <c r="F48" s="195">
        <f t="shared" ca="1" si="77"/>
        <v>0.42424015486581296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10.333333333333334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7.504605796143311</v>
      </c>
      <c r="Q48" s="196">
        <f t="shared" si="87"/>
        <v>0.4</v>
      </c>
      <c r="R48" s="196">
        <f t="shared" si="88"/>
        <v>0.16</v>
      </c>
      <c r="S48" s="196">
        <f t="shared" ca="1" si="89"/>
        <v>0.91313964327113384</v>
      </c>
      <c r="T48" s="83">
        <f t="shared" ca="1" si="90"/>
        <v>1.824760570150729</v>
      </c>
      <c r="U48" s="83">
        <f t="shared" ca="1" si="91"/>
        <v>2.7658670058013639</v>
      </c>
      <c r="V48" s="83">
        <f t="shared" ca="1" si="92"/>
        <v>1.824760570150729</v>
      </c>
      <c r="W48" s="83">
        <f t="shared" ca="1" si="93"/>
        <v>2.4900165569275785</v>
      </c>
      <c r="X48" s="83">
        <f t="shared" ca="1" si="94"/>
        <v>4.8256134824177881</v>
      </c>
      <c r="Y48" s="83">
        <f t="shared" ca="1" si="95"/>
        <v>1.2450082784637893</v>
      </c>
      <c r="Z48" s="83">
        <f t="shared" ca="1" si="96"/>
        <v>2.6558293421487669</v>
      </c>
      <c r="AA48" s="83">
        <f t="shared" ca="1" si="97"/>
        <v>1.8240818963539238</v>
      </c>
      <c r="AB48" s="83">
        <f t="shared" ca="1" si="98"/>
        <v>3.4889185477880607</v>
      </c>
      <c r="AC48" s="83">
        <f t="shared" ca="1" si="99"/>
        <v>0.91204094817696191</v>
      </c>
      <c r="AD48" s="83">
        <f t="shared" ca="1" si="100"/>
        <v>4.2961945240641821</v>
      </c>
      <c r="AE48" s="326">
        <f t="shared" ca="1" si="101"/>
        <v>4.4395644038243649</v>
      </c>
      <c r="AF48" s="83">
        <f t="shared" ca="1" si="102"/>
        <v>1.9978039817209641</v>
      </c>
      <c r="AG48" s="83">
        <f t="shared" ca="1" si="103"/>
        <v>1.8635441182304375</v>
      </c>
      <c r="AH48" s="326">
        <f t="shared" ca="1" si="104"/>
        <v>2.2494607276616589</v>
      </c>
      <c r="AI48" s="83">
        <f t="shared" ca="1" si="105"/>
        <v>3.6385125657430124</v>
      </c>
      <c r="AJ48" s="83">
        <f t="shared" ca="1" si="106"/>
        <v>3.4165343455517938</v>
      </c>
      <c r="AK48" s="83">
        <f t="shared" ca="1" si="107"/>
        <v>0.13787745156377057</v>
      </c>
      <c r="AL48" s="83">
        <f t="shared" ca="1" si="108"/>
        <v>0.63377668293632294</v>
      </c>
      <c r="AM48" s="83">
        <f t="shared" ca="1" si="109"/>
        <v>1.3029156402528028</v>
      </c>
      <c r="AN48" s="83">
        <f t="shared" ca="1" si="110"/>
        <v>2.866414408556166</v>
      </c>
      <c r="AO48" s="83">
        <f t="shared" ca="1" si="111"/>
        <v>0.65145782012640141</v>
      </c>
      <c r="AP48" s="83">
        <f t="shared" ca="1" si="112"/>
        <v>10.534045794069058</v>
      </c>
      <c r="AQ48" s="83">
        <f t="shared" ca="1" si="113"/>
        <v>0.3673297527143124</v>
      </c>
      <c r="AR48" s="83">
        <f t="shared" ca="1" si="114"/>
        <v>1.8659047503484119</v>
      </c>
      <c r="AS48" s="83">
        <f t="shared" ca="1" si="115"/>
        <v>0.1836648763571562</v>
      </c>
      <c r="AT48" s="83">
        <f t="shared" ca="1" si="116"/>
        <v>0.91204094817696191</v>
      </c>
      <c r="AU48" s="83">
        <f t="shared" ca="1" si="117"/>
        <v>1.9302453929671153</v>
      </c>
      <c r="AV48" s="83">
        <f t="shared" ca="1" si="118"/>
        <v>0.45602047408848095</v>
      </c>
      <c r="AW48" s="83">
        <f t="shared" ca="1" si="119"/>
        <v>11.158946815751122</v>
      </c>
      <c r="AX48" s="83">
        <f t="shared" ca="1" si="120"/>
        <v>0.7148802110517003</v>
      </c>
      <c r="AY48" s="83">
        <f t="shared" ca="1" si="121"/>
        <v>2.8169130288122011</v>
      </c>
      <c r="AZ48" s="83">
        <f t="shared" ca="1" si="122"/>
        <v>0.35744010552585015</v>
      </c>
      <c r="BA48" s="83">
        <f t="shared" ca="1" si="123"/>
        <v>1.4042535233835762</v>
      </c>
      <c r="BB48" s="83">
        <f t="shared" ca="1" si="124"/>
        <v>1.6793134918813901</v>
      </c>
      <c r="BC48" s="83">
        <f t="shared" ca="1" si="125"/>
        <v>9.8310321446767386</v>
      </c>
      <c r="BD48" s="83">
        <f t="shared" ca="1" si="126"/>
        <v>3.085970385869413</v>
      </c>
      <c r="BE48" s="83">
        <f t="shared" ca="1" si="127"/>
        <v>0.68097284926268675</v>
      </c>
      <c r="BF48" s="83">
        <f t="shared" ca="1" si="128"/>
        <v>2.3404225389726272</v>
      </c>
      <c r="BG48" s="83">
        <f t="shared" ca="1" si="129"/>
        <v>1.273961959358296</v>
      </c>
      <c r="BH48" s="83">
        <f t="shared" ca="1" si="130"/>
        <v>4.2515587368011776</v>
      </c>
      <c r="BI48" s="83">
        <f t="shared" ca="1" si="131"/>
        <v>3.1425861836331466</v>
      </c>
      <c r="BJ48" s="83">
        <f t="shared" ca="1" si="132"/>
        <v>0.14693190108572496</v>
      </c>
      <c r="BK48" s="83">
        <f t="shared" ca="1" si="133"/>
        <v>0.86861042683520184</v>
      </c>
      <c r="BL48" s="83">
        <f t="shared" ca="1" si="134"/>
        <v>0.32814171680440962</v>
      </c>
      <c r="BM48" s="83">
        <f t="shared" ca="1" si="135"/>
        <v>3.4034787788040921</v>
      </c>
      <c r="BN48" s="83">
        <f t="shared" ca="1" si="136"/>
        <v>4.6337389383892749</v>
      </c>
      <c r="BO48" s="83">
        <f t="shared" ca="1" si="137"/>
        <v>0.38145782012640134</v>
      </c>
      <c r="BP48" s="83">
        <f t="shared" ca="1" si="138"/>
        <v>1.3704742290066516</v>
      </c>
      <c r="BQ48" s="83">
        <f t="shared" ca="1" si="139"/>
        <v>1.1774496897099402</v>
      </c>
      <c r="BR48" s="83">
        <f t="shared" ca="1" si="140"/>
        <v>5.0773208011667608</v>
      </c>
      <c r="BS48" s="83">
        <f t="shared" ca="1" si="141"/>
        <v>3.9947797385189086</v>
      </c>
      <c r="BT48" s="83">
        <f t="shared" ca="1" si="142"/>
        <v>0.34189923137255229</v>
      </c>
      <c r="BU48" s="83">
        <f t="shared" ca="1" si="143"/>
        <v>1.3704742290066516</v>
      </c>
      <c r="BV48" s="83">
        <f t="shared" ca="1" si="144"/>
        <v>1.1774496897099402</v>
      </c>
      <c r="BW48" s="83">
        <f t="shared" ca="1" si="145"/>
        <v>7.0412954407389581</v>
      </c>
      <c r="BX48" s="83">
        <f t="shared" ca="1" si="146"/>
        <v>3.2309240667639196</v>
      </c>
      <c r="BY48" s="83">
        <f t="shared" ca="1" si="147"/>
        <v>0.41819079539783255</v>
      </c>
      <c r="BZ48" s="83">
        <f t="shared" ca="1" si="148"/>
        <v>4.530532407194956</v>
      </c>
      <c r="CA48" s="83">
        <f t="shared" ca="1" si="149"/>
        <v>2.3781446243396678</v>
      </c>
      <c r="CB48" s="83">
        <f t="shared" ca="1" si="150"/>
        <v>6.679640781202429</v>
      </c>
      <c r="CC48" s="83">
        <f t="shared" ca="1" si="151"/>
        <v>2.3781446243396678</v>
      </c>
      <c r="CD48" s="83">
        <f t="shared" ca="1" si="152"/>
        <v>3.6910547592811707</v>
      </c>
      <c r="CE48" s="83">
        <f t="shared" ca="1" si="153"/>
        <v>9.868264857429951</v>
      </c>
      <c r="CF48" s="83">
        <f t="shared" ca="1" si="154"/>
        <v>3.6910547592811707</v>
      </c>
      <c r="CG48" s="83">
        <f t="shared" ca="1" si="155"/>
        <v>2.7897367039377805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51</v>
      </c>
      <c r="D49" t="str">
        <f t="shared" si="176"/>
        <v>RAP</v>
      </c>
      <c r="E49" s="265">
        <f t="shared" si="176"/>
        <v>43627</v>
      </c>
      <c r="F49" s="195">
        <f t="shared" ca="1" si="77"/>
        <v>0.43344036514721096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10.333333333333334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10.824938260865201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6.9217898274185083</v>
      </c>
      <c r="T49" s="83">
        <f t="shared" ca="1" si="90"/>
        <v>1.2807923537263894</v>
      </c>
      <c r="U49" s="83">
        <f t="shared" ca="1" si="91"/>
        <v>1.9277444772746488</v>
      </c>
      <c r="V49" s="83">
        <f t="shared" ca="1" si="92"/>
        <v>1.2807923537263894</v>
      </c>
      <c r="W49" s="83">
        <f t="shared" ca="1" si="93"/>
        <v>1.4627638654327801</v>
      </c>
      <c r="X49" s="83">
        <f t="shared" ca="1" si="94"/>
        <v>2.834813692699186</v>
      </c>
      <c r="Y49" s="83">
        <f t="shared" ca="1" si="95"/>
        <v>0.73138193271639007</v>
      </c>
      <c r="Z49" s="83">
        <f t="shared" ca="1" si="96"/>
        <v>2.6580189921957396</v>
      </c>
      <c r="AA49" s="83">
        <f t="shared" ca="1" si="97"/>
        <v>1.0715595758402923</v>
      </c>
      <c r="AB49" s="83">
        <f t="shared" ca="1" si="98"/>
        <v>2.0495702998215113</v>
      </c>
      <c r="AC49" s="83">
        <f t="shared" ca="1" si="99"/>
        <v>0.53577978792014613</v>
      </c>
      <c r="AD49" s="83">
        <f t="shared" ca="1" si="100"/>
        <v>4.2997366050225203</v>
      </c>
      <c r="AE49" s="326">
        <f t="shared" ca="1" si="101"/>
        <v>2.6080285972832513</v>
      </c>
      <c r="AF49" s="83">
        <f t="shared" ca="1" si="102"/>
        <v>1.173612868777463</v>
      </c>
      <c r="AG49" s="83">
        <f t="shared" ca="1" si="103"/>
        <v>1.8650805533474308</v>
      </c>
      <c r="AH49" s="326">
        <f t="shared" ca="1" si="104"/>
        <v>3.4308704513071215</v>
      </c>
      <c r="AI49" s="83">
        <f t="shared" ca="1" si="105"/>
        <v>2.1374495242951861</v>
      </c>
      <c r="AJ49" s="83">
        <f t="shared" ca="1" si="106"/>
        <v>2.0070480944310236</v>
      </c>
      <c r="AK49" s="83">
        <f t="shared" ca="1" si="107"/>
        <v>1.1414138866807642</v>
      </c>
      <c r="AL49" s="83">
        <f t="shared" ca="1" si="108"/>
        <v>0.70842634349736555</v>
      </c>
      <c r="AM49" s="83">
        <f t="shared" ca="1" si="109"/>
        <v>0.7653996970287803</v>
      </c>
      <c r="AN49" s="83">
        <f t="shared" ca="1" si="110"/>
        <v>1.6838793334633164</v>
      </c>
      <c r="AO49" s="83">
        <f t="shared" ca="1" si="111"/>
        <v>0.38269984851439015</v>
      </c>
      <c r="AP49" s="83">
        <f t="shared" ca="1" si="112"/>
        <v>10.542730792574698</v>
      </c>
      <c r="AQ49" s="83">
        <f t="shared" ca="1" si="113"/>
        <v>0.62852578005089421</v>
      </c>
      <c r="AR49" s="83">
        <f t="shared" ca="1" si="114"/>
        <v>2.1086004119608615</v>
      </c>
      <c r="AS49" s="83">
        <f t="shared" ca="1" si="115"/>
        <v>0.31426289002544711</v>
      </c>
      <c r="AT49" s="83">
        <f t="shared" ca="1" si="116"/>
        <v>0.53577978792014613</v>
      </c>
      <c r="AU49" s="83">
        <f t="shared" ca="1" si="117"/>
        <v>1.1339254770796745</v>
      </c>
      <c r="AV49" s="83">
        <f t="shared" ca="1" si="118"/>
        <v>0.26788989396007307</v>
      </c>
      <c r="AW49" s="83">
        <f t="shared" ca="1" si="119"/>
        <v>11.16814702603252</v>
      </c>
      <c r="AX49" s="83">
        <f t="shared" ca="1" si="120"/>
        <v>1.2232078642528943</v>
      </c>
      <c r="AY49" s="83">
        <f t="shared" ca="1" si="121"/>
        <v>3.5039823446772518</v>
      </c>
      <c r="AZ49" s="83">
        <f t="shared" ca="1" si="122"/>
        <v>0.61160393212644715</v>
      </c>
      <c r="BA49" s="83">
        <f t="shared" ca="1" si="123"/>
        <v>0.82493078457546309</v>
      </c>
      <c r="BB49" s="83">
        <f t="shared" ca="1" si="124"/>
        <v>0.98651516505931669</v>
      </c>
      <c r="BC49" s="83">
        <f t="shared" ca="1" si="125"/>
        <v>9.83913752993465</v>
      </c>
      <c r="BD49" s="83">
        <f t="shared" ca="1" si="126"/>
        <v>4.8721493728095764</v>
      </c>
      <c r="BE49" s="83">
        <f t="shared" ca="1" si="127"/>
        <v>1.1651900999405038</v>
      </c>
      <c r="BF49" s="83">
        <f t="shared" ca="1" si="128"/>
        <v>1.3748846409591051</v>
      </c>
      <c r="BG49" s="83">
        <f t="shared" ca="1" si="129"/>
        <v>0.74839081487258519</v>
      </c>
      <c r="BH49" s="83">
        <f t="shared" ca="1" si="130"/>
        <v>4.2550640169183902</v>
      </c>
      <c r="BI49" s="83">
        <f t="shared" ca="1" si="131"/>
        <v>4.8986271674190895</v>
      </c>
      <c r="BJ49" s="83">
        <f t="shared" ca="1" si="132"/>
        <v>0.25141031202035768</v>
      </c>
      <c r="BK49" s="83">
        <f t="shared" ca="1" si="133"/>
        <v>0.51026646468585346</v>
      </c>
      <c r="BL49" s="83">
        <f t="shared" ca="1" si="134"/>
        <v>0.19276733110354466</v>
      </c>
      <c r="BM49" s="83">
        <f t="shared" ca="1" si="135"/>
        <v>3.4062848429399182</v>
      </c>
      <c r="BN49" s="83">
        <f t="shared" ca="1" si="136"/>
        <v>7.2175704088111541</v>
      </c>
      <c r="BO49" s="83">
        <f t="shared" ca="1" si="137"/>
        <v>0.65269984851439022</v>
      </c>
      <c r="BP49" s="83">
        <f t="shared" ca="1" si="138"/>
        <v>0.80508708872656876</v>
      </c>
      <c r="BQ49" s="83">
        <f t="shared" ca="1" si="139"/>
        <v>0.69169454101860139</v>
      </c>
      <c r="BR49" s="83">
        <f t="shared" ca="1" si="140"/>
        <v>5.0815068968447967</v>
      </c>
      <c r="BS49" s="83">
        <f t="shared" ca="1" si="141"/>
        <v>6.2209735715106991</v>
      </c>
      <c r="BT49" s="83">
        <f t="shared" ca="1" si="142"/>
        <v>0.58501245681660152</v>
      </c>
      <c r="BU49" s="83">
        <f t="shared" ca="1" si="143"/>
        <v>0.80508708872656876</v>
      </c>
      <c r="BV49" s="83">
        <f t="shared" ca="1" si="144"/>
        <v>0.69169454101860139</v>
      </c>
      <c r="BW49" s="83">
        <f t="shared" ca="1" si="145"/>
        <v>7.0471007734265196</v>
      </c>
      <c r="BX49" s="83">
        <f t="shared" ca="1" si="146"/>
        <v>5.0291582549657718</v>
      </c>
      <c r="BY49" s="83">
        <f t="shared" ca="1" si="147"/>
        <v>0.71555242651947959</v>
      </c>
      <c r="BZ49" s="83">
        <f t="shared" ca="1" si="148"/>
        <v>4.5342676925692036</v>
      </c>
      <c r="CA49" s="83">
        <f t="shared" ca="1" si="149"/>
        <v>3.1709379338962762</v>
      </c>
      <c r="CB49" s="83">
        <f t="shared" ca="1" si="150"/>
        <v>7.7760002179792842</v>
      </c>
      <c r="CC49" s="83">
        <f t="shared" ca="1" si="151"/>
        <v>3.1709379338962762</v>
      </c>
      <c r="CD49" s="83">
        <f t="shared" ca="1" si="152"/>
        <v>4.4203944356133178</v>
      </c>
      <c r="CE49" s="83">
        <f t="shared" ca="1" si="153"/>
        <v>10.618859945305186</v>
      </c>
      <c r="CF49" s="83">
        <f t="shared" ca="1" si="154"/>
        <v>4.4203944356133178</v>
      </c>
      <c r="CG49" s="83">
        <f t="shared" ca="1" si="155"/>
        <v>2.7920367565081299</v>
      </c>
    </row>
    <row r="50" spans="1:85" x14ac:dyDescent="0.25">
      <c r="A50" t="str">
        <f t="shared" ref="A50:E50" si="178">A16</f>
        <v>J. Vartiainen</v>
      </c>
      <c r="B50">
        <f t="shared" si="178"/>
        <v>19</v>
      </c>
      <c r="C50">
        <f t="shared" ca="1" si="178"/>
        <v>97</v>
      </c>
      <c r="D50" t="str">
        <f t="shared" si="178"/>
        <v>CAB</v>
      </c>
      <c r="E50" s="265">
        <f t="shared" si="178"/>
        <v>43628</v>
      </c>
      <c r="F50" s="195">
        <f t="shared" ca="1" si="77"/>
        <v>0.43038593336745762</v>
      </c>
      <c r="G50" s="196">
        <f t="shared" ref="G50:H50" si="179">J16</f>
        <v>0.4</v>
      </c>
      <c r="H50" s="49">
        <f t="shared" si="179"/>
        <v>0</v>
      </c>
      <c r="I50" s="49">
        <f t="shared" si="79"/>
        <v>7</v>
      </c>
      <c r="J50" s="49">
        <f t="shared" si="80"/>
        <v>9</v>
      </c>
      <c r="K50" s="49">
        <f t="shared" si="81"/>
        <v>1</v>
      </c>
      <c r="L50" s="49">
        <f t="shared" si="82"/>
        <v>1</v>
      </c>
      <c r="M50" s="49">
        <f t="shared" si="83"/>
        <v>6</v>
      </c>
      <c r="N50" s="49">
        <f t="shared" si="84"/>
        <v>1</v>
      </c>
      <c r="O50" s="196">
        <f t="shared" si="85"/>
        <v>1.5</v>
      </c>
      <c r="P50" s="196">
        <f t="shared" ca="1" si="86"/>
        <v>2.6885563538551445</v>
      </c>
      <c r="Q50" s="196">
        <f t="shared" si="87"/>
        <v>0.32999999999999996</v>
      </c>
      <c r="R50" s="196">
        <f t="shared" si="88"/>
        <v>0.31</v>
      </c>
      <c r="S50" s="196">
        <f t="shared" ca="1" si="89"/>
        <v>0.98696249127738234</v>
      </c>
      <c r="T50" s="83">
        <f t="shared" ca="1" si="90"/>
        <v>1.8445247497355388</v>
      </c>
      <c r="U50" s="83">
        <f t="shared" ca="1" si="91"/>
        <v>2.8456408383832534</v>
      </c>
      <c r="V50" s="83">
        <f t="shared" ca="1" si="92"/>
        <v>1.8445247497355388</v>
      </c>
      <c r="W50" s="83">
        <f t="shared" ca="1" si="93"/>
        <v>3.5602964156512464</v>
      </c>
      <c r="X50" s="83">
        <f t="shared" ca="1" si="94"/>
        <v>6.899799255138074</v>
      </c>
      <c r="Y50" s="83">
        <f t="shared" ca="1" si="95"/>
        <v>1.7801482078256232</v>
      </c>
      <c r="Z50" s="83">
        <f t="shared" ca="1" si="96"/>
        <v>2.1181522227228613</v>
      </c>
      <c r="AA50" s="83">
        <f t="shared" ca="1" si="97"/>
        <v>2.6081241184421922</v>
      </c>
      <c r="AB50" s="83">
        <f t="shared" ca="1" si="98"/>
        <v>4.9885548614648272</v>
      </c>
      <c r="AC50" s="83">
        <f t="shared" ca="1" si="99"/>
        <v>1.3040620592210961</v>
      </c>
      <c r="AD50" s="83">
        <f t="shared" ca="1" si="100"/>
        <v>3.4264227132281584</v>
      </c>
      <c r="AE50" s="326">
        <f t="shared" ca="1" si="101"/>
        <v>6.3478153147270282</v>
      </c>
      <c r="AF50" s="83">
        <f t="shared" ca="1" si="102"/>
        <v>2.8565168916271624</v>
      </c>
      <c r="AG50" s="83">
        <f t="shared" ca="1" si="103"/>
        <v>1.4862664756080584</v>
      </c>
      <c r="AH50" s="326">
        <f t="shared" ca="1" si="104"/>
        <v>0.52908196202118751</v>
      </c>
      <c r="AI50" s="83">
        <f t="shared" ca="1" si="105"/>
        <v>5.2024486383741078</v>
      </c>
      <c r="AJ50" s="83">
        <f t="shared" ca="1" si="106"/>
        <v>4.8850578726377565</v>
      </c>
      <c r="AK50" s="83">
        <f t="shared" ca="1" si="107"/>
        <v>0.15026647560805839</v>
      </c>
      <c r="AL50" s="83">
        <f t="shared" ca="1" si="108"/>
        <v>0.40314218547976527</v>
      </c>
      <c r="AM50" s="83">
        <f t="shared" ca="1" si="109"/>
        <v>1.8629457988872802</v>
      </c>
      <c r="AN50" s="83">
        <f t="shared" ca="1" si="110"/>
        <v>4.0984807575520161</v>
      </c>
      <c r="AO50" s="83">
        <f t="shared" ca="1" si="111"/>
        <v>0.93147289944364009</v>
      </c>
      <c r="AP50" s="83">
        <f t="shared" ca="1" si="112"/>
        <v>8.4014104968503407</v>
      </c>
      <c r="AQ50" s="83">
        <f t="shared" ca="1" si="113"/>
        <v>0.11697390316794964</v>
      </c>
      <c r="AR50" s="83">
        <f t="shared" ca="1" si="114"/>
        <v>1.1286411817554558</v>
      </c>
      <c r="AS50" s="83">
        <f t="shared" ca="1" si="115"/>
        <v>5.8486951583974822E-2</v>
      </c>
      <c r="AT50" s="83">
        <f t="shared" ca="1" si="116"/>
        <v>1.3040620592210961</v>
      </c>
      <c r="AU50" s="83">
        <f t="shared" ca="1" si="117"/>
        <v>2.75991970205523</v>
      </c>
      <c r="AV50" s="83">
        <f t="shared" ca="1" si="118"/>
        <v>0.65203102961054804</v>
      </c>
      <c r="AW50" s="83">
        <f t="shared" ca="1" si="119"/>
        <v>8.899799255138074</v>
      </c>
      <c r="AX50" s="83">
        <f t="shared" ca="1" si="120"/>
        <v>0.22764921154993276</v>
      </c>
      <c r="AY50" s="83">
        <f t="shared" ca="1" si="121"/>
        <v>1.5457893895810786</v>
      </c>
      <c r="AZ50" s="83">
        <f t="shared" ca="1" si="122"/>
        <v>0.11382460577496638</v>
      </c>
      <c r="BA50" s="83">
        <f t="shared" ca="1" si="123"/>
        <v>2.0078415832451793</v>
      </c>
      <c r="BB50" s="83">
        <f t="shared" ca="1" si="124"/>
        <v>2.4011301407880494</v>
      </c>
      <c r="BC50" s="83">
        <f t="shared" ca="1" si="125"/>
        <v>7.8407231437766436</v>
      </c>
      <c r="BD50" s="83">
        <f t="shared" ca="1" si="126"/>
        <v>0.79992153781774777</v>
      </c>
      <c r="BE50" s="83">
        <f t="shared" ca="1" si="127"/>
        <v>0.21685162048827586</v>
      </c>
      <c r="BF50" s="83">
        <f t="shared" ca="1" si="128"/>
        <v>3.3464026387419659</v>
      </c>
      <c r="BG50" s="83">
        <f t="shared" ca="1" si="129"/>
        <v>1.8215470033564516</v>
      </c>
      <c r="BH50" s="83">
        <f t="shared" ca="1" si="130"/>
        <v>3.3908235162076061</v>
      </c>
      <c r="BI50" s="83">
        <f t="shared" ca="1" si="131"/>
        <v>0.78642454899067693</v>
      </c>
      <c r="BJ50" s="83">
        <f t="shared" ca="1" si="132"/>
        <v>4.6789561267179855E-2</v>
      </c>
      <c r="BK50" s="83">
        <f t="shared" ca="1" si="133"/>
        <v>1.2419638659248533</v>
      </c>
      <c r="BL50" s="83">
        <f t="shared" ca="1" si="134"/>
        <v>0.46918634934938908</v>
      </c>
      <c r="BM50" s="83">
        <f t="shared" ca="1" si="135"/>
        <v>2.7144387728171124</v>
      </c>
      <c r="BN50" s="83">
        <f t="shared" ca="1" si="136"/>
        <v>1.1571418421075634</v>
      </c>
      <c r="BO50" s="83">
        <f t="shared" ca="1" si="137"/>
        <v>0.12147289944364001</v>
      </c>
      <c r="BP50" s="83">
        <f t="shared" ca="1" si="138"/>
        <v>1.9595429884592128</v>
      </c>
      <c r="BQ50" s="83">
        <f t="shared" ca="1" si="139"/>
        <v>1.6835510182536899</v>
      </c>
      <c r="BR50" s="83">
        <f t="shared" ca="1" si="140"/>
        <v>4.0494086610878242</v>
      </c>
      <c r="BS50" s="83">
        <f t="shared" ca="1" si="141"/>
        <v>0.99697757469298609</v>
      </c>
      <c r="BT50" s="83">
        <f t="shared" ca="1" si="142"/>
        <v>0.10887570987170697</v>
      </c>
      <c r="BU50" s="83">
        <f t="shared" ca="1" si="143"/>
        <v>1.9595429884592128</v>
      </c>
      <c r="BV50" s="83">
        <f t="shared" ca="1" si="144"/>
        <v>1.6835510182536899</v>
      </c>
      <c r="BW50" s="83">
        <f t="shared" ca="1" si="145"/>
        <v>5.6157733299921251</v>
      </c>
      <c r="BX50" s="83">
        <f t="shared" ca="1" si="146"/>
        <v>0.80532033334857633</v>
      </c>
      <c r="BY50" s="83">
        <f t="shared" ca="1" si="147"/>
        <v>0.13317028976043496</v>
      </c>
      <c r="BZ50" s="83">
        <f t="shared" ca="1" si="148"/>
        <v>3.6133184975860582</v>
      </c>
      <c r="CA50" s="83">
        <f t="shared" ca="1" si="149"/>
        <v>1.1037954119269364</v>
      </c>
      <c r="CB50" s="83">
        <f t="shared" ca="1" si="150"/>
        <v>3.9281739612854714</v>
      </c>
      <c r="CC50" s="83">
        <f t="shared" ca="1" si="151"/>
        <v>1.1037954119269364</v>
      </c>
      <c r="CD50" s="83">
        <f t="shared" ca="1" si="152"/>
        <v>2.0086745932754813</v>
      </c>
      <c r="CE50" s="83">
        <f t="shared" ca="1" si="153"/>
        <v>6.231825180284023</v>
      </c>
      <c r="CF50" s="83">
        <f t="shared" ca="1" si="154"/>
        <v>2.0086745932754813</v>
      </c>
      <c r="CG50" s="83">
        <f t="shared" ca="1" si="155"/>
        <v>2.2249498137845185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92</v>
      </c>
      <c r="D51" t="str">
        <f t="shared" si="180"/>
        <v>POT</v>
      </c>
      <c r="E51" s="265">
        <f t="shared" si="180"/>
        <v>43626</v>
      </c>
      <c r="F51" s="195">
        <f t="shared" ca="1" si="77"/>
        <v>0.4364827370446035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9.8000000000000007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5.3740997040178549</v>
      </c>
      <c r="Q51" s="196">
        <f t="shared" si="87"/>
        <v>0.36</v>
      </c>
      <c r="R51" s="196">
        <f t="shared" si="88"/>
        <v>0.34</v>
      </c>
      <c r="S51" s="196">
        <f t="shared" ca="1" si="89"/>
        <v>2.9528938447841759</v>
      </c>
      <c r="T51" s="83">
        <f t="shared" ca="1" si="90"/>
        <v>2.6881126885102211</v>
      </c>
      <c r="U51" s="83">
        <f t="shared" ca="1" si="91"/>
        <v>4.093146026193236</v>
      </c>
      <c r="V51" s="83">
        <f t="shared" ca="1" si="92"/>
        <v>2.6881126885102211</v>
      </c>
      <c r="W51" s="83">
        <f t="shared" ca="1" si="93"/>
        <v>4.0589119670919525</v>
      </c>
      <c r="X51" s="83">
        <f t="shared" ca="1" si="94"/>
        <v>7.8661084633564959</v>
      </c>
      <c r="Y51" s="83">
        <f t="shared" ca="1" si="95"/>
        <v>2.0294559835459762</v>
      </c>
      <c r="Z51" s="83">
        <f t="shared" ca="1" si="96"/>
        <v>2.5385338142788458</v>
      </c>
      <c r="AA51" s="83">
        <f t="shared" ca="1" si="97"/>
        <v>2.9733889991487557</v>
      </c>
      <c r="AB51" s="83">
        <f t="shared" ca="1" si="98"/>
        <v>5.6871964190067468</v>
      </c>
      <c r="AC51" s="83">
        <f t="shared" ca="1" si="99"/>
        <v>1.4866944995743778</v>
      </c>
      <c r="AD51" s="83">
        <f t="shared" ca="1" si="100"/>
        <v>4.1064517583922511</v>
      </c>
      <c r="AE51" s="326">
        <f t="shared" ca="1" si="101"/>
        <v>7.2368197862879766</v>
      </c>
      <c r="AF51" s="83">
        <f t="shared" ca="1" si="102"/>
        <v>3.2565689038295891</v>
      </c>
      <c r="AG51" s="83">
        <f t="shared" ca="1" si="103"/>
        <v>1.7812401133805349</v>
      </c>
      <c r="AH51" s="326">
        <f t="shared" ca="1" si="104"/>
        <v>1.6852717764536196</v>
      </c>
      <c r="AI51" s="83">
        <f t="shared" ca="1" si="105"/>
        <v>5.9310457813707984</v>
      </c>
      <c r="AJ51" s="83">
        <f t="shared" ca="1" si="106"/>
        <v>5.5692047920563992</v>
      </c>
      <c r="AK51" s="83">
        <f t="shared" ca="1" si="107"/>
        <v>0.47864011338053486</v>
      </c>
      <c r="AL51" s="83">
        <f t="shared" ca="1" si="108"/>
        <v>0.89743923744667076</v>
      </c>
      <c r="AM51" s="83">
        <f t="shared" ca="1" si="109"/>
        <v>2.123849285106254</v>
      </c>
      <c r="AN51" s="83">
        <f t="shared" ca="1" si="110"/>
        <v>4.672468427233758</v>
      </c>
      <c r="AO51" s="83">
        <f t="shared" ca="1" si="111"/>
        <v>1.061924642553127</v>
      </c>
      <c r="AP51" s="83">
        <f t="shared" ca="1" si="112"/>
        <v>10.068806389408531</v>
      </c>
      <c r="AQ51" s="83">
        <f t="shared" ca="1" si="113"/>
        <v>0.63259410023634455</v>
      </c>
      <c r="AR51" s="83">
        <f t="shared" ca="1" si="114"/>
        <v>1.7717697797634533</v>
      </c>
      <c r="AS51" s="83">
        <f t="shared" ca="1" si="115"/>
        <v>0.31629705011817227</v>
      </c>
      <c r="AT51" s="83">
        <f t="shared" ca="1" si="116"/>
        <v>1.4866944995743778</v>
      </c>
      <c r="AU51" s="83">
        <f t="shared" ca="1" si="117"/>
        <v>3.1464433853425984</v>
      </c>
      <c r="AV51" s="83">
        <f t="shared" ca="1" si="118"/>
        <v>0.74334724978718891</v>
      </c>
      <c r="AW51" s="83">
        <f t="shared" ca="1" si="119"/>
        <v>10.666108463356496</v>
      </c>
      <c r="AX51" s="83">
        <f t="shared" ca="1" si="120"/>
        <v>1.2311254412291934</v>
      </c>
      <c r="AY51" s="83">
        <f t="shared" ca="1" si="121"/>
        <v>3.1012257633094293</v>
      </c>
      <c r="AZ51" s="83">
        <f t="shared" ca="1" si="122"/>
        <v>0.61556272061459671</v>
      </c>
      <c r="BA51" s="83">
        <f t="shared" ca="1" si="123"/>
        <v>2.2890375628367403</v>
      </c>
      <c r="BB51" s="83">
        <f t="shared" ca="1" si="124"/>
        <v>2.7374057452480605</v>
      </c>
      <c r="BC51" s="83">
        <f t="shared" ca="1" si="125"/>
        <v>9.3968415562170726</v>
      </c>
      <c r="BD51" s="83">
        <f t="shared" ca="1" si="126"/>
        <v>3.1779704239239246</v>
      </c>
      <c r="BE51" s="83">
        <f t="shared" ca="1" si="127"/>
        <v>1.1727321396689154</v>
      </c>
      <c r="BF51" s="83">
        <f t="shared" ca="1" si="128"/>
        <v>3.8150626047279004</v>
      </c>
      <c r="BG51" s="83">
        <f t="shared" ca="1" si="129"/>
        <v>2.0766526343261149</v>
      </c>
      <c r="BH51" s="83">
        <f t="shared" ca="1" si="130"/>
        <v>4.0637873245388247</v>
      </c>
      <c r="BI51" s="83">
        <f t="shared" ca="1" si="131"/>
        <v>2.9069787969735779</v>
      </c>
      <c r="BJ51" s="83">
        <f t="shared" ca="1" si="132"/>
        <v>0.25303764009453777</v>
      </c>
      <c r="BK51" s="83">
        <f t="shared" ca="1" si="133"/>
        <v>1.4158995234041691</v>
      </c>
      <c r="BL51" s="83">
        <f t="shared" ca="1" si="134"/>
        <v>0.53489537550824173</v>
      </c>
      <c r="BM51" s="83">
        <f t="shared" ca="1" si="135"/>
        <v>3.2531630813237311</v>
      </c>
      <c r="BN51" s="83">
        <f t="shared" ca="1" si="136"/>
        <v>4.2578154838764535</v>
      </c>
      <c r="BO51" s="83">
        <f t="shared" ca="1" si="137"/>
        <v>0.65692464255312699</v>
      </c>
      <c r="BP51" s="83">
        <f t="shared" ca="1" si="138"/>
        <v>2.2339748035932447</v>
      </c>
      <c r="BQ51" s="83">
        <f t="shared" ca="1" si="139"/>
        <v>1.9193304650589849</v>
      </c>
      <c r="BR51" s="83">
        <f t="shared" ca="1" si="140"/>
        <v>4.8530793508272057</v>
      </c>
      <c r="BS51" s="83">
        <f t="shared" ca="1" si="141"/>
        <v>3.6636481773989975</v>
      </c>
      <c r="BT51" s="83">
        <f t="shared" ca="1" si="142"/>
        <v>0.58879912406613599</v>
      </c>
      <c r="BU51" s="83">
        <f t="shared" ca="1" si="143"/>
        <v>2.2339748035932447</v>
      </c>
      <c r="BV51" s="83">
        <f t="shared" ca="1" si="144"/>
        <v>1.9193304650589849</v>
      </c>
      <c r="BW51" s="83">
        <f t="shared" ca="1" si="145"/>
        <v>6.7303144403779491</v>
      </c>
      <c r="BX51" s="83">
        <f t="shared" ca="1" si="146"/>
        <v>2.9511670747040637</v>
      </c>
      <c r="BY51" s="83">
        <f t="shared" ca="1" si="147"/>
        <v>0.72018405257676132</v>
      </c>
      <c r="BZ51" s="83">
        <f t="shared" ca="1" si="148"/>
        <v>4.330440036122738</v>
      </c>
      <c r="CA51" s="83">
        <f t="shared" ca="1" si="149"/>
        <v>2.5012425094087343</v>
      </c>
      <c r="CB51" s="83">
        <f t="shared" ca="1" si="150"/>
        <v>6.6452381297394147</v>
      </c>
      <c r="CC51" s="83">
        <f t="shared" ca="1" si="151"/>
        <v>2.5012425094087343</v>
      </c>
      <c r="CD51" s="83">
        <f t="shared" ca="1" si="152"/>
        <v>3.2561000610395001</v>
      </c>
      <c r="CE51" s="83">
        <f t="shared" ca="1" si="153"/>
        <v>8.6617024863350434</v>
      </c>
      <c r="CF51" s="83">
        <f t="shared" ca="1" si="154"/>
        <v>3.2561000610395001</v>
      </c>
      <c r="CG51" s="83">
        <f t="shared" ca="1" si="155"/>
        <v>2.6665271158391239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50</v>
      </c>
      <c r="D52" t="str">
        <f t="shared" si="182"/>
        <v>CAB</v>
      </c>
      <c r="E52" s="265">
        <f t="shared" si="182"/>
        <v>43650</v>
      </c>
      <c r="F52" s="195">
        <f t="shared" ca="1" si="77"/>
        <v>0.35970673264589692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9.5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0.57715486085184153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3.7902310455589601</v>
      </c>
      <c r="T52" s="83">
        <f t="shared" ca="1" si="90"/>
        <v>1.4391611735401164</v>
      </c>
      <c r="U52" s="83">
        <f t="shared" ca="1" si="91"/>
        <v>2.178790463963677</v>
      </c>
      <c r="V52" s="83">
        <f t="shared" ca="1" si="92"/>
        <v>1.4391611735401164</v>
      </c>
      <c r="W52" s="83">
        <f t="shared" ca="1" si="93"/>
        <v>1.9092361575563574</v>
      </c>
      <c r="X52" s="83">
        <f t="shared" ca="1" si="94"/>
        <v>3.7000700727836384</v>
      </c>
      <c r="Y52" s="83">
        <f t="shared" ca="1" si="95"/>
        <v>0.95461807877817872</v>
      </c>
      <c r="Z52" s="83">
        <f t="shared" ca="1" si="96"/>
        <v>2.4276166773225061</v>
      </c>
      <c r="AA52" s="83">
        <f t="shared" ca="1" si="97"/>
        <v>1.3986264875122154</v>
      </c>
      <c r="AB52" s="83">
        <f t="shared" ca="1" si="98"/>
        <v>2.6751506626225705</v>
      </c>
      <c r="AC52" s="83">
        <f t="shared" ca="1" si="99"/>
        <v>0.69931324375610771</v>
      </c>
      <c r="AD52" s="83">
        <f t="shared" ca="1" si="100"/>
        <v>3.9270269780217011</v>
      </c>
      <c r="AE52" s="326">
        <f t="shared" ca="1" si="101"/>
        <v>3.4040644669609477</v>
      </c>
      <c r="AF52" s="83">
        <f t="shared" ca="1" si="102"/>
        <v>1.5318290101324263</v>
      </c>
      <c r="AG52" s="83">
        <f t="shared" ca="1" si="103"/>
        <v>1.7034117021548678</v>
      </c>
      <c r="AH52" s="326">
        <f t="shared" ca="1" si="104"/>
        <v>5.7036412027967796</v>
      </c>
      <c r="AI52" s="83">
        <f t="shared" ca="1" si="105"/>
        <v>2.7898528348788636</v>
      </c>
      <c r="AJ52" s="83">
        <f t="shared" ca="1" si="106"/>
        <v>2.6196496115308157</v>
      </c>
      <c r="AK52" s="83">
        <f t="shared" ca="1" si="107"/>
        <v>0.61791170215486768</v>
      </c>
      <c r="AL52" s="83">
        <f t="shared" ca="1" si="108"/>
        <v>0.84962018096168779</v>
      </c>
      <c r="AM52" s="83">
        <f t="shared" ca="1" si="109"/>
        <v>0.9990189196515824</v>
      </c>
      <c r="AN52" s="83">
        <f t="shared" ca="1" si="110"/>
        <v>2.1978416232334812</v>
      </c>
      <c r="AO52" s="83">
        <f t="shared" ca="1" si="111"/>
        <v>0.4995094598257912</v>
      </c>
      <c r="AP52" s="83">
        <f t="shared" ca="1" si="112"/>
        <v>9.628866148707754</v>
      </c>
      <c r="AQ52" s="83">
        <f t="shared" ca="1" si="113"/>
        <v>0.87100910946187293</v>
      </c>
      <c r="AR52" s="83">
        <f t="shared" ca="1" si="114"/>
        <v>1.444120531325606</v>
      </c>
      <c r="AS52" s="83">
        <f t="shared" ca="1" si="115"/>
        <v>0.43550455473093647</v>
      </c>
      <c r="AT52" s="83">
        <f t="shared" ca="1" si="116"/>
        <v>0.69931324375610771</v>
      </c>
      <c r="AU52" s="83">
        <f t="shared" ca="1" si="117"/>
        <v>1.4800280291134555</v>
      </c>
      <c r="AV52" s="83">
        <f t="shared" ca="1" si="118"/>
        <v>0.34965662187805385</v>
      </c>
      <c r="AW52" s="83">
        <f t="shared" ca="1" si="119"/>
        <v>10.200070072783639</v>
      </c>
      <c r="AX52" s="83">
        <f t="shared" ca="1" si="120"/>
        <v>1.6951177284142604</v>
      </c>
      <c r="AY52" s="83">
        <f t="shared" ca="1" si="121"/>
        <v>3.0617386101037845</v>
      </c>
      <c r="AZ52" s="83">
        <f t="shared" ca="1" si="122"/>
        <v>0.84755886420713022</v>
      </c>
      <c r="BA52" s="83">
        <f t="shared" ca="1" si="123"/>
        <v>1.0767203911800387</v>
      </c>
      <c r="BB52" s="83">
        <f t="shared" ca="1" si="124"/>
        <v>1.2876243853287062</v>
      </c>
      <c r="BC52" s="83">
        <f t="shared" ca="1" si="125"/>
        <v>8.9862617341223867</v>
      </c>
      <c r="BD52" s="83">
        <f t="shared" ca="1" si="126"/>
        <v>7.6783622947046535</v>
      </c>
      <c r="BE52" s="83">
        <f t="shared" ca="1" si="127"/>
        <v>1.6147168875408566</v>
      </c>
      <c r="BF52" s="83">
        <f t="shared" ca="1" si="128"/>
        <v>1.7945339853000646</v>
      </c>
      <c r="BG52" s="83">
        <f t="shared" ca="1" si="129"/>
        <v>0.97681849921488062</v>
      </c>
      <c r="BH52" s="83">
        <f t="shared" ca="1" si="130"/>
        <v>3.8862266977305664</v>
      </c>
      <c r="BI52" s="83">
        <f t="shared" ca="1" si="131"/>
        <v>7.8748612436129015</v>
      </c>
      <c r="BJ52" s="83">
        <f t="shared" ca="1" si="132"/>
        <v>0.34840364378474914</v>
      </c>
      <c r="BK52" s="83">
        <f t="shared" ca="1" si="133"/>
        <v>0.66601261310105486</v>
      </c>
      <c r="BL52" s="83">
        <f t="shared" ca="1" si="134"/>
        <v>0.25160476494928741</v>
      </c>
      <c r="BM52" s="83">
        <f t="shared" ca="1" si="135"/>
        <v>3.1110213721990099</v>
      </c>
      <c r="BN52" s="83">
        <f t="shared" ca="1" si="136"/>
        <v>11.61629011359976</v>
      </c>
      <c r="BO52" s="83">
        <f t="shared" ca="1" si="137"/>
        <v>0.90450945982579123</v>
      </c>
      <c r="BP52" s="83">
        <f t="shared" ca="1" si="138"/>
        <v>1.0508199006705532</v>
      </c>
      <c r="BQ52" s="83">
        <f t="shared" ca="1" si="139"/>
        <v>0.90281709775920771</v>
      </c>
      <c r="BR52" s="83">
        <f t="shared" ca="1" si="140"/>
        <v>4.6410318831165558</v>
      </c>
      <c r="BS52" s="83">
        <f t="shared" ca="1" si="141"/>
        <v>10.01567764064427</v>
      </c>
      <c r="BT52" s="83">
        <f t="shared" ca="1" si="142"/>
        <v>0.81070847880682018</v>
      </c>
      <c r="BU52" s="83">
        <f t="shared" ca="1" si="143"/>
        <v>1.0508199006705532</v>
      </c>
      <c r="BV52" s="83">
        <f t="shared" ca="1" si="144"/>
        <v>0.90281709775920771</v>
      </c>
      <c r="BW52" s="83">
        <f t="shared" ca="1" si="145"/>
        <v>6.4362442159264761</v>
      </c>
      <c r="BX52" s="83">
        <f t="shared" ca="1" si="146"/>
        <v>8.1025627151413566</v>
      </c>
      <c r="BY52" s="83">
        <f t="shared" ca="1" si="147"/>
        <v>0.99161037077197833</v>
      </c>
      <c r="BZ52" s="83">
        <f t="shared" ca="1" si="148"/>
        <v>4.1412284495501579</v>
      </c>
      <c r="CA52" s="83">
        <f t="shared" ca="1" si="149"/>
        <v>3.5417365079202754</v>
      </c>
      <c r="CB52" s="83">
        <f t="shared" ca="1" si="150"/>
        <v>5.7952789019543776</v>
      </c>
      <c r="CC52" s="83">
        <f t="shared" ca="1" si="151"/>
        <v>3.5417365079202754</v>
      </c>
      <c r="CD52" s="83">
        <f t="shared" ca="1" si="152"/>
        <v>4.2236199048562737</v>
      </c>
      <c r="CE52" s="83">
        <f t="shared" ca="1" si="153"/>
        <v>6.1723959296408006</v>
      </c>
      <c r="CF52" s="83">
        <f t="shared" ca="1" si="154"/>
        <v>4.2236199048562737</v>
      </c>
      <c r="CG52" s="83">
        <f t="shared" ca="1" si="155"/>
        <v>2.5500175181959097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56</v>
      </c>
      <c r="D53">
        <f t="shared" si="184"/>
        <v>0</v>
      </c>
      <c r="E53" s="265">
        <f t="shared" si="184"/>
        <v>43639</v>
      </c>
      <c r="F53" s="195">
        <f t="shared" ca="1" si="77"/>
        <v>0.39593527945771984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10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4.0779433782899321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2.3685678673472488</v>
      </c>
      <c r="T53" s="83">
        <f t="shared" ca="1" si="90"/>
        <v>1.9451016150439417</v>
      </c>
      <c r="U53" s="83">
        <f t="shared" ca="1" si="91"/>
        <v>2.926979593381132</v>
      </c>
      <c r="V53" s="83">
        <f t="shared" ca="1" si="92"/>
        <v>1.9451016150439417</v>
      </c>
      <c r="W53" s="83">
        <f t="shared" ca="1" si="93"/>
        <v>2.2082799923971064</v>
      </c>
      <c r="X53" s="83">
        <f t="shared" ca="1" si="94"/>
        <v>4.2796123883664849</v>
      </c>
      <c r="Y53" s="83">
        <f t="shared" ca="1" si="95"/>
        <v>1.1041399961985532</v>
      </c>
      <c r="Z53" s="83">
        <f t="shared" ca="1" si="96"/>
        <v>2.6845477484312235</v>
      </c>
      <c r="AA53" s="83">
        <f t="shared" ca="1" si="97"/>
        <v>1.6176934828025313</v>
      </c>
      <c r="AB53" s="83">
        <f t="shared" ca="1" si="98"/>
        <v>3.0941597567889687</v>
      </c>
      <c r="AC53" s="83">
        <f t="shared" ca="1" si="99"/>
        <v>0.80884674140126567</v>
      </c>
      <c r="AD53" s="83">
        <f t="shared" ca="1" si="100"/>
        <v>4.3426507695210974</v>
      </c>
      <c r="AE53" s="326">
        <f t="shared" ca="1" si="101"/>
        <v>3.9372433972971663</v>
      </c>
      <c r="AF53" s="83">
        <f t="shared" ca="1" si="102"/>
        <v>1.7717595287837247</v>
      </c>
      <c r="AG53" s="83">
        <f t="shared" ca="1" si="103"/>
        <v>1.8836952688572033</v>
      </c>
      <c r="AH53" s="326">
        <f t="shared" ca="1" si="104"/>
        <v>6.0444120843594931</v>
      </c>
      <c r="AI53" s="83">
        <f t="shared" ca="1" si="105"/>
        <v>3.2268277408283295</v>
      </c>
      <c r="AJ53" s="83">
        <f t="shared" ca="1" si="106"/>
        <v>3.029965570963471</v>
      </c>
      <c r="AK53" s="83">
        <f t="shared" ca="1" si="107"/>
        <v>0.38069526885720306</v>
      </c>
      <c r="AL53" s="83">
        <f t="shared" ca="1" si="108"/>
        <v>0.94452836784954775</v>
      </c>
      <c r="AM53" s="83">
        <f t="shared" ca="1" si="109"/>
        <v>1.1554953448589511</v>
      </c>
      <c r="AN53" s="83">
        <f t="shared" ca="1" si="110"/>
        <v>2.5420897586896918</v>
      </c>
      <c r="AO53" s="83">
        <f t="shared" ca="1" si="111"/>
        <v>0.57774767242947556</v>
      </c>
      <c r="AP53" s="83">
        <f t="shared" ca="1" si="112"/>
        <v>10.647954094617962</v>
      </c>
      <c r="AQ53" s="83">
        <f t="shared" ca="1" si="113"/>
        <v>0.8163496104876431</v>
      </c>
      <c r="AR53" s="83">
        <f t="shared" ca="1" si="114"/>
        <v>1.83992642979138</v>
      </c>
      <c r="AS53" s="83">
        <f t="shared" ca="1" si="115"/>
        <v>0.40817480524382155</v>
      </c>
      <c r="AT53" s="83">
        <f t="shared" ca="1" si="116"/>
        <v>0.80884674140126567</v>
      </c>
      <c r="AU53" s="83">
        <f t="shared" ca="1" si="117"/>
        <v>1.711844955346594</v>
      </c>
      <c r="AV53" s="83">
        <f t="shared" ca="1" si="118"/>
        <v>0.40442337070063283</v>
      </c>
      <c r="AW53" s="83">
        <f t="shared" ca="1" si="119"/>
        <v>11.279612388366486</v>
      </c>
      <c r="AX53" s="83">
        <f t="shared" ca="1" si="120"/>
        <v>1.5887419342567206</v>
      </c>
      <c r="AY53" s="83">
        <f t="shared" ca="1" si="121"/>
        <v>3.4600664259899334</v>
      </c>
      <c r="AZ53" s="83">
        <f t="shared" ca="1" si="122"/>
        <v>0.79437096712836031</v>
      </c>
      <c r="BA53" s="83">
        <f t="shared" ca="1" si="123"/>
        <v>1.2453672050146469</v>
      </c>
      <c r="BB53" s="83">
        <f t="shared" ca="1" si="124"/>
        <v>1.4893051111515367</v>
      </c>
      <c r="BC53" s="83">
        <f t="shared" ca="1" si="125"/>
        <v>9.9373385141508734</v>
      </c>
      <c r="BD53" s="83">
        <f t="shared" ca="1" si="126"/>
        <v>7.8785754132578054</v>
      </c>
      <c r="BE53" s="83">
        <f t="shared" ca="1" si="127"/>
        <v>1.5133865855963229</v>
      </c>
      <c r="BF53" s="83">
        <f t="shared" ca="1" si="128"/>
        <v>2.0756120083577452</v>
      </c>
      <c r="BG53" s="83">
        <f t="shared" ca="1" si="129"/>
        <v>1.1298176705287521</v>
      </c>
      <c r="BH53" s="83">
        <f t="shared" ca="1" si="130"/>
        <v>4.2975323199676314</v>
      </c>
      <c r="BI53" s="83">
        <f t="shared" ca="1" si="131"/>
        <v>8.18038122743231</v>
      </c>
      <c r="BJ53" s="83">
        <f t="shared" ca="1" si="132"/>
        <v>0.32653984419505722</v>
      </c>
      <c r="BK53" s="83">
        <f t="shared" ca="1" si="133"/>
        <v>0.77033022990596722</v>
      </c>
      <c r="BL53" s="83">
        <f t="shared" ca="1" si="134"/>
        <v>0.29101364240892097</v>
      </c>
      <c r="BM53" s="83">
        <f t="shared" ca="1" si="135"/>
        <v>3.4402817784517783</v>
      </c>
      <c r="BN53" s="83">
        <f t="shared" ca="1" si="136"/>
        <v>12.075581531439301</v>
      </c>
      <c r="BO53" s="83">
        <f t="shared" ca="1" si="137"/>
        <v>0.84774767242947557</v>
      </c>
      <c r="BP53" s="83">
        <f t="shared" ca="1" si="138"/>
        <v>1.2154099182960816</v>
      </c>
      <c r="BQ53" s="83">
        <f t="shared" ca="1" si="139"/>
        <v>1.0442254227614223</v>
      </c>
      <c r="BR53" s="83">
        <f t="shared" ca="1" si="140"/>
        <v>5.1322236367067511</v>
      </c>
      <c r="BS53" s="83">
        <f t="shared" ca="1" si="141"/>
        <v>10.413810526310066</v>
      </c>
      <c r="BT53" s="83">
        <f t="shared" ca="1" si="142"/>
        <v>0.75983309899234464</v>
      </c>
      <c r="BU53" s="83">
        <f t="shared" ca="1" si="143"/>
        <v>1.2154099182960816</v>
      </c>
      <c r="BV53" s="83">
        <f t="shared" ca="1" si="144"/>
        <v>1.0442254227614223</v>
      </c>
      <c r="BW53" s="83">
        <f t="shared" ca="1" si="145"/>
        <v>7.1174354170592524</v>
      </c>
      <c r="BX53" s="83">
        <f t="shared" ca="1" si="146"/>
        <v>8.4282530875880042</v>
      </c>
      <c r="BY53" s="83">
        <f t="shared" ca="1" si="147"/>
        <v>0.92938263347823968</v>
      </c>
      <c r="BZ53" s="83">
        <f t="shared" ca="1" si="148"/>
        <v>4.5795226296767932</v>
      </c>
      <c r="CA53" s="83">
        <f t="shared" ca="1" si="149"/>
        <v>3.8476780543389388</v>
      </c>
      <c r="CB53" s="83">
        <f t="shared" ca="1" si="150"/>
        <v>7.0708435493006618</v>
      </c>
      <c r="CC53" s="83">
        <f t="shared" ca="1" si="151"/>
        <v>3.8476780543389388</v>
      </c>
      <c r="CD53" s="83">
        <f t="shared" ca="1" si="152"/>
        <v>4.9532553452933135</v>
      </c>
      <c r="CE53" s="83">
        <f t="shared" ca="1" si="153"/>
        <v>8.5967893596737177</v>
      </c>
      <c r="CF53" s="83">
        <f t="shared" ca="1" si="154"/>
        <v>4.9532553452933135</v>
      </c>
      <c r="CG53" s="83">
        <f t="shared" ca="1" si="155"/>
        <v>2.8199030970916215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37</v>
      </c>
      <c r="D54" t="str">
        <f t="shared" si="186"/>
        <v>CAB</v>
      </c>
      <c r="E54" s="265">
        <f t="shared" si="186"/>
        <v>43626</v>
      </c>
      <c r="F54" s="195">
        <f t="shared" ca="1" si="77"/>
        <v>0.4364827370446035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8.5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7.9579475872222414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8.6288431132024499</v>
      </c>
      <c r="T54" s="83">
        <f t="shared" ca="1" si="90"/>
        <v>2.1292163998393745</v>
      </c>
      <c r="U54" s="83">
        <f t="shared" ca="1" si="91"/>
        <v>3.2497965317212283</v>
      </c>
      <c r="V54" s="83">
        <f t="shared" ca="1" si="92"/>
        <v>2.1292163998393745</v>
      </c>
      <c r="W54" s="83">
        <f t="shared" ca="1" si="93"/>
        <v>3.3757017895957815</v>
      </c>
      <c r="X54" s="83">
        <f t="shared" ca="1" si="94"/>
        <v>6.5420577317747703</v>
      </c>
      <c r="Y54" s="83">
        <f t="shared" ca="1" si="95"/>
        <v>1.6878508947978907</v>
      </c>
      <c r="Z54" s="83">
        <f t="shared" ca="1" si="96"/>
        <v>2.152009740162395</v>
      </c>
      <c r="AA54" s="83">
        <f t="shared" ca="1" si="97"/>
        <v>2.4728978226108631</v>
      </c>
      <c r="AB54" s="83">
        <f t="shared" ca="1" si="98"/>
        <v>4.7299077400731591</v>
      </c>
      <c r="AC54" s="83">
        <f t="shared" ca="1" si="99"/>
        <v>1.2364489113054316</v>
      </c>
      <c r="AD54" s="83">
        <f t="shared" ca="1" si="100"/>
        <v>3.481192226733286</v>
      </c>
      <c r="AE54" s="326">
        <f t="shared" ca="1" si="101"/>
        <v>6.0186931132327892</v>
      </c>
      <c r="AF54" s="83">
        <f t="shared" ca="1" si="102"/>
        <v>2.7084119009547547</v>
      </c>
      <c r="AG54" s="83">
        <f t="shared" ca="1" si="103"/>
        <v>1.5100236412063865</v>
      </c>
      <c r="AH54" s="326">
        <f t="shared" ca="1" si="104"/>
        <v>1.4947299462835646</v>
      </c>
      <c r="AI54" s="83">
        <f t="shared" ca="1" si="105"/>
        <v>4.9327115297581772</v>
      </c>
      <c r="AJ54" s="83">
        <f t="shared" ca="1" si="106"/>
        <v>4.6317768740965368</v>
      </c>
      <c r="AK54" s="83">
        <f t="shared" ca="1" si="107"/>
        <v>1.4265236412063864</v>
      </c>
      <c r="AL54" s="83">
        <f t="shared" ca="1" si="108"/>
        <v>0.69611262675113372</v>
      </c>
      <c r="AM54" s="83">
        <f t="shared" ca="1" si="109"/>
        <v>1.7663555875791881</v>
      </c>
      <c r="AN54" s="83">
        <f t="shared" ca="1" si="110"/>
        <v>3.8859822926742136</v>
      </c>
      <c r="AO54" s="83">
        <f t="shared" ca="1" si="111"/>
        <v>0.88317779378959405</v>
      </c>
      <c r="AP54" s="83">
        <f t="shared" ca="1" si="112"/>
        <v>8.5357024987953807</v>
      </c>
      <c r="AQ54" s="83">
        <f t="shared" ca="1" si="113"/>
        <v>0.4604675051307201</v>
      </c>
      <c r="AR54" s="83">
        <f t="shared" ca="1" si="114"/>
        <v>1.5568229154100077</v>
      </c>
      <c r="AS54" s="83">
        <f t="shared" ca="1" si="115"/>
        <v>0.23023375256536005</v>
      </c>
      <c r="AT54" s="83">
        <f t="shared" ca="1" si="116"/>
        <v>1.2364489113054316</v>
      </c>
      <c r="AU54" s="83">
        <f t="shared" ca="1" si="117"/>
        <v>2.6168230927099083</v>
      </c>
      <c r="AV54" s="83">
        <f t="shared" ca="1" si="118"/>
        <v>0.61822445565271578</v>
      </c>
      <c r="AW54" s="83">
        <f t="shared" ca="1" si="119"/>
        <v>9.0420577317747686</v>
      </c>
      <c r="AX54" s="83">
        <f t="shared" ca="1" si="120"/>
        <v>0.8961406061390168</v>
      </c>
      <c r="AY54" s="83">
        <f t="shared" ca="1" si="121"/>
        <v>2.5816738102078984</v>
      </c>
      <c r="AZ54" s="83">
        <f t="shared" ca="1" si="122"/>
        <v>0.4480703030695084</v>
      </c>
      <c r="BA54" s="83">
        <f t="shared" ca="1" si="123"/>
        <v>1.9037387999464581</v>
      </c>
      <c r="BB54" s="83">
        <f t="shared" ca="1" si="124"/>
        <v>2.27663609065762</v>
      </c>
      <c r="BC54" s="83">
        <f t="shared" ca="1" si="125"/>
        <v>7.9660528616935711</v>
      </c>
      <c r="BD54" s="83">
        <f t="shared" ca="1" si="126"/>
        <v>2.5748893235477706</v>
      </c>
      <c r="BE54" s="83">
        <f t="shared" ca="1" si="127"/>
        <v>0.85363591335771949</v>
      </c>
      <c r="BF54" s="83">
        <f t="shared" ca="1" si="128"/>
        <v>3.1728979999107634</v>
      </c>
      <c r="BG54" s="83">
        <f t="shared" ca="1" si="129"/>
        <v>1.7271032411885394</v>
      </c>
      <c r="BH54" s="83">
        <f t="shared" ca="1" si="130"/>
        <v>3.4450239958061868</v>
      </c>
      <c r="BI54" s="83">
        <f t="shared" ca="1" si="131"/>
        <v>2.4227584575711489</v>
      </c>
      <c r="BJ54" s="83">
        <f t="shared" ca="1" si="132"/>
        <v>0.18418700205228802</v>
      </c>
      <c r="BK54" s="83">
        <f t="shared" ca="1" si="133"/>
        <v>1.1775703917194587</v>
      </c>
      <c r="BL54" s="83">
        <f t="shared" ca="1" si="134"/>
        <v>0.44485992576068439</v>
      </c>
      <c r="BM54" s="83">
        <f t="shared" ca="1" si="135"/>
        <v>2.7578276081913042</v>
      </c>
      <c r="BN54" s="83">
        <f t="shared" ca="1" si="136"/>
        <v>3.555086243062354</v>
      </c>
      <c r="BO54" s="83">
        <f t="shared" ca="1" si="137"/>
        <v>0.47817779378959396</v>
      </c>
      <c r="BP54" s="83">
        <f t="shared" ca="1" si="138"/>
        <v>1.8579443958240347</v>
      </c>
      <c r="BQ54" s="83">
        <f t="shared" ca="1" si="139"/>
        <v>1.5962620865530439</v>
      </c>
      <c r="BR54" s="83">
        <f t="shared" ca="1" si="140"/>
        <v>4.1141362679575195</v>
      </c>
      <c r="BS54" s="83">
        <f t="shared" ca="1" si="141"/>
        <v>3.060599966806445</v>
      </c>
      <c r="BT54" s="83">
        <f t="shared" ca="1" si="142"/>
        <v>0.42858898554474717</v>
      </c>
      <c r="BU54" s="83">
        <f t="shared" ca="1" si="143"/>
        <v>1.8579443958240347</v>
      </c>
      <c r="BV54" s="83">
        <f t="shared" ca="1" si="144"/>
        <v>1.5962620865530439</v>
      </c>
      <c r="BW54" s="83">
        <f t="shared" ca="1" si="145"/>
        <v>5.7055384287498789</v>
      </c>
      <c r="BX54" s="83">
        <f t="shared" ca="1" si="146"/>
        <v>2.4681416699384187</v>
      </c>
      <c r="BY54" s="83">
        <f t="shared" ca="1" si="147"/>
        <v>0.52422454430266596</v>
      </c>
      <c r="BZ54" s="83">
        <f t="shared" ca="1" si="148"/>
        <v>3.6710754391005564</v>
      </c>
      <c r="CA54" s="83">
        <f t="shared" ca="1" si="149"/>
        <v>2.0824120782546554</v>
      </c>
      <c r="CB54" s="83">
        <f t="shared" ca="1" si="150"/>
        <v>5.7373570059783905</v>
      </c>
      <c r="CC54" s="83">
        <f t="shared" ca="1" si="151"/>
        <v>2.0824120782546554</v>
      </c>
      <c r="CD54" s="83">
        <f t="shared" ca="1" si="152"/>
        <v>2.9122164552640846</v>
      </c>
      <c r="CE54" s="83">
        <f t="shared" ca="1" si="153"/>
        <v>7.8490770347996603</v>
      </c>
      <c r="CF54" s="83">
        <f t="shared" ca="1" si="154"/>
        <v>2.9122164552640846</v>
      </c>
      <c r="CG54" s="83">
        <f t="shared" ca="1" si="155"/>
        <v>2.2605144329436921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52</v>
      </c>
      <c r="D55" t="str">
        <f t="shared" si="188"/>
        <v>IMP</v>
      </c>
      <c r="E55" s="265">
        <f t="shared" si="188"/>
        <v>43650</v>
      </c>
      <c r="F55" s="195">
        <f t="shared" ca="1" si="77"/>
        <v>0.35970673264589692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9.0833333333333339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4.8192529593981774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4.2074700041772122</v>
      </c>
      <c r="T55" s="83">
        <f t="shared" ca="1" si="90"/>
        <v>3.4594107844138504</v>
      </c>
      <c r="U55" s="83">
        <f t="shared" ca="1" si="91"/>
        <v>5.26744595953984</v>
      </c>
      <c r="V55" s="83">
        <f t="shared" ca="1" si="92"/>
        <v>3.4594107844138504</v>
      </c>
      <c r="W55" s="83">
        <f t="shared" ca="1" si="93"/>
        <v>5.2205314602033752</v>
      </c>
      <c r="X55" s="83">
        <f t="shared" ca="1" si="94"/>
        <v>10.11730903140189</v>
      </c>
      <c r="Y55" s="83">
        <f t="shared" ca="1" si="95"/>
        <v>2.6102657301016876</v>
      </c>
      <c r="Z55" s="83">
        <f t="shared" ca="1" si="96"/>
        <v>2.427752882806983</v>
      </c>
      <c r="AA55" s="83">
        <f t="shared" ca="1" si="97"/>
        <v>3.8243428138699143</v>
      </c>
      <c r="AB55" s="83">
        <f t="shared" ca="1" si="98"/>
        <v>7.3148144297035662</v>
      </c>
      <c r="AC55" s="83">
        <f t="shared" ca="1" si="99"/>
        <v>1.9121714069349571</v>
      </c>
      <c r="AD55" s="83">
        <f t="shared" ca="1" si="100"/>
        <v>3.927247310423061</v>
      </c>
      <c r="AE55" s="326">
        <f t="shared" ca="1" si="101"/>
        <v>9.3079243088897385</v>
      </c>
      <c r="AF55" s="83">
        <f t="shared" ca="1" si="102"/>
        <v>4.188565939000382</v>
      </c>
      <c r="AG55" s="83">
        <f t="shared" ca="1" si="103"/>
        <v>1.7035072749107825</v>
      </c>
      <c r="AH55" s="326">
        <f t="shared" ca="1" si="104"/>
        <v>5.9489777104643107</v>
      </c>
      <c r="AI55" s="83">
        <f t="shared" ca="1" si="105"/>
        <v>7.6284510096770246</v>
      </c>
      <c r="AJ55" s="83">
        <f t="shared" ca="1" si="106"/>
        <v>7.1630547942325373</v>
      </c>
      <c r="AK55" s="83">
        <f t="shared" ca="1" si="107"/>
        <v>0.68759060824411578</v>
      </c>
      <c r="AL55" s="83">
        <f t="shared" ca="1" si="108"/>
        <v>1.1137850010437442</v>
      </c>
      <c r="AM55" s="83">
        <f t="shared" ca="1" si="109"/>
        <v>2.7316734384785102</v>
      </c>
      <c r="AN55" s="83">
        <f t="shared" ca="1" si="110"/>
        <v>6.0096815646527224</v>
      </c>
      <c r="AO55" s="83">
        <f t="shared" ca="1" si="111"/>
        <v>1.3658367192392551</v>
      </c>
      <c r="AP55" s="83">
        <f t="shared" ca="1" si="112"/>
        <v>9.6294063923100506</v>
      </c>
      <c r="AQ55" s="83">
        <f t="shared" ca="1" si="113"/>
        <v>0.79525017408224574</v>
      </c>
      <c r="AR55" s="83">
        <f t="shared" ca="1" si="114"/>
        <v>1.7923715462007539</v>
      </c>
      <c r="AS55" s="83">
        <f t="shared" ca="1" si="115"/>
        <v>0.39762508704112287</v>
      </c>
      <c r="AT55" s="83">
        <f t="shared" ca="1" si="116"/>
        <v>1.9121714069349571</v>
      </c>
      <c r="AU55" s="83">
        <f t="shared" ca="1" si="117"/>
        <v>4.0469236125607564</v>
      </c>
      <c r="AV55" s="83">
        <f t="shared" ca="1" si="118"/>
        <v>0.95608570346747856</v>
      </c>
      <c r="AW55" s="83">
        <f t="shared" ca="1" si="119"/>
        <v>10.200642364735224</v>
      </c>
      <c r="AX55" s="83">
        <f t="shared" ca="1" si="120"/>
        <v>1.5476791849446783</v>
      </c>
      <c r="AY55" s="83">
        <f t="shared" ca="1" si="121"/>
        <v>3.3706372763024417</v>
      </c>
      <c r="AZ55" s="83">
        <f t="shared" ca="1" si="122"/>
        <v>0.77383959247233913</v>
      </c>
      <c r="BA55" s="83">
        <f t="shared" ca="1" si="123"/>
        <v>2.9441369281379495</v>
      </c>
      <c r="BB55" s="83">
        <f t="shared" ca="1" si="124"/>
        <v>3.5208235429278574</v>
      </c>
      <c r="BC55" s="83">
        <f t="shared" ca="1" si="125"/>
        <v>8.9867659233317312</v>
      </c>
      <c r="BD55" s="83">
        <f t="shared" ca="1" si="126"/>
        <v>7.7342877289162795</v>
      </c>
      <c r="BE55" s="83">
        <f t="shared" ca="1" si="127"/>
        <v>1.4742714765678555</v>
      </c>
      <c r="BF55" s="83">
        <f t="shared" ca="1" si="128"/>
        <v>4.9068948802299159</v>
      </c>
      <c r="BG55" s="83">
        <f t="shared" ca="1" si="129"/>
        <v>2.6709695842900989</v>
      </c>
      <c r="BH55" s="83">
        <f t="shared" ca="1" si="130"/>
        <v>3.8864447409641203</v>
      </c>
      <c r="BI55" s="83">
        <f t="shared" ca="1" si="131"/>
        <v>8.0385280934452528</v>
      </c>
      <c r="BJ55" s="83">
        <f t="shared" ca="1" si="132"/>
        <v>0.31810006963289827</v>
      </c>
      <c r="BK55" s="83">
        <f t="shared" ca="1" si="133"/>
        <v>1.82111562565234</v>
      </c>
      <c r="BL55" s="83">
        <f t="shared" ca="1" si="134"/>
        <v>0.68797701413532852</v>
      </c>
      <c r="BM55" s="83">
        <f t="shared" ca="1" si="135"/>
        <v>3.111195921244243</v>
      </c>
      <c r="BN55" s="83">
        <f t="shared" ca="1" si="136"/>
        <v>11.86685941438283</v>
      </c>
      <c r="BO55" s="83">
        <f t="shared" ca="1" si="137"/>
        <v>0.82583671923925528</v>
      </c>
      <c r="BP55" s="83">
        <f t="shared" ca="1" si="138"/>
        <v>2.8733157649181362</v>
      </c>
      <c r="BQ55" s="83">
        <f t="shared" ca="1" si="139"/>
        <v>2.4686234036620611</v>
      </c>
      <c r="BR55" s="83">
        <f t="shared" ca="1" si="140"/>
        <v>4.6412922759545268</v>
      </c>
      <c r="BS55" s="83">
        <f t="shared" ca="1" si="141"/>
        <v>10.233978406793295</v>
      </c>
      <c r="BT55" s="83">
        <f t="shared" ca="1" si="142"/>
        <v>0.74019439279962873</v>
      </c>
      <c r="BU55" s="83">
        <f t="shared" ca="1" si="143"/>
        <v>2.8733157649181362</v>
      </c>
      <c r="BV55" s="83">
        <f t="shared" ca="1" si="144"/>
        <v>2.4686234036620611</v>
      </c>
      <c r="BW55" s="83">
        <f t="shared" ca="1" si="145"/>
        <v>6.4366053321479262</v>
      </c>
      <c r="BX55" s="83">
        <f t="shared" ca="1" si="146"/>
        <v>8.2829915831046907</v>
      </c>
      <c r="BY55" s="83">
        <f t="shared" ca="1" si="147"/>
        <v>0.90536173664747976</v>
      </c>
      <c r="BZ55" s="83">
        <f t="shared" ca="1" si="148"/>
        <v>4.1414608000825011</v>
      </c>
      <c r="CA55" s="83">
        <f t="shared" ca="1" si="149"/>
        <v>3.7631180053603845</v>
      </c>
      <c r="CB55" s="83">
        <f t="shared" ca="1" si="150"/>
        <v>6.8880899693585285</v>
      </c>
      <c r="CC55" s="83">
        <f t="shared" ca="1" si="151"/>
        <v>3.7631180053603845</v>
      </c>
      <c r="CD55" s="83">
        <f t="shared" ca="1" si="152"/>
        <v>4.8615597760754445</v>
      </c>
      <c r="CE55" s="83">
        <f t="shared" ca="1" si="153"/>
        <v>8.3745960639891877</v>
      </c>
      <c r="CF55" s="83">
        <f t="shared" ca="1" si="154"/>
        <v>4.8615597760754445</v>
      </c>
      <c r="CG55" s="83">
        <f t="shared" ca="1" si="155"/>
        <v>2.5501605911838059</v>
      </c>
    </row>
    <row r="56" spans="1:85" x14ac:dyDescent="0.25">
      <c r="A56" t="str">
        <f t="shared" ref="A56:E56" si="190">A22</f>
        <v>K. Helms</v>
      </c>
      <c r="B56">
        <f t="shared" si="190"/>
        <v>36</v>
      </c>
      <c r="C56">
        <f t="shared" ca="1" si="190"/>
        <v>0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15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15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52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3.4672023809523811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1.8753654826788615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1.5592828319631766</v>
      </c>
      <c r="AR59" s="83">
        <f t="shared" si="114"/>
        <v>3.1683836135785439</v>
      </c>
      <c r="AS59" s="83">
        <f t="shared" si="115"/>
        <v>0.77964141598158831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3.0346042806667977</v>
      </c>
      <c r="AY59" s="83">
        <f t="shared" si="121"/>
        <v>6.1889603108593105</v>
      </c>
      <c r="AZ59" s="83">
        <f t="shared" si="122"/>
        <v>1.5173021403333988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10.08909567396357</v>
      </c>
      <c r="BE59" s="83">
        <f t="shared" si="127"/>
        <v>2.8906704807932733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9.8101784241216645</v>
      </c>
      <c r="BJ59" s="83">
        <f t="shared" si="132"/>
        <v>0.62371313278527063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14.424905553112655</v>
      </c>
      <c r="BO59" s="83">
        <f t="shared" si="137"/>
        <v>1.619255248577145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12.425887521655381</v>
      </c>
      <c r="BT59" s="83">
        <f t="shared" si="142"/>
        <v>1.4513324820580336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10.033062573900331</v>
      </c>
      <c r="BY59" s="83">
        <f t="shared" si="147"/>
        <v>1.7751835317734626</v>
      </c>
      <c r="BZ59" s="83">
        <f t="shared" si="148"/>
        <v>4.8697602290542292</v>
      </c>
      <c r="CA59" s="83">
        <f t="shared" si="149"/>
        <v>5.8511258111754998</v>
      </c>
      <c r="CB59" s="83">
        <f t="shared" si="150"/>
        <v>12.339788221465668</v>
      </c>
      <c r="CC59" s="83">
        <f t="shared" si="151"/>
        <v>5.8511258111754998</v>
      </c>
      <c r="CD59" s="83">
        <f t="shared" si="152"/>
        <v>6.6015631101004546</v>
      </c>
      <c r="CE59" s="83">
        <f t="shared" si="153"/>
        <v>14.420447668904529</v>
      </c>
      <c r="CF59" s="83">
        <f t="shared" si="154"/>
        <v>6.6015631101004546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83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5" t="s">
        <v>443</v>
      </c>
      <c r="X1" s="695"/>
      <c r="Y1" s="695"/>
      <c r="Z1" s="695"/>
      <c r="AA1" s="695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2.1205470012276106</v>
      </c>
      <c r="F2" s="83">
        <f ca="1">D2*Plantilla!S4</f>
        <v>2.3684715918833033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6.6062620390705753</v>
      </c>
      <c r="R2" s="48">
        <f ca="1">Plantilla!AJ4</f>
        <v>11.795454808096871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1.1520637535753437</v>
      </c>
      <c r="F3" s="83">
        <f>D3*Plantilla!S5</f>
        <v>1.4086305704448046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3.3434292678518927</v>
      </c>
      <c r="R3" s="48">
        <f>Plantilla!AJ5</f>
        <v>6.7149407368005951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3.73011579318135</v>
      </c>
      <c r="F6" s="83">
        <f>D6*Plantilla!S7</f>
        <v>4.0827305898121713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8.8810476113509687</v>
      </c>
      <c r="R6" s="48">
        <f>Plantilla!AJ7</f>
        <v>10.884955812189798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15.136423764012715</v>
      </c>
      <c r="C7" s="83">
        <f>Plantilla!AB8+Plantilla!J8+Plantilla!P8</f>
        <v>13.136423764012715</v>
      </c>
      <c r="D7" s="126">
        <f t="shared" si="1"/>
        <v>5.1761589115047677</v>
      </c>
      <c r="E7" s="83">
        <f>D7*Plantilla!R8</f>
        <v>4.7921919598879255</v>
      </c>
      <c r="F7" s="83">
        <f>D7*Plantilla!S8</f>
        <v>5.1724603337466846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16.017147412842817</v>
      </c>
      <c r="R7" s="48">
        <f>Plantilla!AJ8</f>
        <v>15.685636459587096</v>
      </c>
      <c r="S7" s="48">
        <f>Plantilla!AK8</f>
        <v>1.0283139011210172</v>
      </c>
      <c r="T7" s="48">
        <f>Plantilla!AL8</f>
        <v>1.2269496634808901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4.6712710824521784</v>
      </c>
      <c r="C11" s="83">
        <f ca="1">Plantilla!AB11+Plantilla!J11+Plantilla!P11</f>
        <v>4.6712710824521784</v>
      </c>
      <c r="D11" s="126">
        <f t="shared" ca="1" si="1"/>
        <v>1.7517266559195668</v>
      </c>
      <c r="E11" s="83">
        <f ca="1">D11*Plantilla!R11</f>
        <v>1.3241808847217098</v>
      </c>
      <c r="F11" s="83">
        <f ca="1">D11*Plantilla!S11</f>
        <v>1.4789980161546219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6.6548273493452283</v>
      </c>
      <c r="R11" s="48">
        <f ca="1">Plantilla!AJ11</f>
        <v>5.2697856017670048</v>
      </c>
      <c r="S11" s="48">
        <f ca="1">Plantilla!AK11</f>
        <v>0.58370168659617439</v>
      </c>
      <c r="T11" s="48">
        <f ca="1">Plantilla!AL11</f>
        <v>0.38698897577165259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3.9218746333446042</v>
      </c>
      <c r="C12" s="83">
        <f ca="1">Plantilla!AB12+Plantilla!J12+Plantilla!P12</f>
        <v>6.9218746333446051</v>
      </c>
      <c r="D12" s="126">
        <f t="shared" ca="1" si="1"/>
        <v>2.220702987504227</v>
      </c>
      <c r="E12" s="83">
        <f ca="1">D12*Plantilla!R12</f>
        <v>2.0559714614563664</v>
      </c>
      <c r="F12" s="83">
        <f ca="1">D12*Plantilla!S12</f>
        <v>2.2191162041737083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9.7001346857764918</v>
      </c>
      <c r="R12" s="48">
        <f ca="1">Plantilla!AJ12</f>
        <v>4.6493524740883458</v>
      </c>
      <c r="S12" s="48">
        <f ca="1">Plantilla!AK12</f>
        <v>0.5837499706675684</v>
      </c>
      <c r="T12" s="48">
        <f ca="1">Plantilla!AL12</f>
        <v>0.2445312243341223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5.0604018278253626</v>
      </c>
      <c r="C13" s="83">
        <f ca="1">Plantilla!AB13+Plantilla!J13+Plantilla!P13</f>
        <v>3.0604018278253626</v>
      </c>
      <c r="D13" s="126">
        <f t="shared" ca="1" si="1"/>
        <v>1.397650685434511</v>
      </c>
      <c r="E13" s="83">
        <f ca="1">D13*Plantilla!R13</f>
        <v>0.91497715158722281</v>
      </c>
      <c r="F13" s="83">
        <f ca="1">D13*Plantilla!S13</f>
        <v>1.0552031273373239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5.2526058969363332</v>
      </c>
      <c r="R13" s="48">
        <f ca="1">Plantilla!AJ13</f>
        <v>2.2653647587104673</v>
      </c>
      <c r="S13" s="48">
        <f ca="1">Plantilla!AK13</f>
        <v>0.4848321462260291</v>
      </c>
      <c r="T13" s="48">
        <f ca="1">Plantilla!AL13</f>
        <v>0.23422812794777537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3.069602038106761</v>
      </c>
      <c r="C14" s="83">
        <f ca="1">Plantilla!AB14+Plantilla!J14+Plantilla!P14</f>
        <v>5.069602038106761</v>
      </c>
      <c r="D14" s="126">
        <f t="shared" ca="1" si="1"/>
        <v>1.6511007642900353</v>
      </c>
      <c r="E14" s="83">
        <f ca="1">D14*Plantilla!R14</f>
        <v>1.6511007642900353</v>
      </c>
      <c r="F14" s="83">
        <f ca="1">D14*Plantilla!S14</f>
        <v>1.6511007642900353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11.343820504215943</v>
      </c>
      <c r="R14" s="48">
        <f ca="1">Plantilla!AJ14</f>
        <v>7.6696020381067616</v>
      </c>
      <c r="S14" s="48">
        <f ca="1">Plantilla!AK14</f>
        <v>0.66556816304854094</v>
      </c>
      <c r="T14" s="48">
        <f ca="1">Plantilla!AL14</f>
        <v>0.33487214266747328</v>
      </c>
    </row>
    <row r="15" spans="1:27" x14ac:dyDescent="0.25">
      <c r="A15" t="str">
        <f>Plantilla!D19</f>
        <v>J. Vartiainen</v>
      </c>
      <c r="B15" s="83">
        <f ca="1">Plantilla!Y19++Plantilla!J19+Plantilla!P19</f>
        <v>7.6252233142717749</v>
      </c>
      <c r="C15" s="83">
        <f ca="1">Plantilla!AB19+Plantilla!J19+Plantilla!P19</f>
        <v>1.6252233142717749</v>
      </c>
      <c r="D15" s="126">
        <f t="shared" ca="1" si="1"/>
        <v>1.3594587428519156</v>
      </c>
      <c r="E15" s="83">
        <f ca="1">D15*Plantilla!R19</f>
        <v>1.1489523406491768</v>
      </c>
      <c r="F15" s="83">
        <f ca="1">D15*Plantilla!S19</f>
        <v>1.2575649463696497</v>
      </c>
      <c r="M15" t="str">
        <f>Plantilla!D19</f>
        <v>J. Vartiainen</v>
      </c>
      <c r="N15" s="48">
        <f>Plantilla!J19</f>
        <v>0.19483738090431735</v>
      </c>
      <c r="O15" s="83">
        <f>Plantilla!AC19</f>
        <v>6</v>
      </c>
      <c r="P15" s="83">
        <f>Plantilla!AD19</f>
        <v>1</v>
      </c>
      <c r="Q15" s="48">
        <f ca="1">Plantilla!AI19</f>
        <v>3.6271852999690655</v>
      </c>
      <c r="R15" s="48">
        <f ca="1">Plantilla!AJ19</f>
        <v>2.6412957810335467</v>
      </c>
      <c r="S15" s="48">
        <f ca="1">Plantilla!AK19</f>
        <v>0.38001786514174196</v>
      </c>
      <c r="T15" s="48">
        <f ca="1">Plantilla!AL19</f>
        <v>0.35376563199902422</v>
      </c>
    </row>
    <row r="16" spans="1:27" x14ac:dyDescent="0.25">
      <c r="A16" t="str">
        <f>Plantilla!D16</f>
        <v>R. Forsyth</v>
      </c>
      <c r="B16" s="83">
        <f ca="1">Plantilla!Y16++Plantilla!J16+Plantilla!P16</f>
        <v>8.0916316621569671</v>
      </c>
      <c r="C16" s="83">
        <f ca="1">Plantilla!AB16+Plantilla!J16+Plantilla!P16</f>
        <v>5.0916316621569671</v>
      </c>
      <c r="D16" s="126">
        <f t="shared" ca="1" si="1"/>
        <v>2.2843618733088626</v>
      </c>
      <c r="E16" s="83">
        <f ca="1">D16*Plantilla!R16</f>
        <v>1.4954658855869978</v>
      </c>
      <c r="F16" s="83">
        <f ca="1">D16*Plantilla!S16</f>
        <v>1.7246553933726849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3.844457591719161</v>
      </c>
      <c r="R16" s="48">
        <f ca="1">Plantilla!AJ16</f>
        <v>2.8095324209576349</v>
      </c>
      <c r="S16" s="48">
        <f ca="1">Plantilla!AK16</f>
        <v>0.44733053297255737</v>
      </c>
      <c r="T16" s="48">
        <f ca="1">Plantilla!AL16</f>
        <v>0.41641421635098769</v>
      </c>
    </row>
    <row r="17" spans="1:20" x14ac:dyDescent="0.25">
      <c r="A17" t="str">
        <f>Plantilla!D17</f>
        <v>M. Grupinski</v>
      </c>
      <c r="B17" s="83">
        <f ca="1">Plantilla!Y17++Plantilla!J17+Plantilla!P17</f>
        <v>3.9559174411021893</v>
      </c>
      <c r="C17" s="83">
        <f ca="1">Plantilla!AB17+Plantilla!J17+Plantilla!P17</f>
        <v>6.9559174411021889</v>
      </c>
      <c r="D17" s="126">
        <f t="shared" ca="1" si="1"/>
        <v>2.2334690404133211</v>
      </c>
      <c r="E17" s="83">
        <f ca="1">D17*Plantilla!R17</f>
        <v>1.8876258623097355</v>
      </c>
      <c r="F17" s="83">
        <f ca="1">D17*Plantilla!S17</f>
        <v>2.0660666524777378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0.96565427337527232</v>
      </c>
      <c r="R17" s="48">
        <f ca="1">Plantilla!AJ17</f>
        <v>3.343360456702261</v>
      </c>
      <c r="S17" s="48">
        <f ca="1">Plantilla!AK17</f>
        <v>0.31647339528817514</v>
      </c>
      <c r="T17" s="48">
        <f ca="1">Plantilla!AL17</f>
        <v>0.27691422087715328</v>
      </c>
    </row>
    <row r="18" spans="1:20" x14ac:dyDescent="0.25">
      <c r="A18" t="str">
        <f>Plantilla!D18</f>
        <v>V. Godoi</v>
      </c>
      <c r="B18" s="83">
        <f ca="1">Plantilla!Y18++Plantilla!J18+Plantilla!P18</f>
        <v>4.3935193154659871</v>
      </c>
      <c r="C18" s="83">
        <f ca="1">Plantilla!AB18+Plantilla!J18+Plantilla!P18</f>
        <v>6.3935193154659871</v>
      </c>
      <c r="D18" s="126">
        <f t="shared" ca="1" si="1"/>
        <v>2.1475697432997451</v>
      </c>
      <c r="E18" s="83">
        <f ca="1">D18*Plantilla!R18</f>
        <v>1.4059144155525662</v>
      </c>
      <c r="F18" s="83">
        <f ca="1">D18*Plantilla!S18</f>
        <v>1.6213796000109981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2.8344393908946999</v>
      </c>
      <c r="R18" s="48">
        <f ca="1">Plantilla!AJ18</f>
        <v>2.3525106106298255</v>
      </c>
      <c r="S18" s="48">
        <f ca="1">Plantilla!AK18</f>
        <v>0.39148154523727896</v>
      </c>
      <c r="T18" s="48">
        <f ca="1">Plantilla!AL18</f>
        <v>0.2475463520826191</v>
      </c>
    </row>
    <row r="19" spans="1:20" x14ac:dyDescent="0.25">
      <c r="A19" t="str">
        <f>Plantilla!D15</f>
        <v>P. Tuderek</v>
      </c>
      <c r="B19" s="83">
        <f ca="1">Plantilla!Y15++Plantilla!J15+Plantilla!P15</f>
        <v>6.8930463114742127</v>
      </c>
      <c r="C19" s="83">
        <f ca="1">Plantilla!AB15+Plantilla!J15+Plantilla!P15</f>
        <v>3.8930463114742118</v>
      </c>
      <c r="D19" s="126">
        <f t="shared" ca="1" si="1"/>
        <v>1.8348923668028294</v>
      </c>
      <c r="E19" s="83">
        <f ca="1">D19*Plantilla!R15</f>
        <v>1.6987802341052884</v>
      </c>
      <c r="F19" s="83">
        <f ca="1">D19*Plantilla!S15</f>
        <v>1.8335812609785376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8.0857723721335955</v>
      </c>
      <c r="R19" s="48">
        <f ca="1">Plantilla!AJ15</f>
        <v>7.6778689635074446</v>
      </c>
      <c r="S19" s="48">
        <f ca="1">Plantilla!AK15</f>
        <v>0.61144370491793687</v>
      </c>
      <c r="T19" s="48">
        <f ca="1">Plantilla!AL15</f>
        <v>0.54251324180319482</v>
      </c>
    </row>
    <row r="20" spans="1:20" x14ac:dyDescent="0.25">
      <c r="A20" t="str">
        <f>Plantilla!D20</f>
        <v>G. Stoychev</v>
      </c>
      <c r="B20" s="83">
        <f ca="1">Plantilla!Y20++Plantilla!J20+Plantilla!P20</f>
        <v>10.255837209893521</v>
      </c>
      <c r="C20" s="83">
        <f ca="1">Plantilla!AB20+Plantilla!J20+Plantilla!P20</f>
        <v>6.25583720989352</v>
      </c>
      <c r="D20" s="126">
        <f t="shared" ca="1" si="1"/>
        <v>2.8459389537100703</v>
      </c>
      <c r="E20" s="83">
        <f ca="1">D20*Plantilla!R20</f>
        <v>2.4052574154256887</v>
      </c>
      <c r="F20" s="83">
        <f ca="1">D20*Plantilla!S20</f>
        <v>2.6326308808648804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4.3317538148372678</v>
      </c>
      <c r="R20" s="48">
        <f ca="1">Plantilla!AJ20</f>
        <v>4.1039314782105576</v>
      </c>
      <c r="S20" s="48">
        <f ca="1">Plantilla!AK20</f>
        <v>0.44046697679148161</v>
      </c>
      <c r="T20" s="48">
        <f ca="1">Plantilla!AL20</f>
        <v>0.53790860469254642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3.4023805707431714</v>
      </c>
      <c r="F21" s="83">
        <f>D21*Plantilla!S21</f>
        <v>3.8001712397394494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11.773940871344347</v>
      </c>
      <c r="R21" s="48">
        <f>Plantilla!AJ21</f>
        <v>12.701473796203704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12.033360961115283</v>
      </c>
      <c r="D24" s="126">
        <f t="shared" si="1"/>
        <v>4.2484627413706129</v>
      </c>
      <c r="E24" s="83">
        <f>D24*Plantilla!R24</f>
        <v>3.9333121990957083</v>
      </c>
      <c r="F24" s="83">
        <f>D24*Plantilla!S24</f>
        <v>4.2454270405604326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19.628522766794237</v>
      </c>
      <c r="R24" s="48">
        <f>Plantilla!AJ24</f>
        <v>17.09837978765524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2.2632544845111666</v>
      </c>
      <c r="F25" s="83">
        <f>D25*Plantilla!S25</f>
        <v>2.7672856173842195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10.239272447659632</v>
      </c>
      <c r="R25" s="48">
        <f>Plantilla!AJ25</f>
        <v>7.9302274971888673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5" t="s">
        <v>442</v>
      </c>
      <c r="B27" s="695"/>
      <c r="C27" s="695"/>
      <c r="D27" s="695"/>
      <c r="E27" s="695"/>
      <c r="F27" s="695"/>
      <c r="G27" s="695"/>
      <c r="H27" s="695"/>
      <c r="I27" s="695"/>
      <c r="J27" s="69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5.1761589115047677</v>
      </c>
      <c r="C29" s="48">
        <f>E7</f>
        <v>4.7921919598879255</v>
      </c>
      <c r="D29" s="48">
        <f>F7</f>
        <v>5.1724603337466846</v>
      </c>
      <c r="G29" s="48" t="str">
        <f>A29</f>
        <v>E. Romweber</v>
      </c>
      <c r="H29" s="48">
        <f>B29</f>
        <v>5.1761589115047677</v>
      </c>
      <c r="I29" s="48">
        <f t="shared" ref="I29:J32" si="3">C29</f>
        <v>4.7921919598879255</v>
      </c>
      <c r="J29" s="48">
        <f t="shared" si="3"/>
        <v>5.1724603337466846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J. Vartiainen</v>
      </c>
      <c r="B16" s="50">
        <f>Plantilla!E19</f>
        <v>19</v>
      </c>
      <c r="C16" s="50">
        <f>Plantilla!H19</f>
        <v>4</v>
      </c>
      <c r="D16" s="129">
        <f>Plantilla!I19</f>
        <v>0.4</v>
      </c>
      <c r="E16" s="123">
        <f t="shared" si="4"/>
        <v>0.4</v>
      </c>
      <c r="F16" s="123">
        <f t="shared" si="5"/>
        <v>0.5</v>
      </c>
      <c r="G16" s="123">
        <f t="shared" si="6"/>
        <v>4</v>
      </c>
      <c r="H16" s="123">
        <f t="shared" si="7"/>
        <v>4.99</v>
      </c>
      <c r="I16" s="127">
        <f t="shared" si="8"/>
        <v>6.4</v>
      </c>
      <c r="J16" s="127">
        <f t="shared" si="9"/>
        <v>12.450050000000001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36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2019-09-10T15:16:02Z</dcterms:modified>
</cp:coreProperties>
</file>