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39AF98B2-211C-4715-8A59-824CD27A86DB}" xr6:coauthVersionLast="33" xr6:coauthVersionMax="33" xr10:uidLastSave="{00000000-0000-0000-0000-000000000000}"/>
  <bookViews>
    <workbookView xWindow="0" yWindow="0" windowWidth="16380" windowHeight="8190" tabRatio="500" xr2:uid="{00000000-000D-0000-FFFF-FFFF00000000}"/>
  </bookViews>
  <sheets>
    <sheet name="Plantilla" sheetId="1" r:id="rId1"/>
    <sheet name="Juvenils" sheetId="3" r:id="rId2"/>
    <sheet name="EconomiaT48" sheetId="2" r:id="rId3"/>
    <sheet name="Ahch-To" sheetId="4" r:id="rId4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6" i="4" l="1"/>
  <c r="E16" i="4"/>
  <c r="F16" i="4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C16" i="4"/>
  <c r="H11" i="2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G11" i="2"/>
  <c r="E6" i="2"/>
  <c r="E11" i="2"/>
  <c r="X32" i="2" l="1"/>
  <c r="W25" i="2"/>
  <c r="W28" i="2"/>
  <c r="W29" i="2"/>
  <c r="W30" i="2"/>
  <c r="E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AA11" i="2" l="1"/>
  <c r="AD6" i="2"/>
  <c r="F4" i="2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AJ29" i="4"/>
  <c r="AH29" i="4"/>
  <c r="AF29" i="4"/>
  <c r="AJ28" i="4"/>
  <c r="AH28" i="4"/>
  <c r="AF28" i="4"/>
  <c r="AJ27" i="4"/>
  <c r="AH27" i="4"/>
  <c r="AF27" i="4"/>
  <c r="AJ26" i="4"/>
  <c r="AH26" i="4"/>
  <c r="AF26" i="4"/>
  <c r="B24" i="4"/>
  <c r="B28" i="4" s="1"/>
  <c r="B21" i="4"/>
  <c r="B25" i="4" s="1"/>
  <c r="B29" i="4" s="1"/>
  <c r="B20" i="4"/>
  <c r="C19" i="4"/>
  <c r="C23" i="4" s="1"/>
  <c r="B19" i="4"/>
  <c r="B23" i="4" s="1"/>
  <c r="B27" i="4" s="1"/>
  <c r="B18" i="4"/>
  <c r="B17" i="4" s="1"/>
  <c r="Q13" i="4"/>
  <c r="L7" i="4" s="1"/>
  <c r="O13" i="4"/>
  <c r="L5" i="4" s="1"/>
  <c r="N13" i="4"/>
  <c r="P12" i="4"/>
  <c r="I12" i="4"/>
  <c r="E12" i="4"/>
  <c r="P11" i="4"/>
  <c r="E11" i="4"/>
  <c r="P10" i="4"/>
  <c r="I10" i="4"/>
  <c r="E10" i="4"/>
  <c r="P9" i="4"/>
  <c r="H9" i="4"/>
  <c r="I11" i="4" s="1"/>
  <c r="E9" i="4"/>
  <c r="C9" i="4"/>
  <c r="P8" i="4"/>
  <c r="P7" i="4"/>
  <c r="K7" i="4"/>
  <c r="K8" i="4" s="1"/>
  <c r="J7" i="4"/>
  <c r="J8" i="4" s="1"/>
  <c r="I7" i="4"/>
  <c r="G7" i="4"/>
  <c r="E7" i="4"/>
  <c r="B12" i="4" s="1"/>
  <c r="P6" i="4"/>
  <c r="K6" i="4"/>
  <c r="J6" i="4"/>
  <c r="I6" i="4"/>
  <c r="G6" i="4"/>
  <c r="E6" i="4"/>
  <c r="P5" i="4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28" i="3"/>
  <c r="C24" i="3" s="1"/>
  <c r="X25" i="3"/>
  <c r="E25" i="3"/>
  <c r="X24" i="3"/>
  <c r="E24" i="3"/>
  <c r="X23" i="3"/>
  <c r="E23" i="3"/>
  <c r="X22" i="3"/>
  <c r="E22" i="3"/>
  <c r="X21" i="3"/>
  <c r="E21" i="3"/>
  <c r="X19" i="3"/>
  <c r="E19" i="3"/>
  <c r="X20" i="3"/>
  <c r="E20" i="3"/>
  <c r="X18" i="3"/>
  <c r="E18" i="3"/>
  <c r="X17" i="3"/>
  <c r="E17" i="3"/>
  <c r="X16" i="3"/>
  <c r="E16" i="3"/>
  <c r="X15" i="3"/>
  <c r="E15" i="3"/>
  <c r="X14" i="3"/>
  <c r="E14" i="3"/>
  <c r="X13" i="3"/>
  <c r="E13" i="3"/>
  <c r="X12" i="3"/>
  <c r="E12" i="3"/>
  <c r="X11" i="3"/>
  <c r="E11" i="3"/>
  <c r="X10" i="3"/>
  <c r="E10" i="3"/>
  <c r="AG6" i="3"/>
  <c r="AG9" i="3" s="1"/>
  <c r="Y6" i="3"/>
  <c r="Y9" i="3" s="1"/>
  <c r="X6" i="3"/>
  <c r="X9" i="3" s="1"/>
  <c r="W6" i="3"/>
  <c r="W9" i="3" s="1"/>
  <c r="V6" i="3"/>
  <c r="V9" i="3" s="1"/>
  <c r="F6" i="3"/>
  <c r="F9" i="3" s="1"/>
  <c r="U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E22" i="2"/>
  <c r="B22" i="2"/>
  <c r="W31" i="2" s="1"/>
  <c r="C21" i="2"/>
  <c r="G20" i="2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E19" i="2"/>
  <c r="B18" i="2"/>
  <c r="W27" i="2" s="1"/>
  <c r="G17" i="2"/>
  <c r="H17" i="2" s="1"/>
  <c r="I17" i="2" s="1"/>
  <c r="J17" i="2" s="1"/>
  <c r="K17" i="2" s="1"/>
  <c r="L17" i="2" s="1"/>
  <c r="M17" i="2" s="1"/>
  <c r="N17" i="2" s="1"/>
  <c r="O17" i="2" s="1"/>
  <c r="P17" i="2" s="1"/>
  <c r="B17" i="2"/>
  <c r="W26" i="2" s="1"/>
  <c r="C16" i="2"/>
  <c r="G15" i="2"/>
  <c r="H15" i="2" s="1"/>
  <c r="B15" i="2"/>
  <c r="W24" i="2" s="1"/>
  <c r="F14" i="2"/>
  <c r="G14" i="2" s="1"/>
  <c r="H14" i="2" s="1"/>
  <c r="B14" i="2"/>
  <c r="W23" i="2" s="1"/>
  <c r="F13" i="2"/>
  <c r="E13" i="2"/>
  <c r="D13" i="2"/>
  <c r="C12" i="2"/>
  <c r="AA29" i="2" s="1"/>
  <c r="C11" i="2"/>
  <c r="AA28" i="2" s="1"/>
  <c r="C10" i="2"/>
  <c r="AA32" i="2" s="1"/>
  <c r="C9" i="2"/>
  <c r="C8" i="2"/>
  <c r="G7" i="2"/>
  <c r="H7" i="2" s="1"/>
  <c r="I7" i="2" s="1"/>
  <c r="C6" i="2"/>
  <c r="AA30" i="2" s="1"/>
  <c r="D5" i="2"/>
  <c r="X23" i="1"/>
  <c r="V23" i="1"/>
  <c r="Y23" i="1" s="1"/>
  <c r="AY22" i="1"/>
  <c r="AH22" i="1"/>
  <c r="AG22" i="1"/>
  <c r="Y22" i="1"/>
  <c r="W22" i="1"/>
  <c r="U22" i="1"/>
  <c r="T22" i="1"/>
  <c r="Q22" i="1"/>
  <c r="O22" i="1"/>
  <c r="N22" i="1"/>
  <c r="M22" i="1"/>
  <c r="Z22" i="1" s="1"/>
  <c r="J22" i="1"/>
  <c r="AY21" i="1"/>
  <c r="AH21" i="1"/>
  <c r="AG21" i="1"/>
  <c r="Y21" i="1"/>
  <c r="W21" i="1"/>
  <c r="U21" i="1"/>
  <c r="T21" i="1"/>
  <c r="Q21" i="1"/>
  <c r="O21" i="1"/>
  <c r="N21" i="1"/>
  <c r="M21" i="1"/>
  <c r="AF21" i="1" s="1"/>
  <c r="J21" i="1"/>
  <c r="AY20" i="1"/>
  <c r="AH20" i="1"/>
  <c r="AG20" i="1"/>
  <c r="AE20" i="1"/>
  <c r="AC20" i="1"/>
  <c r="Y20" i="1"/>
  <c r="W20" i="1"/>
  <c r="U20" i="1"/>
  <c r="T20" i="1"/>
  <c r="Q20" i="1"/>
  <c r="O20" i="1"/>
  <c r="N20" i="1"/>
  <c r="M20" i="1"/>
  <c r="AB20" i="1" s="1"/>
  <c r="J20" i="1"/>
  <c r="AY19" i="1"/>
  <c r="AH19" i="1"/>
  <c r="AG19" i="1"/>
  <c r="Y19" i="1"/>
  <c r="W19" i="1"/>
  <c r="U19" i="1"/>
  <c r="T19" i="1"/>
  <c r="Q19" i="1"/>
  <c r="O19" i="1"/>
  <c r="N19" i="1"/>
  <c r="M19" i="1"/>
  <c r="AB19" i="1" s="1"/>
  <c r="J19" i="1"/>
  <c r="AY18" i="1"/>
  <c r="AH18" i="1"/>
  <c r="AG18" i="1"/>
  <c r="AE18" i="1"/>
  <c r="AC18" i="1"/>
  <c r="Y18" i="1"/>
  <c r="W18" i="1"/>
  <c r="U18" i="1"/>
  <c r="T18" i="1"/>
  <c r="Q18" i="1"/>
  <c r="O18" i="1"/>
  <c r="N18" i="1"/>
  <c r="M18" i="1"/>
  <c r="AD18" i="1" s="1"/>
  <c r="J18" i="1"/>
  <c r="AY17" i="1"/>
  <c r="AH17" i="1"/>
  <c r="AG17" i="1"/>
  <c r="AD17" i="1"/>
  <c r="Y17" i="1"/>
  <c r="W17" i="1"/>
  <c r="U17" i="1"/>
  <c r="T17" i="1"/>
  <c r="Q17" i="1"/>
  <c r="O17" i="1"/>
  <c r="N17" i="1"/>
  <c r="M17" i="1"/>
  <c r="AA17" i="1" s="1"/>
  <c r="J17" i="1"/>
  <c r="AY16" i="1"/>
  <c r="AH16" i="1"/>
  <c r="AG16" i="1"/>
  <c r="AE16" i="1"/>
  <c r="AC16" i="1"/>
  <c r="Y16" i="1"/>
  <c r="W16" i="1"/>
  <c r="U16" i="1"/>
  <c r="T16" i="1"/>
  <c r="Q16" i="1"/>
  <c r="O16" i="1"/>
  <c r="N16" i="1"/>
  <c r="M16" i="1"/>
  <c r="AF16" i="1" s="1"/>
  <c r="J16" i="1"/>
  <c r="AY15" i="1"/>
  <c r="AH15" i="1"/>
  <c r="AG15" i="1"/>
  <c r="Y15" i="1"/>
  <c r="W15" i="1"/>
  <c r="U15" i="1"/>
  <c r="T15" i="1"/>
  <c r="Q15" i="1"/>
  <c r="O15" i="1"/>
  <c r="N15" i="1"/>
  <c r="M15" i="1"/>
  <c r="AC15" i="1" s="1"/>
  <c r="J15" i="1"/>
  <c r="AY14" i="1"/>
  <c r="AH14" i="1"/>
  <c r="AG14" i="1"/>
  <c r="Y14" i="1"/>
  <c r="W14" i="1"/>
  <c r="U14" i="1"/>
  <c r="T14" i="1"/>
  <c r="Q14" i="1"/>
  <c r="O14" i="1"/>
  <c r="N14" i="1"/>
  <c r="M14" i="1"/>
  <c r="Z14" i="1" s="1"/>
  <c r="J14" i="1"/>
  <c r="AY13" i="1"/>
  <c r="AH13" i="1"/>
  <c r="AG13" i="1"/>
  <c r="Y13" i="1"/>
  <c r="W13" i="1"/>
  <c r="U13" i="1"/>
  <c r="T13" i="1"/>
  <c r="Q13" i="1"/>
  <c r="O13" i="1"/>
  <c r="N13" i="1"/>
  <c r="M13" i="1"/>
  <c r="AF13" i="1" s="1"/>
  <c r="J13" i="1"/>
  <c r="AY12" i="1"/>
  <c r="AH12" i="1"/>
  <c r="AG12" i="1"/>
  <c r="AE12" i="1"/>
  <c r="AC12" i="1"/>
  <c r="Y12" i="1"/>
  <c r="W12" i="1"/>
  <c r="U12" i="1"/>
  <c r="T12" i="1"/>
  <c r="Q12" i="1"/>
  <c r="O12" i="1"/>
  <c r="N12" i="1"/>
  <c r="M12" i="1"/>
  <c r="AB12" i="1" s="1"/>
  <c r="J12" i="1"/>
  <c r="AY11" i="1"/>
  <c r="AH11" i="1"/>
  <c r="AG11" i="1"/>
  <c r="Y11" i="1"/>
  <c r="W11" i="1"/>
  <c r="U11" i="1"/>
  <c r="T11" i="1"/>
  <c r="Q11" i="1"/>
  <c r="O11" i="1"/>
  <c r="N11" i="1"/>
  <c r="M11" i="1"/>
  <c r="AB11" i="1" s="1"/>
  <c r="J11" i="1"/>
  <c r="AY10" i="1"/>
  <c r="AH10" i="1"/>
  <c r="AG10" i="1"/>
  <c r="Y10" i="1"/>
  <c r="W10" i="1"/>
  <c r="U10" i="1"/>
  <c r="T10" i="1"/>
  <c r="Q10" i="1"/>
  <c r="O10" i="1"/>
  <c r="N10" i="1"/>
  <c r="M10" i="1"/>
  <c r="AD10" i="1" s="1"/>
  <c r="J10" i="1"/>
  <c r="AY9" i="1"/>
  <c r="AH9" i="1"/>
  <c r="AG9" i="1"/>
  <c r="Y9" i="1"/>
  <c r="W9" i="1"/>
  <c r="U9" i="1"/>
  <c r="T9" i="1"/>
  <c r="Q9" i="1"/>
  <c r="O9" i="1"/>
  <c r="N9" i="1"/>
  <c r="M9" i="1"/>
  <c r="AD9" i="1" s="1"/>
  <c r="J9" i="1"/>
  <c r="AY8" i="1"/>
  <c r="AH8" i="1"/>
  <c r="AG8" i="1"/>
  <c r="AE8" i="1"/>
  <c r="AC8" i="1"/>
  <c r="Y8" i="1"/>
  <c r="W8" i="1"/>
  <c r="U8" i="1"/>
  <c r="T8" i="1"/>
  <c r="Q8" i="1"/>
  <c r="O8" i="1"/>
  <c r="N8" i="1"/>
  <c r="M8" i="1"/>
  <c r="AF8" i="1" s="1"/>
  <c r="J8" i="1"/>
  <c r="AY7" i="1"/>
  <c r="AH7" i="1"/>
  <c r="AG7" i="1"/>
  <c r="AD7" i="1"/>
  <c r="Y7" i="1"/>
  <c r="W7" i="1"/>
  <c r="U7" i="1"/>
  <c r="T7" i="1"/>
  <c r="Q7" i="1"/>
  <c r="O7" i="1"/>
  <c r="N7" i="1"/>
  <c r="M7" i="1"/>
  <c r="AC7" i="1" s="1"/>
  <c r="J7" i="1"/>
  <c r="AY5" i="1"/>
  <c r="AH5" i="1"/>
  <c r="AG5" i="1"/>
  <c r="Y5" i="1"/>
  <c r="W5" i="1"/>
  <c r="U5" i="1"/>
  <c r="T5" i="1"/>
  <c r="Q5" i="1"/>
  <c r="O5" i="1"/>
  <c r="N5" i="1"/>
  <c r="M5" i="1"/>
  <c r="Z5" i="1" s="1"/>
  <c r="J5" i="1"/>
  <c r="AY6" i="1"/>
  <c r="AH6" i="1"/>
  <c r="AG6" i="1"/>
  <c r="Y6" i="1"/>
  <c r="W6" i="1"/>
  <c r="U6" i="1"/>
  <c r="T6" i="1"/>
  <c r="T2" i="1" s="1"/>
  <c r="Q6" i="1"/>
  <c r="O6" i="1"/>
  <c r="N6" i="1"/>
  <c r="M6" i="1"/>
  <c r="AD6" i="1" s="1"/>
  <c r="J6" i="1"/>
  <c r="AY4" i="1"/>
  <c r="AH4" i="1"/>
  <c r="AG4" i="1"/>
  <c r="AE4" i="1"/>
  <c r="AC4" i="1"/>
  <c r="Y4" i="1"/>
  <c r="W4" i="1"/>
  <c r="U4" i="1"/>
  <c r="T4" i="1"/>
  <c r="Q4" i="1"/>
  <c r="O4" i="1"/>
  <c r="N4" i="1"/>
  <c r="M4" i="1"/>
  <c r="AB4" i="1" s="1"/>
  <c r="J4" i="1"/>
  <c r="X2" i="1"/>
  <c r="V2" i="1"/>
  <c r="S2" i="1"/>
  <c r="P2" i="1"/>
  <c r="L2" i="1"/>
  <c r="D1" i="1"/>
  <c r="F15" i="1" l="1"/>
  <c r="C15" i="1" s="1"/>
  <c r="F22" i="1"/>
  <c r="C22" i="1" s="1"/>
  <c r="AD32" i="2"/>
  <c r="AA18" i="2"/>
  <c r="AA19" i="2" s="1"/>
  <c r="AA7" i="2"/>
  <c r="AD24" i="2"/>
  <c r="AC10" i="1"/>
  <c r="G13" i="2"/>
  <c r="U2" i="1"/>
  <c r="Z9" i="1"/>
  <c r="AA5" i="1"/>
  <c r="AF7" i="1"/>
  <c r="AA8" i="1"/>
  <c r="AA12" i="1"/>
  <c r="AB17" i="1"/>
  <c r="AB7" i="1"/>
  <c r="AA16" i="1"/>
  <c r="AA20" i="1"/>
  <c r="AB15" i="1"/>
  <c r="AA14" i="1"/>
  <c r="AE5" i="1"/>
  <c r="AA10" i="1"/>
  <c r="AC14" i="1"/>
  <c r="AF15" i="1"/>
  <c r="AC5" i="1"/>
  <c r="Z11" i="1"/>
  <c r="AD15" i="1"/>
  <c r="AE14" i="1"/>
  <c r="AA22" i="1"/>
  <c r="AA4" i="1"/>
  <c r="AE10" i="1"/>
  <c r="AA18" i="1"/>
  <c r="AC22" i="1"/>
  <c r="W23" i="1"/>
  <c r="F8" i="1"/>
  <c r="C8" i="1" s="1"/>
  <c r="C12" i="3"/>
  <c r="C16" i="3"/>
  <c r="C14" i="3"/>
  <c r="C17" i="3"/>
  <c r="C19" i="3"/>
  <c r="C23" i="3"/>
  <c r="C10" i="3"/>
  <c r="C18" i="3"/>
  <c r="C13" i="3"/>
  <c r="C21" i="3"/>
  <c r="F6" i="1"/>
  <c r="C6" i="1" s="1"/>
  <c r="C11" i="3"/>
  <c r="C20" i="3"/>
  <c r="C25" i="3"/>
  <c r="C15" i="3"/>
  <c r="A29" i="3"/>
  <c r="Q17" i="2"/>
  <c r="R17" i="2" s="1"/>
  <c r="S17" i="2" s="1"/>
  <c r="T17" i="2" s="1"/>
  <c r="U17" i="2" s="1"/>
  <c r="AB9" i="1"/>
  <c r="AE6" i="1"/>
  <c r="AC6" i="1"/>
  <c r="AB6" i="1"/>
  <c r="AA6" i="1"/>
  <c r="Z6" i="1"/>
  <c r="AF11" i="1"/>
  <c r="AE21" i="1"/>
  <c r="AD21" i="1"/>
  <c r="AC21" i="1"/>
  <c r="AB21" i="1"/>
  <c r="AA21" i="1"/>
  <c r="Z21" i="1"/>
  <c r="I15" i="2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AE13" i="1"/>
  <c r="AC13" i="1"/>
  <c r="AB13" i="1"/>
  <c r="AA13" i="1"/>
  <c r="AD13" i="1"/>
  <c r="AF6" i="1"/>
  <c r="AA9" i="1"/>
  <c r="AF9" i="1"/>
  <c r="AE9" i="1"/>
  <c r="AC9" i="1"/>
  <c r="AE11" i="1"/>
  <c r="AD11" i="1"/>
  <c r="AC11" i="1"/>
  <c r="AA11" i="1"/>
  <c r="Z13" i="1"/>
  <c r="C20" i="2"/>
  <c r="AF19" i="1"/>
  <c r="AE19" i="1"/>
  <c r="AD19" i="1"/>
  <c r="AC19" i="1"/>
  <c r="AA19" i="1"/>
  <c r="Z19" i="1"/>
  <c r="F16" i="1"/>
  <c r="C16" i="1" s="1"/>
  <c r="F19" i="1"/>
  <c r="C19" i="1" s="1"/>
  <c r="F14" i="1"/>
  <c r="C14" i="1" s="1"/>
  <c r="F5" i="1"/>
  <c r="C5" i="1" s="1"/>
  <c r="F17" i="1"/>
  <c r="C17" i="1" s="1"/>
  <c r="F9" i="1"/>
  <c r="C9" i="1" s="1"/>
  <c r="F20" i="1"/>
  <c r="C20" i="1" s="1"/>
  <c r="F12" i="1"/>
  <c r="C12" i="1" s="1"/>
  <c r="F4" i="1"/>
  <c r="C4" i="1" s="1"/>
  <c r="F18" i="1"/>
  <c r="C18" i="1" s="1"/>
  <c r="F10" i="1"/>
  <c r="C10" i="1" s="1"/>
  <c r="F11" i="1"/>
  <c r="C11" i="1" s="1"/>
  <c r="F13" i="1"/>
  <c r="C13" i="1" s="1"/>
  <c r="D23" i="2"/>
  <c r="D24" i="2" s="1"/>
  <c r="E5" i="2" s="1"/>
  <c r="E18" i="2"/>
  <c r="F7" i="1"/>
  <c r="C7" i="1" s="1"/>
  <c r="F21" i="1"/>
  <c r="C21" i="1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B13" i="4"/>
  <c r="B10" i="4" s="1"/>
  <c r="AD4" i="1"/>
  <c r="AB5" i="1"/>
  <c r="AE7" i="1"/>
  <c r="Z8" i="1"/>
  <c r="AF10" i="1"/>
  <c r="AD12" i="1"/>
  <c r="AB14" i="1"/>
  <c r="AE15" i="1"/>
  <c r="Z16" i="1"/>
  <c r="AC17" i="1"/>
  <c r="AF18" i="1"/>
  <c r="AD20" i="1"/>
  <c r="AB22" i="1"/>
  <c r="AF4" i="1"/>
  <c r="AD5" i="1"/>
  <c r="AB8" i="1"/>
  <c r="Z10" i="1"/>
  <c r="AF12" i="1"/>
  <c r="AD14" i="1"/>
  <c r="AB16" i="1"/>
  <c r="AE17" i="1"/>
  <c r="Z18" i="1"/>
  <c r="AF20" i="1"/>
  <c r="AD22" i="1"/>
  <c r="H13" i="2"/>
  <c r="Z15" i="1"/>
  <c r="AF17" i="1"/>
  <c r="AE22" i="1"/>
  <c r="I13" i="2"/>
  <c r="Z7" i="1"/>
  <c r="Z4" i="1"/>
  <c r="AF5" i="1"/>
  <c r="AA7" i="1"/>
  <c r="AD8" i="1"/>
  <c r="AB10" i="1"/>
  <c r="Z12" i="1"/>
  <c r="AF14" i="1"/>
  <c r="AA15" i="1"/>
  <c r="AD16" i="1"/>
  <c r="AB18" i="1"/>
  <c r="Z20" i="1"/>
  <c r="AF22" i="1"/>
  <c r="B30" i="4"/>
  <c r="C30" i="4" s="1"/>
  <c r="Z17" i="1"/>
  <c r="J7" i="2"/>
  <c r="I14" i="2"/>
  <c r="F19" i="2"/>
  <c r="C20" i="4"/>
  <c r="C24" i="4" s="1"/>
  <c r="C18" i="4"/>
  <c r="C21" i="4"/>
  <c r="C25" i="4" s="1"/>
  <c r="B22" i="4"/>
  <c r="B26" i="4" s="1"/>
  <c r="B31" i="4" s="1"/>
  <c r="B32" i="4" s="1"/>
  <c r="C22" i="3"/>
  <c r="C10" i="4"/>
  <c r="C11" i="4"/>
  <c r="I13" i="4"/>
  <c r="AA17" i="2" l="1"/>
  <c r="AA8" i="2"/>
  <c r="AA6" i="2" s="1"/>
  <c r="AD25" i="2"/>
  <c r="AD23" i="2" s="1"/>
  <c r="C22" i="2"/>
  <c r="C17" i="2"/>
  <c r="B33" i="4"/>
  <c r="D30" i="4"/>
  <c r="E30" i="4" s="1"/>
  <c r="C31" i="4"/>
  <c r="C32" i="4" s="1"/>
  <c r="D18" i="4"/>
  <c r="D21" i="4"/>
  <c r="D25" i="4" s="1"/>
  <c r="D29" i="4" s="1"/>
  <c r="D20" i="4"/>
  <c r="D24" i="4" s="1"/>
  <c r="D28" i="4" s="1"/>
  <c r="D19" i="4"/>
  <c r="D23" i="4" s="1"/>
  <c r="D27" i="4" s="1"/>
  <c r="G19" i="2"/>
  <c r="J14" i="2"/>
  <c r="E23" i="2"/>
  <c r="E24" i="2" s="1"/>
  <c r="F5" i="2" s="1"/>
  <c r="F18" i="2"/>
  <c r="J13" i="2"/>
  <c r="K7" i="2"/>
  <c r="C15" i="2"/>
  <c r="AD29" i="2" s="1"/>
  <c r="C22" i="4"/>
  <c r="C17" i="4"/>
  <c r="AD30" i="2" l="1"/>
  <c r="AD33" i="2"/>
  <c r="C33" i="4"/>
  <c r="D17" i="4"/>
  <c r="D22" i="4"/>
  <c r="D26" i="4" s="1"/>
  <c r="D31" i="4" s="1"/>
  <c r="D32" i="4" s="1"/>
  <c r="H19" i="2"/>
  <c r="E31" i="4"/>
  <c r="F30" i="4"/>
  <c r="G30" i="4" s="1"/>
  <c r="G18" i="2"/>
  <c r="F23" i="2"/>
  <c r="F24" i="2" s="1"/>
  <c r="G5" i="2" s="1"/>
  <c r="K13" i="2"/>
  <c r="L7" i="2"/>
  <c r="K14" i="2"/>
  <c r="E18" i="4"/>
  <c r="E21" i="4"/>
  <c r="E25" i="4" s="1"/>
  <c r="E19" i="4"/>
  <c r="E23" i="4" s="1"/>
  <c r="E20" i="4"/>
  <c r="E24" i="4" s="1"/>
  <c r="D33" i="4" l="1"/>
  <c r="E32" i="4"/>
  <c r="H18" i="2"/>
  <c r="G23" i="2"/>
  <c r="G24" i="2" s="1"/>
  <c r="H5" i="2" s="1"/>
  <c r="G31" i="4"/>
  <c r="H30" i="4"/>
  <c r="I30" i="4" s="1"/>
  <c r="F21" i="4"/>
  <c r="F25" i="4" s="1"/>
  <c r="F29" i="4" s="1"/>
  <c r="F19" i="4"/>
  <c r="F23" i="4" s="1"/>
  <c r="F27" i="4" s="1"/>
  <c r="F18" i="4"/>
  <c r="F20" i="4"/>
  <c r="F24" i="4" s="1"/>
  <c r="F28" i="4" s="1"/>
  <c r="L13" i="2"/>
  <c r="M7" i="2"/>
  <c r="E22" i="4"/>
  <c r="E17" i="4"/>
  <c r="L14" i="2"/>
  <c r="I19" i="2"/>
  <c r="I18" i="2" l="1"/>
  <c r="H23" i="2"/>
  <c r="H24" i="2" s="1"/>
  <c r="I5" i="2" s="1"/>
  <c r="E33" i="4"/>
  <c r="M14" i="2"/>
  <c r="F22" i="4"/>
  <c r="F26" i="4" s="1"/>
  <c r="F31" i="4" s="1"/>
  <c r="F32" i="4" s="1"/>
  <c r="F17" i="4"/>
  <c r="G19" i="4"/>
  <c r="G23" i="4" s="1"/>
  <c r="G18" i="4"/>
  <c r="G21" i="4"/>
  <c r="G25" i="4" s="1"/>
  <c r="G20" i="4"/>
  <c r="G24" i="4" s="1"/>
  <c r="J19" i="2"/>
  <c r="N7" i="2"/>
  <c r="M13" i="2"/>
  <c r="J30" i="4"/>
  <c r="K30" i="4" s="1"/>
  <c r="I31" i="4"/>
  <c r="F33" i="4" l="1"/>
  <c r="G32" i="4"/>
  <c r="G22" i="4"/>
  <c r="G17" i="4"/>
  <c r="O7" i="2"/>
  <c r="N13" i="2"/>
  <c r="K19" i="2"/>
  <c r="L30" i="4"/>
  <c r="M30" i="4" s="1"/>
  <c r="K31" i="4"/>
  <c r="H19" i="4"/>
  <c r="H23" i="4" s="1"/>
  <c r="H27" i="4" s="1"/>
  <c r="H20" i="4"/>
  <c r="H24" i="4" s="1"/>
  <c r="H28" i="4" s="1"/>
  <c r="H21" i="4"/>
  <c r="H25" i="4" s="1"/>
  <c r="H29" i="4" s="1"/>
  <c r="H18" i="4"/>
  <c r="J18" i="2"/>
  <c r="I23" i="2"/>
  <c r="I24" i="2" s="1"/>
  <c r="J5" i="2" s="1"/>
  <c r="N14" i="2"/>
  <c r="M31" i="4" l="1"/>
  <c r="N30" i="4"/>
  <c r="O30" i="4" s="1"/>
  <c r="K18" i="2"/>
  <c r="J23" i="2"/>
  <c r="J24" i="2" s="1"/>
  <c r="K5" i="2" s="1"/>
  <c r="H22" i="4"/>
  <c r="H26" i="4" s="1"/>
  <c r="H31" i="4" s="1"/>
  <c r="H17" i="4"/>
  <c r="L19" i="2"/>
  <c r="P7" i="2"/>
  <c r="O13" i="2"/>
  <c r="I20" i="4"/>
  <c r="I24" i="4" s="1"/>
  <c r="I19" i="4"/>
  <c r="I23" i="4" s="1"/>
  <c r="I21" i="4"/>
  <c r="I25" i="4" s="1"/>
  <c r="I18" i="4"/>
  <c r="H32" i="4"/>
  <c r="G33" i="4"/>
  <c r="O14" i="2"/>
  <c r="I32" i="4" l="1"/>
  <c r="H33" i="4"/>
  <c r="J20" i="4"/>
  <c r="J24" i="4" s="1"/>
  <c r="J28" i="4" s="1"/>
  <c r="J18" i="4"/>
  <c r="J19" i="4"/>
  <c r="J23" i="4" s="1"/>
  <c r="J27" i="4" s="1"/>
  <c r="J21" i="4"/>
  <c r="J25" i="4" s="1"/>
  <c r="J29" i="4" s="1"/>
  <c r="L18" i="2"/>
  <c r="K23" i="2"/>
  <c r="K24" i="2" s="1"/>
  <c r="L5" i="2" s="1"/>
  <c r="I22" i="4"/>
  <c r="I17" i="4"/>
  <c r="M19" i="2"/>
  <c r="O31" i="4"/>
  <c r="P30" i="4"/>
  <c r="Q30" i="4" s="1"/>
  <c r="Q7" i="2"/>
  <c r="P13" i="2"/>
  <c r="P14" i="2"/>
  <c r="Q14" i="2" l="1"/>
  <c r="J17" i="4"/>
  <c r="J22" i="4"/>
  <c r="J26" i="4" s="1"/>
  <c r="J31" i="4" s="1"/>
  <c r="J32" i="4" s="1"/>
  <c r="K20" i="4"/>
  <c r="K24" i="4" s="1"/>
  <c r="K18" i="4"/>
  <c r="K21" i="4"/>
  <c r="K25" i="4" s="1"/>
  <c r="K19" i="4"/>
  <c r="K23" i="4" s="1"/>
  <c r="R7" i="2"/>
  <c r="Q13" i="2"/>
  <c r="N19" i="2"/>
  <c r="R30" i="4"/>
  <c r="S30" i="4" s="1"/>
  <c r="Q31" i="4"/>
  <c r="M18" i="2"/>
  <c r="L23" i="2"/>
  <c r="L24" i="2" s="1"/>
  <c r="M5" i="2" s="1"/>
  <c r="I33" i="4"/>
  <c r="K32" i="4" l="1"/>
  <c r="J33" i="4"/>
  <c r="K22" i="4"/>
  <c r="K17" i="4"/>
  <c r="R13" i="2"/>
  <c r="S7" i="2"/>
  <c r="O19" i="2"/>
  <c r="R14" i="2"/>
  <c r="N18" i="2"/>
  <c r="M23" i="2"/>
  <c r="M24" i="2" s="1"/>
  <c r="N5" i="2" s="1"/>
  <c r="L18" i="4"/>
  <c r="L21" i="4"/>
  <c r="L25" i="4" s="1"/>
  <c r="L29" i="4" s="1"/>
  <c r="L20" i="4"/>
  <c r="L24" i="4" s="1"/>
  <c r="L28" i="4" s="1"/>
  <c r="L19" i="4"/>
  <c r="L23" i="4" s="1"/>
  <c r="L27" i="4" s="1"/>
  <c r="T30" i="4"/>
  <c r="U30" i="4" s="1"/>
  <c r="S31" i="4"/>
  <c r="S13" i="2" l="1"/>
  <c r="T7" i="2"/>
  <c r="O18" i="2"/>
  <c r="N23" i="2"/>
  <c r="N24" i="2" s="1"/>
  <c r="O5" i="2" s="1"/>
  <c r="S14" i="2"/>
  <c r="M18" i="4"/>
  <c r="M21" i="4"/>
  <c r="M25" i="4" s="1"/>
  <c r="M19" i="4"/>
  <c r="M23" i="4" s="1"/>
  <c r="M20" i="4"/>
  <c r="M24" i="4" s="1"/>
  <c r="L17" i="4"/>
  <c r="L22" i="4"/>
  <c r="L26" i="4" s="1"/>
  <c r="L31" i="4" s="1"/>
  <c r="L32" i="4" s="1"/>
  <c r="P19" i="2"/>
  <c r="U31" i="4"/>
  <c r="V30" i="4"/>
  <c r="W30" i="4" s="1"/>
  <c r="K33" i="4"/>
  <c r="L33" i="4" l="1"/>
  <c r="M32" i="4"/>
  <c r="P18" i="2"/>
  <c r="O23" i="2"/>
  <c r="O24" i="2" s="1"/>
  <c r="P5" i="2" s="1"/>
  <c r="W31" i="4"/>
  <c r="X30" i="4"/>
  <c r="Y30" i="4" s="1"/>
  <c r="Q19" i="2"/>
  <c r="M22" i="4"/>
  <c r="M17" i="4"/>
  <c r="T13" i="2"/>
  <c r="U7" i="2"/>
  <c r="T14" i="2"/>
  <c r="N21" i="4"/>
  <c r="N25" i="4" s="1"/>
  <c r="N29" i="4" s="1"/>
  <c r="N19" i="4"/>
  <c r="N23" i="4" s="1"/>
  <c r="N27" i="4" s="1"/>
  <c r="N18" i="4"/>
  <c r="N20" i="4"/>
  <c r="N24" i="4" s="1"/>
  <c r="N28" i="4" s="1"/>
  <c r="Z30" i="4" l="1"/>
  <c r="AA30" i="4" s="1"/>
  <c r="Y31" i="4"/>
  <c r="Q18" i="2"/>
  <c r="P23" i="2"/>
  <c r="P24" i="2" s="1"/>
  <c r="Q5" i="2" s="1"/>
  <c r="U14" i="2"/>
  <c r="M33" i="4"/>
  <c r="U13" i="2"/>
  <c r="C13" i="2" s="1"/>
  <c r="C7" i="2"/>
  <c r="AA31" i="2" s="1"/>
  <c r="N22" i="4"/>
  <c r="N26" i="4" s="1"/>
  <c r="N31" i="4" s="1"/>
  <c r="N32" i="4" s="1"/>
  <c r="N17" i="4"/>
  <c r="O19" i="4"/>
  <c r="O23" i="4" s="1"/>
  <c r="O18" i="4"/>
  <c r="O21" i="4"/>
  <c r="O25" i="4" s="1"/>
  <c r="O20" i="4"/>
  <c r="O24" i="4" s="1"/>
  <c r="R19" i="2"/>
  <c r="AA27" i="2" l="1"/>
  <c r="N33" i="4"/>
  <c r="O32" i="4"/>
  <c r="R18" i="2"/>
  <c r="Q23" i="2"/>
  <c r="Q24" i="2" s="1"/>
  <c r="R5" i="2" s="1"/>
  <c r="X7" i="2"/>
  <c r="P19" i="4"/>
  <c r="P23" i="4" s="1"/>
  <c r="P27" i="4" s="1"/>
  <c r="P20" i="4"/>
  <c r="P24" i="4" s="1"/>
  <c r="P28" i="4" s="1"/>
  <c r="P21" i="4"/>
  <c r="P25" i="4" s="1"/>
  <c r="P29" i="4" s="1"/>
  <c r="P18" i="4"/>
  <c r="C14" i="2"/>
  <c r="AD28" i="2" s="1"/>
  <c r="S19" i="2"/>
  <c r="T19" i="2" s="1"/>
  <c r="U19" i="2" s="1"/>
  <c r="X12" i="2"/>
  <c r="X8" i="2"/>
  <c r="W14" i="2"/>
  <c r="X6" i="2"/>
  <c r="X9" i="2"/>
  <c r="X10" i="2"/>
  <c r="X11" i="2"/>
  <c r="AB30" i="4"/>
  <c r="AC30" i="4" s="1"/>
  <c r="AA31" i="4"/>
  <c r="O22" i="4"/>
  <c r="O17" i="4"/>
  <c r="AA34" i="2" l="1"/>
  <c r="AB27" i="2" s="1"/>
  <c r="X13" i="2"/>
  <c r="S18" i="2"/>
  <c r="R23" i="2"/>
  <c r="R24" i="2" s="1"/>
  <c r="S5" i="2" s="1"/>
  <c r="O33" i="4"/>
  <c r="Q20" i="4"/>
  <c r="Q24" i="4" s="1"/>
  <c r="Q19" i="4"/>
  <c r="Q23" i="4" s="1"/>
  <c r="Q18" i="4"/>
  <c r="Q21" i="4"/>
  <c r="Q25" i="4" s="1"/>
  <c r="AC31" i="4"/>
  <c r="AD30" i="4"/>
  <c r="C19" i="2"/>
  <c r="P22" i="4"/>
  <c r="P26" i="4" s="1"/>
  <c r="P31" i="4" s="1"/>
  <c r="P32" i="4" s="1"/>
  <c r="P17" i="4"/>
  <c r="AD20" i="2" l="1"/>
  <c r="AD19" i="2"/>
  <c r="AB11" i="2"/>
  <c r="AB34" i="2"/>
  <c r="AB12" i="2"/>
  <c r="AB14" i="2"/>
  <c r="AB29" i="2"/>
  <c r="AB30" i="2"/>
  <c r="AB21" i="2"/>
  <c r="AB7" i="2"/>
  <c r="AB9" i="2"/>
  <c r="AB18" i="2"/>
  <c r="AB28" i="2"/>
  <c r="AB17" i="2"/>
  <c r="AB19" i="2"/>
  <c r="AB15" i="2"/>
  <c r="AB6" i="2"/>
  <c r="AB8" i="2"/>
  <c r="AB32" i="2"/>
  <c r="AB13" i="2"/>
  <c r="AB31" i="2"/>
  <c r="R20" i="4"/>
  <c r="R24" i="4" s="1"/>
  <c r="R28" i="4" s="1"/>
  <c r="R18" i="4"/>
  <c r="R19" i="4"/>
  <c r="R23" i="4" s="1"/>
  <c r="R27" i="4" s="1"/>
  <c r="R21" i="4"/>
  <c r="R25" i="4" s="1"/>
  <c r="R29" i="4" s="1"/>
  <c r="Q22" i="4"/>
  <c r="Q17" i="4"/>
  <c r="T18" i="2"/>
  <c r="S23" i="2"/>
  <c r="S24" i="2" s="1"/>
  <c r="T5" i="2" s="1"/>
  <c r="Q32" i="4"/>
  <c r="P33" i="4"/>
  <c r="Q33" i="4" l="1"/>
  <c r="R17" i="4"/>
  <c r="R22" i="4"/>
  <c r="R26" i="4" s="1"/>
  <c r="R31" i="4" s="1"/>
  <c r="R32" i="4" s="1"/>
  <c r="S20" i="4"/>
  <c r="S24" i="4" s="1"/>
  <c r="S18" i="4"/>
  <c r="S21" i="4"/>
  <c r="S25" i="4" s="1"/>
  <c r="S19" i="4"/>
  <c r="S23" i="4" s="1"/>
  <c r="U18" i="2"/>
  <c r="T23" i="2"/>
  <c r="T24" i="2" s="1"/>
  <c r="U5" i="2" s="1"/>
  <c r="S32" i="4" l="1"/>
  <c r="R33" i="4"/>
  <c r="S22" i="4"/>
  <c r="S17" i="4"/>
  <c r="C18" i="2"/>
  <c r="U23" i="2"/>
  <c r="C23" i="2" s="1"/>
  <c r="T18" i="4"/>
  <c r="T21" i="4"/>
  <c r="T25" i="4" s="1"/>
  <c r="T29" i="4" s="1"/>
  <c r="T20" i="4"/>
  <c r="T24" i="4" s="1"/>
  <c r="T28" i="4" s="1"/>
  <c r="T19" i="4"/>
  <c r="T23" i="4" s="1"/>
  <c r="T27" i="4" s="1"/>
  <c r="X30" i="2" l="1"/>
  <c r="X29" i="2"/>
  <c r="X26" i="2"/>
  <c r="X31" i="2"/>
  <c r="X28" i="2"/>
  <c r="AD31" i="2"/>
  <c r="AD27" i="2" s="1"/>
  <c r="X27" i="2"/>
  <c r="W34" i="2"/>
  <c r="X25" i="2"/>
  <c r="X24" i="2"/>
  <c r="C24" i="2"/>
  <c r="X23" i="2"/>
  <c r="U18" i="4"/>
  <c r="U21" i="4"/>
  <c r="U25" i="4" s="1"/>
  <c r="U19" i="4"/>
  <c r="U23" i="4" s="1"/>
  <c r="U20" i="4"/>
  <c r="U24" i="4" s="1"/>
  <c r="U24" i="2"/>
  <c r="T17" i="4"/>
  <c r="T22" i="4"/>
  <c r="T26" i="4" s="1"/>
  <c r="T31" i="4" s="1"/>
  <c r="T32" i="4" s="1"/>
  <c r="S33" i="4"/>
  <c r="AD17" i="2" l="1"/>
  <c r="T33" i="4"/>
  <c r="U32" i="4"/>
  <c r="V21" i="4"/>
  <c r="V25" i="4" s="1"/>
  <c r="V29" i="4" s="1"/>
  <c r="V19" i="4"/>
  <c r="V23" i="4" s="1"/>
  <c r="V27" i="4" s="1"/>
  <c r="V18" i="4"/>
  <c r="V20" i="4"/>
  <c r="V24" i="4" s="1"/>
  <c r="V28" i="4" s="1"/>
  <c r="U17" i="4"/>
  <c r="U22" i="4"/>
  <c r="AD11" i="2" l="1"/>
  <c r="V22" i="4"/>
  <c r="V26" i="4" s="1"/>
  <c r="V31" i="4" s="1"/>
  <c r="V32" i="4" s="1"/>
  <c r="V17" i="4"/>
  <c r="W19" i="4"/>
  <c r="W23" i="4" s="1"/>
  <c r="W18" i="4"/>
  <c r="W21" i="4"/>
  <c r="W25" i="4" s="1"/>
  <c r="W20" i="4"/>
  <c r="W24" i="4" s="1"/>
  <c r="U33" i="4"/>
  <c r="AD34" i="2" l="1"/>
  <c r="W22" i="4"/>
  <c r="W17" i="4"/>
  <c r="X19" i="4"/>
  <c r="X23" i="4" s="1"/>
  <c r="X27" i="4" s="1"/>
  <c r="X20" i="4"/>
  <c r="X24" i="4" s="1"/>
  <c r="X28" i="4" s="1"/>
  <c r="X21" i="4"/>
  <c r="X25" i="4" s="1"/>
  <c r="X29" i="4" s="1"/>
  <c r="X18" i="4"/>
  <c r="V33" i="4"/>
  <c r="W32" i="4"/>
  <c r="AE13" i="2" l="1"/>
  <c r="AE9" i="2"/>
  <c r="AE7" i="2"/>
  <c r="AE14" i="2"/>
  <c r="AE21" i="2"/>
  <c r="AE12" i="2"/>
  <c r="AE8" i="2"/>
  <c r="AE16" i="2"/>
  <c r="AE34" i="2"/>
  <c r="AE15" i="2"/>
  <c r="AE32" i="2"/>
  <c r="AE6" i="2"/>
  <c r="AE24" i="2"/>
  <c r="AE30" i="2"/>
  <c r="AE23" i="2"/>
  <c r="AE33" i="2"/>
  <c r="AE29" i="2"/>
  <c r="AE25" i="2"/>
  <c r="AE28" i="2"/>
  <c r="AE20" i="2"/>
  <c r="AE19" i="2"/>
  <c r="AE31" i="2"/>
  <c r="AE27" i="2"/>
  <c r="AE17" i="2"/>
  <c r="AE11" i="2"/>
  <c r="Y20" i="4"/>
  <c r="Y24" i="4" s="1"/>
  <c r="Y19" i="4"/>
  <c r="Y23" i="4" s="1"/>
  <c r="Y18" i="4"/>
  <c r="Y21" i="4"/>
  <c r="Y25" i="4" s="1"/>
  <c r="X22" i="4"/>
  <c r="X26" i="4" s="1"/>
  <c r="X31" i="4" s="1"/>
  <c r="X32" i="4" s="1"/>
  <c r="X17" i="4"/>
  <c r="W33" i="4"/>
  <c r="Y32" i="4" l="1"/>
  <c r="X33" i="4"/>
  <c r="Z20" i="4"/>
  <c r="Z24" i="4" s="1"/>
  <c r="Z28" i="4" s="1"/>
  <c r="Z18" i="4"/>
  <c r="Z19" i="4"/>
  <c r="Z23" i="4" s="1"/>
  <c r="Z27" i="4" s="1"/>
  <c r="Z21" i="4"/>
  <c r="Z25" i="4" s="1"/>
  <c r="Z29" i="4" s="1"/>
  <c r="Y22" i="4"/>
  <c r="Y17" i="4"/>
  <c r="AA20" i="4" l="1"/>
  <c r="AA24" i="4" s="1"/>
  <c r="AA18" i="4"/>
  <c r="AA21" i="4"/>
  <c r="AA25" i="4" s="1"/>
  <c r="AA19" i="4"/>
  <c r="AA23" i="4" s="1"/>
  <c r="Z17" i="4"/>
  <c r="Z22" i="4"/>
  <c r="Z26" i="4" s="1"/>
  <c r="Z31" i="4" s="1"/>
  <c r="Z32" i="4" s="1"/>
  <c r="Y33" i="4"/>
  <c r="AA32" i="4" l="1"/>
  <c r="Z33" i="4"/>
  <c r="AB18" i="4"/>
  <c r="AB21" i="4"/>
  <c r="AB25" i="4" s="1"/>
  <c r="AB29" i="4" s="1"/>
  <c r="AB20" i="4"/>
  <c r="AB24" i="4" s="1"/>
  <c r="AB28" i="4" s="1"/>
  <c r="AB19" i="4"/>
  <c r="AB23" i="4" s="1"/>
  <c r="AB27" i="4" s="1"/>
  <c r="AA22" i="4"/>
  <c r="AA17" i="4"/>
  <c r="AC18" i="4" l="1"/>
  <c r="AC21" i="4"/>
  <c r="AC25" i="4" s="1"/>
  <c r="AC19" i="4"/>
  <c r="AC23" i="4" s="1"/>
  <c r="AC20" i="4"/>
  <c r="AC24" i="4" s="1"/>
  <c r="AB17" i="4"/>
  <c r="AB22" i="4"/>
  <c r="AB26" i="4" s="1"/>
  <c r="AB31" i="4" s="1"/>
  <c r="AB32" i="4" s="1"/>
  <c r="AA33" i="4"/>
  <c r="AB33" i="4" l="1"/>
  <c r="AC32" i="4"/>
  <c r="AD21" i="4"/>
  <c r="AD25" i="4" s="1"/>
  <c r="AD29" i="4" s="1"/>
  <c r="AD19" i="4"/>
  <c r="AD23" i="4" s="1"/>
  <c r="AD27" i="4" s="1"/>
  <c r="AD18" i="4"/>
  <c r="AD20" i="4"/>
  <c r="AD24" i="4" s="1"/>
  <c r="AD28" i="4" s="1"/>
  <c r="AC22" i="4"/>
  <c r="AC17" i="4"/>
  <c r="AD22" i="4" l="1"/>
  <c r="AD26" i="4" s="1"/>
  <c r="AD31" i="4" s="1"/>
  <c r="AD32" i="4" s="1"/>
  <c r="AD33" i="4" s="1"/>
  <c r="AD17" i="4"/>
  <c r="AC3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N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5F5FBB7C-9A44-4F51-8E00-26EF4501232A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10" authorId="1" shapeId="0" xr:uid="{853D8B00-B468-4B6D-91E1-791BF8806284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1" authorId="1" shapeId="0" xr:uid="{3A79AA26-FF11-401F-A346-6EC52C638541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C9" authorId="0" shapeId="0" xr:uid="{6F91CC65-F18A-40A6-A206-0FA3DD990697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AD11" authorId="0" shapeId="0" xr:uid="{A106EF7E-6757-4A90-A776-1CB029BFACA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AC17" authorId="0" shapeId="0" xr:uid="{258B61E8-6B36-45CC-9D2D-F9A5D0AF1FE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AA18" authorId="0" shapeId="0" xr:uid="{CC91D93F-ED88-41FF-B164-3122F93DEFEA}">
      <text>
        <r>
          <rPr>
            <b/>
            <sz val="8"/>
            <color indexed="81"/>
            <rFont val="Tahoma"/>
            <family val="2"/>
          </rPr>
          <t>Venta sin Comisiones</t>
        </r>
      </text>
    </comment>
    <comment ref="AD20" authorId="0" shapeId="0" xr:uid="{A4F3F748-56A3-4D77-8ECD-D1F5C22C012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<sst xmlns="http://schemas.openxmlformats.org/spreadsheetml/2006/main" count="495" uniqueCount="281">
  <si>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</si>
  <si>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</si>
  <si>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</si>
  <si>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</si>
  <si>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</si>
  <si>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</si>
  <si>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</si>
  <si>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</si>
  <si>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</si>
  <si>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</si>
  <si>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</si>
  <si>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</si>
  <si>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</si>
  <si>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</si>
  <si>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</si>
  <si>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</si>
  <si>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</si>
  <si>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</si>
  <si>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</si>
  <si>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</si>
  <si>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</si>
  <si>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</si>
  <si>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</si>
  <si>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</si>
  <si>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</si>
  <si>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</si>
  <si>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</si>
  <si>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</si>
  <si>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</si>
  <si>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</si>
  <si>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</si>
  <si>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</si>
  <si>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</si>
  <si>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</si>
  <si>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</si>
  <si>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</si>
  <si>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</si>
  <si>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</si>
  <si>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</si>
  <si>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</si>
  <si>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</si>
  <si>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</si>
  <si>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</si>
  <si>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</si>
  <si>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</si>
  <si>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</si>
  <si>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</si>
  <si>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</si>
  <si>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</si>
  <si>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</si>
  <si>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</si>
  <si>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</si>
  <si>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</si>
  <si>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</si>
  <si>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</si>
  <si>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</si>
  <si>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</si>
  <si>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</si>
  <si>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</si>
  <si>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</si>
  <si>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</si>
  <si>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</si>
  <si>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</si>
  <si>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#19</t>
  </si>
  <si>
    <t>L. Cortallo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</si>
  <si>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</si>
  <si>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</si>
  <si>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</si>
  <si>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</si>
  <si>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</si>
  <si>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</si>
  <si>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</si>
  <si>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</si>
  <si>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</si>
  <si>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</si>
  <si>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</si>
  <si>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</si>
  <si>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</si>
  <si>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</si>
  <si>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</si>
  <si>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</si>
  <si>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</si>
  <si>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</si>
  <si>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</si>
  <si>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</si>
  <si>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</si>
  <si>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</si>
  <si>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</si>
  <si>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</si>
  <si>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</si>
  <si>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</si>
  <si>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</si>
  <si>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</si>
  <si>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</si>
  <si>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</si>
  <si>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</si>
  <si>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</si>
  <si>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</si>
  <si>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</si>
  <si>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</si>
  <si>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</si>
  <si>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ECONOMIA HT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</si>
  <si>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</si>
  <si>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</si>
  <si>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</si>
  <si>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</si>
  <si>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</si>
  <si>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</si>
  <si>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</si>
  <si>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</si>
  <si>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</si>
  <si>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</si>
  <si>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</si>
  <si>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</si>
  <si>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</si>
  <si>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</si>
  <si>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</si>
  <si>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</si>
  <si>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</si>
  <si>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</si>
  <si>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</si>
  <si>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</si>
  <si>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</si>
  <si>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</si>
  <si>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</si>
  <si>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</si>
  <si>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</si>
  <si>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</si>
  <si>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</si>
  <si>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</si>
  <si>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</si>
  <si>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</si>
  <si>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</si>
  <si>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</si>
  <si>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</si>
  <si>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</si>
  <si>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</si>
  <si>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</si>
  <si>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</si>
  <si>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</si>
  <si>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</si>
  <si>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</si>
  <si>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</si>
  <si>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</si>
  <si>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</si>
  <si>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</si>
  <si>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</si>
  <si>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</si>
  <si>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</si>
  <si>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</si>
  <si>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</si>
  <si>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</si>
  <si>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</si>
  <si>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</si>
  <si>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</si>
  <si>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</si>
  <si>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</si>
  <si>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</si>
  <si>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</si>
  <si>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</si>
  <si>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</si>
  <si>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</si>
  <si>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</si>
  <si>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</si>
  <si>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</si>
  <si>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HTMS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</si>
  <si>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</si>
  <si>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</si>
  <si>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</si>
  <si>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</si>
  <si>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</si>
  <si>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</si>
  <si>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</si>
  <si>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</si>
  <si>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</si>
  <si>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</si>
  <si>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</si>
  <si>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</si>
  <si>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B. Tugores</t>
  </si>
  <si>
    <t>FC-3</t>
  </si>
  <si>
    <t>V. Garrell</t>
  </si>
  <si>
    <t>FC-4</t>
  </si>
  <si>
    <t>V. Fullana</t>
  </si>
  <si>
    <t>no</t>
  </si>
  <si>
    <t>V. Valldaura</t>
  </si>
  <si>
    <t>K. Pruneau</t>
  </si>
  <si>
    <t>FF+4</t>
  </si>
  <si>
    <t>X. Cornellà</t>
  </si>
  <si>
    <t>FF+3</t>
  </si>
  <si>
    <t>J-A. Lari</t>
  </si>
  <si>
    <t>FF</t>
  </si>
  <si>
    <t>R. Riart</t>
  </si>
  <si>
    <t>FF-3</t>
  </si>
  <si>
    <t>G. llatcha</t>
  </si>
  <si>
    <t>A. Valldeoriola</t>
  </si>
  <si>
    <t>débil</t>
  </si>
  <si>
    <t>M-B. Ortega</t>
  </si>
  <si>
    <t>P. Torres</t>
  </si>
  <si>
    <t>A. Capdevila</t>
  </si>
  <si>
    <t>J. Estela</t>
  </si>
  <si>
    <t>A. Majoral</t>
  </si>
  <si>
    <t>Actualización</t>
  </si>
  <si>
    <t>Capitan</t>
  </si>
  <si>
    <t>Aloy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</si>
  <si>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</si>
  <si>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</si>
  <si>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</si>
  <si>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</si>
  <si>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</si>
  <si>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</si>
  <si>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</si>
  <si>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</si>
  <si>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</si>
  <si>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</si>
  <si>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</si>
  <si>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</si>
  <si>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</si>
  <si>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</si>
  <si>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</si>
  <si>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</si>
  <si>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</si>
  <si>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</si>
  <si>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</si>
  <si>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</si>
  <si>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</si>
  <si>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</si>
  <si>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</si>
  <si>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</si>
  <si>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</si>
  <si>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</si>
  <si>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</si>
  <si>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</si>
  <si>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</si>
  <si>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</si>
  <si>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</si>
  <si>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</si>
  <si>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</si>
  <si>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</si>
  <si>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</si>
  <si>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</si>
  <si>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</si>
  <si>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</si>
  <si>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</si>
  <si>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</si>
  <si>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</si>
  <si>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</si>
  <si>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</si>
  <si>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</si>
  <si>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</si>
  <si>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</si>
  <si>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</si>
  <si>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</si>
  <si>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</si>
  <si>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</si>
  <si>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</si>
  <si>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</si>
  <si>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</si>
  <si>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</si>
  <si>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</si>
  <si>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</si>
  <si>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</si>
  <si>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</si>
  <si>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</si>
  <si>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</si>
  <si>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</si>
  <si>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</si>
  <si>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</si>
  <si>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</si>
  <si>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</si>
  <si>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</si>
  <si>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Caja Inicial</t>
  </si>
  <si>
    <t>Sueldos 1ºSem</t>
  </si>
  <si>
    <t>Pagos LP</t>
  </si>
  <si>
    <t>Ingresos</t>
  </si>
  <si>
    <t>Pagos CP</t>
  </si>
  <si>
    <t>Salarios</t>
  </si>
  <si>
    <t>BALANCE DE SITUACION T48</t>
  </si>
  <si>
    <t>ByP T47</t>
  </si>
  <si>
    <t>Fpromo</t>
  </si>
  <si>
    <t>U20</t>
  </si>
  <si>
    <t>Bep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</si>
</sst>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5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b/>
      <i/>
      <u/>
      <sz val="11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9" tint="0.79998168889431442"/>
        <bgColor rgb="FFFFEB9C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6" fontId="39" fillId="0" borderId="0" applyBorder="0" applyProtection="0"/>
    <xf numFmtId="172" fontId="39" fillId="0" borderId="0" applyBorder="0" applyProtection="0"/>
    <xf numFmtId="165" fontId="39" fillId="0" borderId="0" applyBorder="0" applyProtection="0"/>
    <xf numFmtId="0" fontId="39" fillId="0" borderId="0"/>
  </cellStyleXfs>
  <cellXfs count="332">
    <xf numFmtId="0" fontId="0" fillId="0" borderId="0" xfId="0"/>
    <xf numFmtId="0" fontId="2" fillId="0" borderId="0" xfId="4" applyFont="1"/>
    <xf numFmtId="164" fontId="3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0" xfId="4" applyFont="1" applyBorder="1" applyAlignment="1">
      <alignment horizontal="left"/>
    </xf>
    <xf numFmtId="0" fontId="4" fillId="0" borderId="0" xfId="4" applyFont="1" applyBorder="1" applyAlignment="1">
      <alignment horizontal="center"/>
    </xf>
    <xf numFmtId="0" fontId="5" fillId="0" borderId="0" xfId="4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4" applyFont="1" applyAlignment="1">
      <alignment horizontal="center"/>
    </xf>
    <xf numFmtId="0" fontId="6" fillId="0" borderId="0" xfId="4" applyFont="1" applyAlignment="1">
      <alignment horizontal="center"/>
    </xf>
    <xf numFmtId="164" fontId="2" fillId="0" borderId="0" xfId="4" applyNumberFormat="1" applyFont="1" applyBorder="1" applyAlignment="1"/>
    <xf numFmtId="164" fontId="2" fillId="0" borderId="0" xfId="4" applyNumberFormat="1" applyFont="1" applyBorder="1" applyAlignment="1">
      <alignment horizontal="center"/>
    </xf>
    <xf numFmtId="164" fontId="2" fillId="0" borderId="1" xfId="4" applyNumberFormat="1" applyFont="1" applyBorder="1" applyAlignment="1">
      <alignment horizontal="center"/>
    </xf>
    <xf numFmtId="165" fontId="2" fillId="0" borderId="1" xfId="3" applyFont="1" applyBorder="1" applyAlignment="1" applyProtection="1">
      <alignment horizontal="center"/>
    </xf>
    <xf numFmtId="167" fontId="2" fillId="0" borderId="1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1" fillId="0" borderId="1" xfId="0" applyFont="1" applyBorder="1"/>
    <xf numFmtId="0" fontId="0" fillId="0" borderId="1" xfId="0" applyFont="1" applyBorder="1"/>
    <xf numFmtId="164" fontId="12" fillId="0" borderId="1" xfId="0" applyNumberFormat="1" applyFont="1" applyBorder="1"/>
    <xf numFmtId="0" fontId="13" fillId="8" borderId="1" xfId="0" applyFont="1" applyFill="1" applyBorder="1" applyAlignment="1">
      <alignment horizontal="left" vertical="center"/>
    </xf>
    <xf numFmtId="1" fontId="13" fillId="8" borderId="1" xfId="0" applyNumberFormat="1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1" fontId="13" fillId="9" borderId="1" xfId="0" applyNumberFormat="1" applyFont="1" applyFill="1" applyBorder="1" applyAlignment="1">
      <alignment horizontal="center" vertical="center"/>
    </xf>
    <xf numFmtId="165" fontId="14" fillId="9" borderId="1" xfId="3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left" vertical="center"/>
    </xf>
    <xf numFmtId="2" fontId="14" fillId="9" borderId="1" xfId="0" applyNumberFormat="1" applyFont="1" applyFill="1" applyBorder="1" applyAlignment="1">
      <alignment horizontal="left" vertical="center"/>
    </xf>
    <xf numFmtId="1" fontId="14" fillId="10" borderId="1" xfId="0" applyNumberFormat="1" applyFont="1" applyFill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2" fontId="14" fillId="9" borderId="1" xfId="0" applyNumberFormat="1" applyFont="1" applyFill="1" applyBorder="1" applyAlignment="1">
      <alignment horizontal="center" vertical="center"/>
    </xf>
    <xf numFmtId="167" fontId="14" fillId="9" borderId="1" xfId="1" applyNumberFormat="1" applyFont="1" applyFill="1" applyBorder="1" applyAlignment="1" applyProtection="1">
      <alignment horizontal="right" vertical="center"/>
    </xf>
    <xf numFmtId="167" fontId="14" fillId="9" borderId="1" xfId="1" applyNumberFormat="1" applyFont="1" applyFill="1" applyBorder="1" applyAlignment="1" applyProtection="1">
      <alignment horizontal="left" vertical="center"/>
    </xf>
    <xf numFmtId="167" fontId="13" fillId="9" borderId="1" xfId="1" applyNumberFormat="1" applyFont="1" applyFill="1" applyBorder="1" applyAlignment="1" applyProtection="1">
      <alignment horizontal="right" vertical="center"/>
    </xf>
    <xf numFmtId="168" fontId="14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5" fillId="0" borderId="1" xfId="1" applyNumberFormat="1" applyFont="1" applyBorder="1" applyAlignment="1" applyProtection="1">
      <alignment horizontal="center"/>
    </xf>
    <xf numFmtId="2" fontId="14" fillId="8" borderId="1" xfId="0" applyNumberFormat="1" applyFont="1" applyFill="1" applyBorder="1" applyAlignment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4" fillId="9" borderId="1" xfId="1" applyNumberFormat="1" applyFont="1" applyFill="1" applyBorder="1" applyAlignment="1" applyProtection="1">
      <alignment horizontal="center" vertical="center"/>
    </xf>
    <xf numFmtId="168" fontId="14" fillId="9" borderId="1" xfId="3" applyNumberFormat="1" applyFont="1" applyFill="1" applyBorder="1" applyAlignment="1" applyProtection="1">
      <alignment horizontal="center" vertical="center"/>
    </xf>
    <xf numFmtId="14" fontId="14" fillId="9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left" vertical="center"/>
    </xf>
    <xf numFmtId="1" fontId="14" fillId="8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3" fillId="9" borderId="1" xfId="0" applyFont="1" applyFill="1" applyBorder="1" applyAlignment="1">
      <alignment horizontal="center" vertical="center"/>
    </xf>
    <xf numFmtId="0" fontId="11" fillId="0" borderId="1" xfId="4" applyFont="1" applyBorder="1"/>
    <xf numFmtId="0" fontId="0" fillId="0" borderId="1" xfId="4" applyFont="1" applyBorder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167" fontId="2" fillId="0" borderId="0" xfId="1" applyNumberFormat="1" applyFont="1" applyBorder="1" applyAlignment="1" applyProtection="1"/>
    <xf numFmtId="168" fontId="10" fillId="9" borderId="1" xfId="1" applyNumberFormat="1" applyFont="1" applyFill="1" applyBorder="1" applyAlignment="1" applyProtection="1">
      <alignment horizontal="right" vertical="center"/>
    </xf>
    <xf numFmtId="167" fontId="18" fillId="0" borderId="0" xfId="0" applyNumberFormat="1" applyFont="1" applyAlignment="1">
      <alignment horizontal="right"/>
    </xf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7" fillId="0" borderId="0" xfId="0" applyNumberFormat="1" applyFont="1"/>
    <xf numFmtId="167" fontId="7" fillId="0" borderId="0" xfId="0" applyNumberFormat="1" applyFont="1"/>
    <xf numFmtId="0" fontId="20" fillId="11" borderId="1" xfId="0" applyFont="1" applyFill="1" applyBorder="1"/>
    <xf numFmtId="0" fontId="2" fillId="0" borderId="0" xfId="0" applyFont="1" applyBorder="1"/>
    <xf numFmtId="0" fontId="21" fillId="0" borderId="0" xfId="0" applyFont="1"/>
    <xf numFmtId="0" fontId="22" fillId="0" borderId="0" xfId="0" applyFont="1"/>
    <xf numFmtId="0" fontId="22" fillId="0" borderId="0" xfId="0" applyFont="1" applyBorder="1"/>
    <xf numFmtId="14" fontId="22" fillId="0" borderId="0" xfId="0" applyNumberFormat="1" applyFont="1" applyAlignment="1">
      <alignment horizontal="center"/>
    </xf>
    <xf numFmtId="14" fontId="22" fillId="0" borderId="0" xfId="0" applyNumberFormat="1" applyFont="1"/>
    <xf numFmtId="0" fontId="2" fillId="0" borderId="0" xfId="0" applyFont="1" applyBorder="1" applyAlignment="1">
      <alignment horizontal="center"/>
    </xf>
    <xf numFmtId="0" fontId="2" fillId="12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" fontId="2" fillId="12" borderId="1" xfId="0" applyNumberFormat="1" applyFont="1" applyFill="1" applyBorder="1" applyAlignment="1">
      <alignment horizontal="center" wrapText="1"/>
    </xf>
    <xf numFmtId="0" fontId="23" fillId="13" borderId="4" xfId="0" applyFont="1" applyFill="1" applyBorder="1"/>
    <xf numFmtId="169" fontId="23" fillId="13" borderId="4" xfId="0" applyNumberFormat="1" applyFont="1" applyFill="1" applyBorder="1"/>
    <xf numFmtId="169" fontId="23" fillId="13" borderId="1" xfId="0" applyNumberFormat="1" applyFont="1" applyFill="1" applyBorder="1"/>
    <xf numFmtId="0" fontId="24" fillId="0" borderId="0" xfId="0" applyFont="1"/>
    <xf numFmtId="0" fontId="2" fillId="10" borderId="1" xfId="0" applyFont="1" applyFill="1" applyBorder="1" applyAlignment="1">
      <alignment wrapText="1"/>
    </xf>
    <xf numFmtId="169" fontId="2" fillId="14" borderId="1" xfId="0" applyNumberFormat="1" applyFont="1" applyFill="1" applyBorder="1"/>
    <xf numFmtId="170" fontId="2" fillId="14" borderId="1" xfId="3" applyNumberFormat="1" applyFont="1" applyFill="1" applyBorder="1" applyAlignment="1" applyProtection="1"/>
    <xf numFmtId="169" fontId="25" fillId="14" borderId="1" xfId="0" applyNumberFormat="1" applyFont="1" applyFill="1" applyBorder="1"/>
    <xf numFmtId="0" fontId="25" fillId="0" borderId="0" xfId="0" applyFont="1"/>
    <xf numFmtId="170" fontId="25" fillId="0" borderId="1" xfId="0" applyNumberFormat="1" applyFont="1" applyBorder="1"/>
    <xf numFmtId="0" fontId="2" fillId="15" borderId="1" xfId="0" applyFont="1" applyFill="1" applyBorder="1"/>
    <xf numFmtId="169" fontId="2" fillId="16" borderId="1" xfId="0" applyNumberFormat="1" applyFont="1" applyFill="1" applyBorder="1"/>
    <xf numFmtId="169" fontId="26" fillId="16" borderId="1" xfId="0" applyNumberFormat="1" applyFont="1" applyFill="1" applyBorder="1"/>
    <xf numFmtId="0" fontId="26" fillId="0" borderId="0" xfId="0" applyFont="1"/>
    <xf numFmtId="170" fontId="2" fillId="16" borderId="1" xfId="3" applyNumberFormat="1" applyFont="1" applyFill="1" applyBorder="1" applyAlignment="1" applyProtection="1"/>
    <xf numFmtId="0" fontId="23" fillId="13" borderId="1" xfId="0" applyFont="1" applyFill="1" applyBorder="1"/>
    <xf numFmtId="0" fontId="22" fillId="0" borderId="0" xfId="0" applyFont="1" applyAlignment="1">
      <alignment wrapText="1"/>
    </xf>
    <xf numFmtId="14" fontId="22" fillId="0" borderId="0" xfId="0" applyNumberFormat="1" applyFont="1" applyAlignment="1">
      <alignment wrapText="1"/>
    </xf>
    <xf numFmtId="171" fontId="2" fillId="0" borderId="0" xfId="0" applyNumberFormat="1" applyFont="1"/>
    <xf numFmtId="170" fontId="26" fillId="0" borderId="1" xfId="3" applyNumberFormat="1" applyFont="1" applyBorder="1" applyAlignment="1" applyProtection="1"/>
    <xf numFmtId="171" fontId="2" fillId="0" borderId="0" xfId="0" applyNumberFormat="1" applyFont="1" applyAlignment="1">
      <alignment horizontal="center"/>
    </xf>
    <xf numFmtId="0" fontId="2" fillId="19" borderId="1" xfId="0" applyFont="1" applyFill="1" applyBorder="1" applyAlignment="1">
      <alignment horizontal="center"/>
    </xf>
    <xf numFmtId="167" fontId="2" fillId="19" borderId="1" xfId="1" applyNumberFormat="1" applyFont="1" applyFill="1" applyBorder="1" applyAlignment="1" applyProtection="1">
      <alignment horizontal="center" wrapText="1"/>
    </xf>
    <xf numFmtId="170" fontId="26" fillId="0" borderId="3" xfId="3" applyNumberFormat="1" applyFont="1" applyBorder="1" applyAlignment="1" applyProtection="1">
      <alignment horizontal="center"/>
    </xf>
    <xf numFmtId="0" fontId="2" fillId="19" borderId="1" xfId="0" applyFont="1" applyFill="1" applyBorder="1" applyAlignment="1">
      <alignment horizontal="right"/>
    </xf>
    <xf numFmtId="173" fontId="2" fillId="19" borderId="1" xfId="2" applyNumberFormat="1" applyFont="1" applyFill="1" applyBorder="1" applyAlignment="1" applyProtection="1">
      <alignment horizontal="center" wrapText="1"/>
    </xf>
    <xf numFmtId="166" fontId="2" fillId="19" borderId="1" xfId="1" applyFont="1" applyFill="1" applyBorder="1" applyAlignment="1" applyProtection="1">
      <alignment horizontal="center" wrapText="1"/>
    </xf>
    <xf numFmtId="0" fontId="2" fillId="0" borderId="0" xfId="0" applyFont="1" applyAlignment="1">
      <alignment horizontal="right"/>
    </xf>
    <xf numFmtId="2" fontId="27" fillId="0" borderId="0" xfId="0" applyNumberFormat="1" applyFont="1"/>
    <xf numFmtId="167" fontId="0" fillId="0" borderId="0" xfId="0" applyNumberFormat="1"/>
    <xf numFmtId="170" fontId="0" fillId="0" borderId="0" xfId="3" applyNumberFormat="1" applyFont="1" applyBorder="1" applyAlignment="1" applyProtection="1">
      <alignment horizontal="center"/>
    </xf>
    <xf numFmtId="169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8" fillId="20" borderId="0" xfId="4" applyFont="1" applyFill="1" applyBorder="1" applyAlignment="1">
      <alignment horizontal="center"/>
    </xf>
    <xf numFmtId="0" fontId="28" fillId="20" borderId="0" xfId="4" applyFont="1" applyFill="1" applyBorder="1" applyAlignment="1">
      <alignment horizontal="left"/>
    </xf>
    <xf numFmtId="0" fontId="29" fillId="20" borderId="0" xfId="4" applyFont="1" applyFill="1" applyBorder="1" applyAlignment="1">
      <alignment horizontal="center"/>
    </xf>
    <xf numFmtId="0" fontId="4" fillId="20" borderId="0" xfId="4" applyFont="1" applyFill="1" applyBorder="1" applyAlignment="1">
      <alignment horizontal="left"/>
    </xf>
    <xf numFmtId="0" fontId="4" fillId="20" borderId="0" xfId="4" applyFont="1" applyFill="1" applyBorder="1" applyAlignment="1">
      <alignment horizontal="center"/>
    </xf>
    <xf numFmtId="0" fontId="31" fillId="20" borderId="0" xfId="4" applyFont="1" applyFill="1" applyBorder="1" applyAlignment="1">
      <alignment horizontal="center"/>
    </xf>
    <xf numFmtId="0" fontId="39" fillId="0" borderId="0" xfId="4" applyBorder="1" applyAlignment="1">
      <alignment horizontal="center"/>
    </xf>
    <xf numFmtId="0" fontId="4" fillId="21" borderId="0" xfId="4" applyFont="1" applyFill="1" applyBorder="1" applyAlignment="1">
      <alignment horizontal="left"/>
    </xf>
    <xf numFmtId="0" fontId="28" fillId="6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left"/>
    </xf>
    <xf numFmtId="0" fontId="29" fillId="6" borderId="0" xfId="4" applyFont="1" applyFill="1" applyBorder="1" applyAlignment="1">
      <alignment horizontal="center"/>
    </xf>
    <xf numFmtId="0" fontId="4" fillId="6" borderId="0" xfId="4" applyFont="1" applyFill="1" applyBorder="1" applyAlignment="1">
      <alignment horizontal="left"/>
    </xf>
    <xf numFmtId="0" fontId="4" fillId="6" borderId="0" xfId="4" applyFont="1" applyFill="1" applyBorder="1" applyAlignment="1">
      <alignment horizontal="center"/>
    </xf>
    <xf numFmtId="0" fontId="31" fillId="6" borderId="0" xfId="4" applyFont="1" applyFill="1" applyBorder="1" applyAlignment="1">
      <alignment horizontal="center"/>
    </xf>
    <xf numFmtId="0" fontId="4" fillId="18" borderId="0" xfId="4" applyFont="1" applyFill="1" applyBorder="1" applyAlignment="1">
      <alignment horizontal="left"/>
    </xf>
    <xf numFmtId="0" fontId="28" fillId="13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left"/>
    </xf>
    <xf numFmtId="0" fontId="31" fillId="13" borderId="0" xfId="4" applyFont="1" applyFill="1" applyBorder="1" applyAlignment="1">
      <alignment horizontal="center"/>
    </xf>
    <xf numFmtId="0" fontId="4" fillId="13" borderId="0" xfId="4" applyFont="1" applyFill="1" applyBorder="1" applyAlignment="1">
      <alignment horizontal="left"/>
    </xf>
    <xf numFmtId="0" fontId="4" fillId="13" borderId="0" xfId="4" applyFont="1" applyFill="1" applyBorder="1" applyAlignment="1">
      <alignment horizontal="center"/>
    </xf>
    <xf numFmtId="0" fontId="32" fillId="7" borderId="0" xfId="4" applyFont="1" applyFill="1" applyBorder="1" applyAlignment="1">
      <alignment horizontal="right"/>
    </xf>
    <xf numFmtId="0" fontId="11" fillId="0" borderId="0" xfId="4" applyFont="1" applyBorder="1"/>
    <xf numFmtId="1" fontId="11" fillId="0" borderId="0" xfId="4" applyNumberFormat="1" applyFont="1" applyBorder="1"/>
    <xf numFmtId="0" fontId="3" fillId="0" borderId="0" xfId="4" applyFont="1" applyBorder="1" applyAlignment="1">
      <alignment horizontal="center"/>
    </xf>
    <xf numFmtId="2" fontId="33" fillId="0" borderId="0" xfId="4" applyNumberFormat="1" applyFont="1" applyBorder="1" applyAlignment="1">
      <alignment horizontal="center"/>
    </xf>
    <xf numFmtId="0" fontId="11" fillId="0" borderId="0" xfId="4" applyFont="1" applyBorder="1" applyAlignment="1">
      <alignment horizontal="center"/>
    </xf>
    <xf numFmtId="0" fontId="34" fillId="0" borderId="0" xfId="4" applyFont="1" applyBorder="1" applyAlignment="1">
      <alignment horizontal="center"/>
    </xf>
    <xf numFmtId="0" fontId="39" fillId="0" borderId="0" xfId="4" applyAlignment="1">
      <alignment horizontal="center"/>
    </xf>
    <xf numFmtId="0" fontId="39" fillId="0" borderId="0" xfId="4" applyBorder="1"/>
    <xf numFmtId="2" fontId="39" fillId="0" borderId="0" xfId="4" applyNumberFormat="1" applyBorder="1" applyAlignment="1">
      <alignment horizontal="center"/>
    </xf>
    <xf numFmtId="2" fontId="11" fillId="22" borderId="0" xfId="4" applyNumberFormat="1" applyFont="1" applyFill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6" fillId="7" borderId="0" xfId="4" applyFont="1" applyFill="1" applyBorder="1" applyAlignment="1">
      <alignment horizontal="right"/>
    </xf>
    <xf numFmtId="2" fontId="35" fillId="11" borderId="0" xfId="4" applyNumberFormat="1" applyFont="1" applyFill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1" fillId="7" borderId="0" xfId="4" applyFont="1" applyFill="1" applyBorder="1" applyAlignment="1">
      <alignment horizontal="right"/>
    </xf>
    <xf numFmtId="1" fontId="39" fillId="0" borderId="0" xfId="4" applyNumberFormat="1" applyBorder="1"/>
    <xf numFmtId="0" fontId="2" fillId="0" borderId="4" xfId="4" applyFont="1" applyBorder="1"/>
    <xf numFmtId="0" fontId="39" fillId="0" borderId="0" xfId="4"/>
    <xf numFmtId="1" fontId="39" fillId="0" borderId="0" xfId="4" applyNumberFormat="1"/>
    <xf numFmtId="0" fontId="34" fillId="0" borderId="0" xfId="4" applyFont="1" applyAlignment="1">
      <alignment horizontal="center"/>
    </xf>
    <xf numFmtId="14" fontId="2" fillId="0" borderId="1" xfId="4" applyNumberFormat="1" applyFont="1" applyBorder="1"/>
    <xf numFmtId="14" fontId="39" fillId="0" borderId="0" xfId="4" applyNumberFormat="1"/>
    <xf numFmtId="0" fontId="7" fillId="0" borderId="0" xfId="4" applyFont="1" applyAlignment="1">
      <alignment horizontal="center"/>
    </xf>
    <xf numFmtId="1" fontId="18" fillId="0" borderId="0" xfId="4" applyNumberFormat="1" applyFont="1" applyBorder="1"/>
    <xf numFmtId="14" fontId="18" fillId="0" borderId="0" xfId="4" applyNumberFormat="1" applyFont="1" applyBorder="1"/>
    <xf numFmtId="0" fontId="0" fillId="8" borderId="0" xfId="0" applyFill="1" applyBorder="1"/>
    <xf numFmtId="0" fontId="2" fillId="0" borderId="0" xfId="4" applyFont="1" applyAlignment="1">
      <alignment horizontal="left"/>
    </xf>
    <xf numFmtId="0" fontId="36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7" fillId="25" borderId="0" xfId="0" applyFont="1" applyFill="1" applyAlignment="1">
      <alignment horizontal="center" wrapText="1"/>
    </xf>
    <xf numFmtId="0" fontId="38" fillId="0" borderId="0" xfId="0" applyFont="1" applyAlignment="1">
      <alignment horizontal="center" wrapText="1"/>
    </xf>
    <xf numFmtId="2" fontId="38" fillId="0" borderId="0" xfId="0" applyNumberFormat="1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8" fillId="26" borderId="0" xfId="0" applyFont="1" applyFill="1" applyAlignment="1">
      <alignment horizontal="center" wrapText="1"/>
    </xf>
    <xf numFmtId="0" fontId="37" fillId="26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8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8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8" fillId="26" borderId="3" xfId="0" applyFont="1" applyFill="1" applyBorder="1" applyAlignment="1">
      <alignment horizontal="center" wrapText="1"/>
    </xf>
    <xf numFmtId="0" fontId="38" fillId="26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7" borderId="4" xfId="3" applyNumberFormat="1" applyFont="1" applyFill="1" applyBorder="1" applyAlignment="1" applyProtection="1"/>
    <xf numFmtId="170" fontId="0" fillId="17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0" fillId="27" borderId="0" xfId="0" applyFont="1" applyFill="1" applyAlignment="1">
      <alignment horizontal="right"/>
    </xf>
    <xf numFmtId="169" fontId="3" fillId="11" borderId="11" xfId="0" applyNumberFormat="1" applyFont="1" applyFill="1" applyBorder="1"/>
    <xf numFmtId="0" fontId="2" fillId="28" borderId="0" xfId="0" applyFont="1" applyFill="1" applyAlignment="1">
      <alignment horizontal="center"/>
    </xf>
    <xf numFmtId="0" fontId="0" fillId="24" borderId="0" xfId="0" applyFont="1" applyFill="1"/>
    <xf numFmtId="1" fontId="0" fillId="24" borderId="0" xfId="0" applyNumberFormat="1" applyFill="1"/>
    <xf numFmtId="0" fontId="0" fillId="27" borderId="0" xfId="0" applyFont="1" applyFill="1" applyAlignment="1">
      <alignment horizontal="right"/>
    </xf>
    <xf numFmtId="1" fontId="0" fillId="27" borderId="0" xfId="0" applyNumberFormat="1" applyFill="1"/>
    <xf numFmtId="0" fontId="0" fillId="21" borderId="0" xfId="0" applyFont="1" applyFill="1" applyBorder="1" applyAlignment="1">
      <alignment horizontal="right" wrapText="1"/>
    </xf>
    <xf numFmtId="171" fontId="0" fillId="21" borderId="0" xfId="0" applyNumberFormat="1" applyFill="1" applyBorder="1"/>
    <xf numFmtId="0" fontId="0" fillId="0" borderId="0" xfId="0" applyBorder="1"/>
    <xf numFmtId="0" fontId="0" fillId="16" borderId="0" xfId="0" applyFont="1" applyFill="1" applyBorder="1" applyAlignment="1">
      <alignment horizontal="right" wrapText="1"/>
    </xf>
    <xf numFmtId="171" fontId="0" fillId="16" borderId="0" xfId="0" applyNumberFormat="1" applyFill="1"/>
    <xf numFmtId="0" fontId="7" fillId="24" borderId="0" xfId="0" applyFont="1" applyFill="1" applyBorder="1" applyAlignment="1">
      <alignment horizontal="right" wrapText="1"/>
    </xf>
    <xf numFmtId="171" fontId="22" fillId="24" borderId="0" xfId="0" applyNumberFormat="1" applyFont="1" applyFill="1"/>
    <xf numFmtId="0" fontId="7" fillId="0" borderId="0" xfId="0" applyFont="1" applyBorder="1"/>
    <xf numFmtId="0" fontId="22" fillId="24" borderId="0" xfId="0" applyFont="1" applyFill="1" applyBorder="1" applyAlignment="1">
      <alignment horizontal="right" wrapText="1"/>
    </xf>
    <xf numFmtId="0" fontId="0" fillId="29" borderId="1" xfId="4" applyFont="1" applyFill="1" applyBorder="1" applyAlignment="1">
      <alignment horizontal="right"/>
    </xf>
    <xf numFmtId="1" fontId="40" fillId="0" borderId="0" xfId="4" applyNumberFormat="1" applyFont="1" applyBorder="1" applyAlignment="1">
      <alignment horizontal="right"/>
    </xf>
    <xf numFmtId="14" fontId="11" fillId="0" borderId="5" xfId="4" applyNumberFormat="1" applyFont="1" applyBorder="1" applyAlignment="1">
      <alignment horizontal="center"/>
    </xf>
    <xf numFmtId="2" fontId="33" fillId="0" borderId="5" xfId="4" applyNumberFormat="1" applyFont="1" applyBorder="1" applyAlignment="1">
      <alignment horizontal="center"/>
    </xf>
    <xf numFmtId="2" fontId="39" fillId="0" borderId="5" xfId="4" applyNumberFormat="1" applyBorder="1" applyAlignment="1">
      <alignment horizontal="center"/>
    </xf>
    <xf numFmtId="2" fontId="11" fillId="22" borderId="5" xfId="4" applyNumberFormat="1" applyFont="1" applyFill="1" applyBorder="1" applyAlignment="1">
      <alignment horizontal="center"/>
    </xf>
    <xf numFmtId="2" fontId="35" fillId="11" borderId="5" xfId="4" applyNumberFormat="1" applyFont="1" applyFill="1" applyBorder="1" applyAlignment="1">
      <alignment horizontal="center"/>
    </xf>
    <xf numFmtId="2" fontId="3" fillId="22" borderId="5" xfId="4" applyNumberFormat="1" applyFont="1" applyFill="1" applyBorder="1" applyAlignment="1">
      <alignment horizontal="center"/>
    </xf>
    <xf numFmtId="0" fontId="0" fillId="30" borderId="5" xfId="4" applyFont="1" applyFill="1" applyBorder="1" applyAlignment="1">
      <alignment horizontal="center"/>
    </xf>
    <xf numFmtId="0" fontId="0" fillId="0" borderId="5" xfId="4" applyFont="1" applyBorder="1" applyAlignment="1">
      <alignment horizontal="center"/>
    </xf>
    <xf numFmtId="0" fontId="0" fillId="31" borderId="5" xfId="4" applyFont="1" applyFill="1" applyBorder="1" applyAlignment="1">
      <alignment horizontal="center"/>
    </xf>
    <xf numFmtId="0" fontId="11" fillId="0" borderId="5" xfId="4" applyFont="1" applyBorder="1" applyAlignment="1">
      <alignment horizontal="center"/>
    </xf>
    <xf numFmtId="0" fontId="39" fillId="0" borderId="5" xfId="4" applyBorder="1" applyAlignment="1">
      <alignment horizontal="center"/>
    </xf>
    <xf numFmtId="0" fontId="39" fillId="0" borderId="12" xfId="4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4" fillId="0" borderId="5" xfId="4" applyFont="1" applyBorder="1" applyAlignment="1">
      <alignment horizontal="center"/>
    </xf>
    <xf numFmtId="0" fontId="3" fillId="0" borderId="5" xfId="4" applyFont="1" applyBorder="1" applyAlignment="1">
      <alignment horizontal="center"/>
    </xf>
    <xf numFmtId="14" fontId="11" fillId="0" borderId="5" xfId="4" applyNumberFormat="1" applyFont="1" applyBorder="1"/>
    <xf numFmtId="0" fontId="11" fillId="29" borderId="1" xfId="4" applyFont="1" applyFill="1" applyBorder="1" applyAlignment="1">
      <alignment horizontal="right"/>
    </xf>
    <xf numFmtId="0" fontId="41" fillId="32" borderId="1" xfId="4" applyFont="1" applyFill="1" applyBorder="1" applyAlignment="1">
      <alignment horizontal="right"/>
    </xf>
    <xf numFmtId="174" fontId="0" fillId="0" borderId="0" xfId="0" applyNumberFormat="1"/>
    <xf numFmtId="0" fontId="45" fillId="0" borderId="1" xfId="0" applyFont="1" applyBorder="1" applyAlignment="1">
      <alignment horizontal="center"/>
    </xf>
    <xf numFmtId="0" fontId="43" fillId="0" borderId="14" xfId="0" applyFont="1" applyBorder="1"/>
    <xf numFmtId="174" fontId="0" fillId="0" borderId="15" xfId="0" applyNumberFormat="1" applyBorder="1"/>
    <xf numFmtId="174" fontId="0" fillId="0" borderId="14" xfId="0" applyNumberFormat="1" applyBorder="1"/>
    <xf numFmtId="174" fontId="0" fillId="0" borderId="7" xfId="0" applyNumberFormat="1" applyBorder="1"/>
    <xf numFmtId="0" fontId="43" fillId="0" borderId="12" xfId="0" applyFont="1" applyBorder="1"/>
    <xf numFmtId="174" fontId="43" fillId="0" borderId="5" xfId="0" applyNumberFormat="1" applyFont="1" applyBorder="1"/>
    <xf numFmtId="170" fontId="43" fillId="0" borderId="12" xfId="3" applyNumberFormat="1" applyFont="1" applyBorder="1"/>
    <xf numFmtId="170" fontId="43" fillId="0" borderId="2" xfId="3" applyNumberFormat="1" applyFont="1" applyBorder="1"/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/>
    <xf numFmtId="170" fontId="1" fillId="0" borderId="12" xfId="3" applyNumberFormat="1" applyFont="1" applyBorder="1"/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/>
    <xf numFmtId="170" fontId="1" fillId="0" borderId="2" xfId="3" applyNumberFormat="1" applyFont="1" applyBorder="1"/>
    <xf numFmtId="0" fontId="0" fillId="38" borderId="12" xfId="0" applyFill="1" applyBorder="1" applyAlignment="1">
      <alignment horizontal="right"/>
    </xf>
    <xf numFmtId="174" fontId="0" fillId="38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9" borderId="12" xfId="0" applyFill="1" applyBorder="1" applyAlignment="1">
      <alignment horizontal="right"/>
    </xf>
    <xf numFmtId="174" fontId="0" fillId="39" borderId="5" xfId="0" applyNumberFormat="1" applyFill="1" applyBorder="1" applyAlignment="1">
      <alignment horizontal="right"/>
    </xf>
    <xf numFmtId="0" fontId="0" fillId="39" borderId="1" xfId="0" applyFill="1" applyBorder="1" applyAlignment="1">
      <alignment horizontal="right"/>
    </xf>
    <xf numFmtId="174" fontId="0" fillId="39" borderId="1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3" fillId="0" borderId="5" xfId="0" applyNumberFormat="1" applyFont="1" applyFill="1" applyBorder="1" applyAlignment="1">
      <alignment horizontal="right"/>
    </xf>
    <xf numFmtId="0" fontId="0" fillId="40" borderId="1" xfId="0" applyFill="1" applyBorder="1" applyAlignment="1">
      <alignment horizontal="right"/>
    </xf>
    <xf numFmtId="174" fontId="0" fillId="40" borderId="1" xfId="0" applyNumberFormat="1" applyFill="1" applyBorder="1"/>
    <xf numFmtId="174" fontId="0" fillId="0" borderId="2" xfId="0" applyNumberFormat="1" applyBorder="1"/>
    <xf numFmtId="0" fontId="0" fillId="41" borderId="12" xfId="0" applyFill="1" applyBorder="1" applyAlignment="1">
      <alignment horizontal="right"/>
    </xf>
    <xf numFmtId="174" fontId="0" fillId="41" borderId="5" xfId="0" applyNumberFormat="1" applyFill="1" applyBorder="1" applyAlignment="1">
      <alignment horizontal="right"/>
    </xf>
    <xf numFmtId="174" fontId="0" fillId="38" borderId="5" xfId="0" applyNumberFormat="1" applyFill="1" applyBorder="1"/>
    <xf numFmtId="174" fontId="0" fillId="0" borderId="5" xfId="0" applyNumberFormat="1" applyFill="1" applyBorder="1"/>
    <xf numFmtId="170" fontId="1" fillId="0" borderId="2" xfId="3" applyNumberFormat="1" applyFont="1" applyFill="1" applyBorder="1"/>
    <xf numFmtId="174" fontId="0" fillId="41" borderId="5" xfId="0" applyNumberFormat="1" applyFill="1" applyBorder="1"/>
    <xf numFmtId="0" fontId="46" fillId="0" borderId="12" xfId="0" applyFont="1" applyFill="1" applyBorder="1"/>
    <xf numFmtId="174" fontId="46" fillId="0" borderId="5" xfId="0" applyNumberFormat="1" applyFont="1" applyFill="1" applyBorder="1"/>
    <xf numFmtId="170" fontId="46" fillId="0" borderId="12" xfId="3" applyNumberFormat="1" applyFont="1" applyFill="1" applyBorder="1"/>
    <xf numFmtId="0" fontId="47" fillId="0" borderId="12" xfId="0" applyFont="1" applyFill="1" applyBorder="1" applyAlignment="1">
      <alignment horizontal="right"/>
    </xf>
    <xf numFmtId="174" fontId="47" fillId="0" borderId="5" xfId="0" applyNumberFormat="1" applyFont="1" applyFill="1" applyBorder="1"/>
    <xf numFmtId="170" fontId="47" fillId="0" borderId="2" xfId="3" applyNumberFormat="1" applyFont="1" applyFill="1" applyBorder="1"/>
    <xf numFmtId="0" fontId="0" fillId="30" borderId="12" xfId="0" applyFill="1" applyBorder="1" applyAlignment="1">
      <alignment horizontal="right"/>
    </xf>
    <xf numFmtId="174" fontId="0" fillId="30" borderId="5" xfId="0" applyNumberFormat="1" applyFill="1" applyBorder="1"/>
    <xf numFmtId="0" fontId="0" fillId="41" borderId="16" xfId="0" applyFill="1" applyBorder="1" applyAlignment="1">
      <alignment horizontal="right"/>
    </xf>
    <xf numFmtId="174" fontId="0" fillId="41" borderId="17" xfId="0" applyNumberFormat="1" applyFill="1" applyBorder="1"/>
    <xf numFmtId="170" fontId="1" fillId="0" borderId="4" xfId="3" applyNumberFormat="1" applyFont="1" applyBorder="1"/>
    <xf numFmtId="0" fontId="45" fillId="0" borderId="6" xfId="0" applyFont="1" applyBorder="1" applyAlignment="1">
      <alignment horizontal="right"/>
    </xf>
    <xf numFmtId="174" fontId="45" fillId="0" borderId="3" xfId="0" applyNumberFormat="1" applyFont="1" applyBorder="1"/>
    <xf numFmtId="9" fontId="43" fillId="0" borderId="7" xfId="3" applyNumberFormat="1" applyFont="1" applyBorder="1"/>
    <xf numFmtId="9" fontId="43" fillId="0" borderId="1" xfId="3" applyNumberFormat="1" applyFont="1" applyBorder="1"/>
    <xf numFmtId="174" fontId="0" fillId="0" borderId="18" xfId="0" applyNumberFormat="1" applyBorder="1"/>
    <xf numFmtId="0" fontId="42" fillId="0" borderId="0" xfId="0" applyFont="1" applyFill="1" applyBorder="1" applyAlignment="1">
      <alignment horizontal="right"/>
    </xf>
    <xf numFmtId="174" fontId="42" fillId="0" borderId="0" xfId="0" applyNumberFormat="1" applyFont="1"/>
    <xf numFmtId="0" fontId="48" fillId="0" borderId="0" xfId="0" applyFont="1" applyAlignment="1">
      <alignment horizontal="right"/>
    </xf>
    <xf numFmtId="174" fontId="48" fillId="0" borderId="0" xfId="0" applyNumberFormat="1" applyFont="1"/>
    <xf numFmtId="0" fontId="43" fillId="0" borderId="0" xfId="0" applyFont="1"/>
    <xf numFmtId="174" fontId="43" fillId="0" borderId="0" xfId="0" applyNumberFormat="1" applyFont="1"/>
    <xf numFmtId="169" fontId="0" fillId="42" borderId="1" xfId="0" applyNumberFormat="1" applyFill="1" applyBorder="1"/>
    <xf numFmtId="169" fontId="0" fillId="42" borderId="1" xfId="0" applyNumberFormat="1" applyFont="1" applyFill="1" applyBorder="1"/>
    <xf numFmtId="169" fontId="0" fillId="42" borderId="1" xfId="0" applyNumberFormat="1" applyFill="1" applyBorder="1" applyAlignment="1">
      <alignment horizontal="center"/>
    </xf>
    <xf numFmtId="169" fontId="25" fillId="42" borderId="1" xfId="0" applyNumberFormat="1" applyFont="1" applyFill="1" applyBorder="1"/>
    <xf numFmtId="0" fontId="2" fillId="42" borderId="1" xfId="0" applyFont="1" applyFill="1" applyBorder="1" applyAlignment="1">
      <alignment wrapText="1"/>
    </xf>
    <xf numFmtId="0" fontId="25" fillId="42" borderId="1" xfId="0" applyFont="1" applyFill="1" applyBorder="1"/>
    <xf numFmtId="0" fontId="25" fillId="42" borderId="1" xfId="0" applyFont="1" applyFill="1" applyBorder="1" applyAlignment="1">
      <alignment wrapText="1"/>
    </xf>
    <xf numFmtId="0" fontId="2" fillId="43" borderId="1" xfId="0" applyFont="1" applyFill="1" applyBorder="1" applyAlignment="1">
      <alignment wrapText="1"/>
    </xf>
    <xf numFmtId="0" fontId="2" fillId="43" borderId="1" xfId="0" applyFont="1" applyFill="1" applyBorder="1"/>
    <xf numFmtId="0" fontId="2" fillId="43" borderId="4" xfId="0" applyFont="1" applyFill="1" applyBorder="1" applyAlignment="1">
      <alignment vertical="top" wrapText="1"/>
    </xf>
    <xf numFmtId="0" fontId="26" fillId="43" borderId="1" xfId="0" applyFont="1" applyFill="1" applyBorder="1" applyAlignment="1">
      <alignment wrapText="1"/>
    </xf>
    <xf numFmtId="0" fontId="26" fillId="43" borderId="1" xfId="0" applyFont="1" applyFill="1" applyBorder="1"/>
    <xf numFmtId="169" fontId="0" fillId="43" borderId="1" xfId="0" applyNumberFormat="1" applyFill="1" applyBorder="1"/>
    <xf numFmtId="169" fontId="26" fillId="43" borderId="1" xfId="0" applyNumberFormat="1" applyFont="1" applyFill="1" applyBorder="1"/>
    <xf numFmtId="14" fontId="22" fillId="31" borderId="0" xfId="0" applyNumberFormat="1" applyFont="1" applyFill="1" applyAlignment="1">
      <alignment horizontal="center"/>
    </xf>
    <xf numFmtId="0" fontId="2" fillId="44" borderId="3" xfId="0" applyFont="1" applyFill="1" applyBorder="1" applyAlignment="1">
      <alignment horizontal="center" wrapText="1"/>
    </xf>
    <xf numFmtId="1" fontId="2" fillId="44" borderId="1" xfId="0" applyNumberFormat="1" applyFont="1" applyFill="1" applyBorder="1" applyAlignment="1">
      <alignment horizontal="center" wrapText="1"/>
    </xf>
    <xf numFmtId="0" fontId="51" fillId="32" borderId="1" xfId="4" applyFont="1" applyFill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0" fontId="28" fillId="20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 vertical="top" wrapText="1"/>
    </xf>
    <xf numFmtId="169" fontId="26" fillId="16" borderId="1" xfId="0" applyNumberFormat="1" applyFont="1" applyFill="1" applyBorder="1" applyAlignment="1">
      <alignment horizontal="center"/>
    </xf>
    <xf numFmtId="0" fontId="2" fillId="42" borderId="4" xfId="0" applyFont="1" applyFill="1" applyBorder="1" applyAlignment="1">
      <alignment vertical="top" wrapText="1"/>
    </xf>
    <xf numFmtId="169" fontId="25" fillId="14" borderId="1" xfId="0" applyNumberFormat="1" applyFont="1" applyFill="1" applyBorder="1" applyAlignment="1">
      <alignment horizontal="center"/>
    </xf>
    <xf numFmtId="0" fontId="44" fillId="33" borderId="6" xfId="0" applyFont="1" applyFill="1" applyBorder="1" applyAlignment="1">
      <alignment horizontal="center"/>
    </xf>
    <xf numFmtId="0" fontId="44" fillId="33" borderId="13" xfId="0" applyFont="1" applyFill="1" applyBorder="1" applyAlignment="1">
      <alignment horizontal="center"/>
    </xf>
    <xf numFmtId="0" fontId="44" fillId="33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5" fillId="34" borderId="6" xfId="0" applyFont="1" applyFill="1" applyBorder="1" applyAlignment="1">
      <alignment horizontal="center"/>
    </xf>
    <xf numFmtId="0" fontId="45" fillId="34" borderId="3" xfId="0" applyFont="1" applyFill="1" applyBorder="1" applyAlignment="1">
      <alignment horizontal="center"/>
    </xf>
    <xf numFmtId="0" fontId="45" fillId="35" borderId="13" xfId="0" applyFont="1" applyFill="1" applyBorder="1" applyAlignment="1">
      <alignment horizontal="center"/>
    </xf>
    <xf numFmtId="0" fontId="45" fillId="35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17" borderId="1" xfId="0" applyFont="1" applyFill="1" applyBorder="1" applyAlignment="1">
      <alignment horizontal="center"/>
    </xf>
    <xf numFmtId="0" fontId="0" fillId="23" borderId="1" xfId="0" applyFont="1" applyFill="1" applyBorder="1" applyAlignment="1">
      <alignment horizontal="center"/>
    </xf>
    <xf numFmtId="0" fontId="0" fillId="24" borderId="1" xfId="0" applyFont="1" applyFill="1" applyBorder="1" applyAlignment="1">
      <alignment horizontal="center"/>
    </xf>
  </cellXfs>
  <cellStyles count="5">
    <cellStyle name="Excel Built-in Normal" xfId="4" xr:uid="{00000000-0005-0000-0000-000006000000}"/>
    <cellStyle name="Millares" xfId="1" builtinId="3"/>
    <cellStyle name="Moneda" xfId="2" builtinId="4"/>
    <cellStyle name="Normal" xfId="0" builtinId="0"/>
    <cellStyle name="Porcentaje" xfId="3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BA31"/>
  <sheetViews>
    <sheetView tabSelected="1" zoomScaleNormal="100" workbookViewId="0">
      <pane xSplit="7" ySplit="3" topLeftCell="J4" activePane="bottomRight" state="frozen"/>
      <selection pane="topRight" activeCell="H1" sqref="H1"/>
      <selection pane="bottomLeft" activeCell="A4" sqref="A4"/>
      <selection pane="bottomRight" activeCell="F17" sqref="F17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9" width="3.42578125" hidden="1" customWidth="1"/>
    <col min="10" max="10" width="5.28515625" bestFit="1" customWidth="1"/>
    <col min="11" max="11" width="3.7109375" customWidth="1"/>
    <col min="12" max="13" width="4.5703125" customWidth="1"/>
    <col min="14" max="14" width="4.7109375" customWidth="1"/>
    <col min="15" max="15" width="5" customWidth="1"/>
    <col min="16" max="16" width="4.28515625" customWidth="1"/>
    <col min="17" max="17" width="5" customWidth="1"/>
    <col min="18" max="18" width="4.5703125" hidden="1" customWidth="1"/>
    <col min="19" max="19" width="4.140625" customWidth="1"/>
    <col min="20" max="20" width="5.7109375" customWidth="1"/>
    <col min="21" max="21" width="6.28515625" bestFit="1" customWidth="1"/>
    <col min="22" max="22" width="10.5703125" customWidth="1"/>
    <col min="23" max="23" width="8.5703125" customWidth="1"/>
    <col min="24" max="24" width="9.5703125" customWidth="1"/>
    <col min="25" max="25" width="7.5703125" customWidth="1"/>
    <col min="26" max="27" width="4.42578125" customWidth="1"/>
    <col min="28" max="32" width="6.5703125" customWidth="1"/>
    <col min="33" max="33" width="6.42578125" customWidth="1"/>
    <col min="34" max="34" width="7" customWidth="1"/>
    <col min="35" max="39" width="6.140625" customWidth="1"/>
    <col min="40" max="40" width="6.5703125" customWidth="1"/>
    <col min="41" max="41" width="6.140625" customWidth="1"/>
    <col min="42" max="42" width="7.85546875" customWidth="1"/>
    <col min="43" max="43" width="9.5703125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43643</v>
      </c>
      <c r="E1" s="309">
        <v>43637</v>
      </c>
      <c r="F1" s="309"/>
      <c r="G1" s="309"/>
      <c r="H1" s="4"/>
      <c r="I1" s="4"/>
      <c r="J1" s="4"/>
      <c r="K1" s="4"/>
      <c r="L1" s="4"/>
      <c r="M1" s="4"/>
      <c r="N1" s="5"/>
      <c r="O1" s="4"/>
      <c r="P1" s="5"/>
      <c r="Q1" s="5"/>
      <c r="R1" s="5"/>
      <c r="S1" s="2"/>
      <c r="T1" s="5"/>
      <c r="U1" s="5"/>
      <c r="V1" s="4"/>
      <c r="W1" s="4"/>
      <c r="X1" s="4"/>
      <c r="Y1" s="4"/>
      <c r="Z1" s="1"/>
      <c r="AA1" s="1"/>
      <c r="AB1" s="6"/>
      <c r="AC1" s="6"/>
      <c r="AD1" s="4"/>
      <c r="AE1" s="6"/>
      <c r="AF1" s="6"/>
      <c r="AG1" s="6"/>
      <c r="AH1" s="6"/>
      <c r="AI1" s="6"/>
      <c r="AJ1" s="4"/>
      <c r="AK1" s="4"/>
      <c r="AL1" s="4"/>
      <c r="AM1" s="4"/>
      <c r="AN1" s="4"/>
      <c r="AO1" s="4"/>
      <c r="AP1" s="6"/>
      <c r="AQ1" s="6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7"/>
      <c r="J2" s="7"/>
      <c r="K2" s="7"/>
      <c r="L2" s="12">
        <f>AVERAGE(L6:L22)</f>
        <v>2.5352941176470587</v>
      </c>
      <c r="M2" s="11"/>
      <c r="N2" s="11"/>
      <c r="O2" s="7"/>
      <c r="P2" s="12">
        <f>AVERAGE(P6:P22)</f>
        <v>5.3411764705882359</v>
      </c>
      <c r="Q2" s="11"/>
      <c r="R2" s="11"/>
      <c r="S2" s="12">
        <f>AVERAGE(S6:S22)</f>
        <v>4.2352941176470589</v>
      </c>
      <c r="T2" s="13">
        <f>AVERAGE(T6:T22)</f>
        <v>0.77186853489140095</v>
      </c>
      <c r="U2" s="13">
        <f>AVERAGE(U6:U22)</f>
        <v>0.85963355549108067</v>
      </c>
      <c r="V2" s="14">
        <f>AVERAGE(V6:V22)</f>
        <v>964.70588235294122</v>
      </c>
      <c r="W2" s="14"/>
      <c r="X2" s="14">
        <f>AVERAGE(X6:X22)</f>
        <v>384.11764705882354</v>
      </c>
      <c r="Y2" s="15"/>
      <c r="Z2" s="7"/>
      <c r="AA2" s="7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9" t="s">
        <v>13</v>
      </c>
      <c r="O3" s="19" t="s">
        <v>14</v>
      </c>
      <c r="P3" s="16" t="s">
        <v>15</v>
      </c>
      <c r="Q3" s="16" t="s">
        <v>16</v>
      </c>
      <c r="R3" s="16" t="s">
        <v>17</v>
      </c>
      <c r="S3" s="16" t="s">
        <v>18</v>
      </c>
      <c r="T3" s="20" t="s">
        <v>19</v>
      </c>
      <c r="U3" s="20" t="s">
        <v>20</v>
      </c>
      <c r="V3" s="16" t="s">
        <v>21</v>
      </c>
      <c r="W3" s="16" t="s">
        <v>22</v>
      </c>
      <c r="X3" s="16" t="s">
        <v>23</v>
      </c>
      <c r="Y3" s="16" t="s">
        <v>24</v>
      </c>
      <c r="Z3" s="21" t="s">
        <v>25</v>
      </c>
      <c r="AA3" s="21" t="s">
        <v>26</v>
      </c>
      <c r="AB3" s="21" t="s">
        <v>27</v>
      </c>
      <c r="AC3" s="21" t="s">
        <v>28</v>
      </c>
      <c r="AD3" s="21" t="s">
        <v>29</v>
      </c>
      <c r="AE3" s="21" t="s">
        <v>30</v>
      </c>
      <c r="AF3" s="21" t="s">
        <v>31</v>
      </c>
      <c r="AG3" s="21" t="s">
        <v>32</v>
      </c>
      <c r="AH3" s="21" t="s">
        <v>33</v>
      </c>
      <c r="AI3" s="16" t="s">
        <v>34</v>
      </c>
      <c r="AJ3" s="16" t="s">
        <v>35</v>
      </c>
      <c r="AK3" s="16" t="s">
        <v>36</v>
      </c>
      <c r="AL3" s="16" t="s">
        <v>37</v>
      </c>
      <c r="AM3" s="16" t="s">
        <v>38</v>
      </c>
      <c r="AN3" s="16" t="s">
        <v>39</v>
      </c>
      <c r="AO3" s="16" t="s">
        <v>6</v>
      </c>
      <c r="AP3" s="16" t="s">
        <v>40</v>
      </c>
      <c r="AQ3" s="16" t="s">
        <v>41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spans="1:53" x14ac:dyDescent="0.25">
      <c r="A4" s="24" t="s">
        <v>52</v>
      </c>
      <c r="B4" s="25" t="s">
        <v>58</v>
      </c>
      <c r="C4" s="26">
        <f t="shared" ref="C4:C22" ca="1" si="0">((36*112)-(E4*112)-(F4))/112</f>
        <v>17.669642857142858</v>
      </c>
      <c r="D4" s="231" t="s">
        <v>54</v>
      </c>
      <c r="E4" s="27">
        <v>18</v>
      </c>
      <c r="F4" s="28">
        <f ca="1">$D$1-43606</f>
        <v>37</v>
      </c>
      <c r="G4" s="29" t="s">
        <v>55</v>
      </c>
      <c r="H4" s="30">
        <v>0</v>
      </c>
      <c r="I4" s="30">
        <v>0</v>
      </c>
      <c r="J4" s="31">
        <f t="shared" ref="J4:J22" si="1">IF(H4=4,IF(I4=0,0.137+0.0697,0.137+0.02),IF(H4=3,IF(I4=0,0.0958+0.0697,0.0958+0.02),IF(H4=2,IF(I4=0,0.0415+0.0697,0.0415+0.02),IF(H4=1,IF(I4=0,0.0294+0.0697,0.0294+0.02),IF(H4=0,IF(I4=0,0.0063+0.0697,0.0063+0.02))))))</f>
        <v>7.5999999999999998E-2</v>
      </c>
      <c r="K4" s="32">
        <v>2</v>
      </c>
      <c r="L4" s="33">
        <v>1</v>
      </c>
      <c r="M4" s="34">
        <f t="shared" ref="M4:M22" si="2">LOG(L4+1)*4/3</f>
        <v>0.40137332755197491</v>
      </c>
      <c r="N4" s="35">
        <f t="shared" ref="N4:N22" si="3">(K4)*(K4)*(L4)</f>
        <v>4</v>
      </c>
      <c r="O4" s="35">
        <f t="shared" ref="O4:O22" si="4">(K4+1)*(K4+1)*L4</f>
        <v>9</v>
      </c>
      <c r="P4" s="36">
        <v>5.3</v>
      </c>
      <c r="Q4" s="37">
        <f t="shared" ref="Q4:Q22" si="5">P4*10+19</f>
        <v>72</v>
      </c>
      <c r="R4" s="38">
        <v>1.5</v>
      </c>
      <c r="S4" s="30">
        <v>6</v>
      </c>
      <c r="T4" s="31">
        <f t="shared" ref="T4:T22" si="6">(S4/7)^0.5</f>
        <v>0.92582009977255142</v>
      </c>
      <c r="U4" s="31">
        <f t="shared" ref="U4:U22" si="7">IF(S4=7,1,((S4+0.99)/7)^0.5)</f>
        <v>0.99928545900129484</v>
      </c>
      <c r="V4" s="39">
        <v>880</v>
      </c>
      <c r="W4" s="40">
        <f t="shared" ref="W4:W22" si="8">V4-AZ4</f>
        <v>0</v>
      </c>
      <c r="X4" s="41">
        <v>370</v>
      </c>
      <c r="Y4" s="42">
        <f t="shared" ref="Y4:Y23" si="9">V4/X4</f>
        <v>2.3783783783783785</v>
      </c>
      <c r="Z4" s="43">
        <f t="shared" ref="Z4:Z22" si="10">(AK4+R4+M4)*(S4/7)^0.5</f>
        <v>3.6119698433641405</v>
      </c>
      <c r="AA4" s="43">
        <f t="shared" ref="AA4:AA22" si="11">(AK4+R4+M4)*(IF(S4=7, (S4/7)^0.5, ((S4+1)/7)^0.5))</f>
        <v>3.9013733275519749</v>
      </c>
      <c r="AB4" s="42">
        <f t="shared" ref="AB4:AB22" si="12">(((AJ4+R4+M4)+(AM4+R4+M4)*2)/8)*(S4/7)^0.5</f>
        <v>2.048853766090966</v>
      </c>
      <c r="AC4" s="42">
        <f t="shared" ref="AC4:AC22" si="13">(1.66*(AN4+M4+R4)+0.55*(AO4+M4+R4)-7.6)*(S4/7)^0.5</f>
        <v>0.42776133969073116</v>
      </c>
      <c r="AD4" s="42">
        <f t="shared" ref="AD4:AD22" si="14">((AO4+M4+R4)*0.7+(AN4+M4+R4)*0.3)*(S4/7)^0.5</f>
        <v>4.6303719531139471</v>
      </c>
      <c r="AE4" s="42">
        <f t="shared" ref="AE4:AE22" si="15">(0.5*(AN4+R4+M4)+ 0.3*(AO4+R4+M4))/10</f>
        <v>0.32210986620415805</v>
      </c>
      <c r="AF4" s="42">
        <f t="shared" ref="AF4:AF22" si="16">(0.4*(AJ4+R4+M4)+0.3*(AO4+R4+M4))/10</f>
        <v>0.4930961329286383</v>
      </c>
      <c r="AG4" s="44">
        <f t="shared" ref="AG4:AG22" si="17">(AO4+R4+(LOG(L4)*4/3))*(S4/7)^0.5</f>
        <v>5.092010548749033</v>
      </c>
      <c r="AH4" s="44">
        <f t="shared" ref="AH4:AH22" si="18">(AO4+R4+(LOG(L4)*4/3))*(IF(S4=7, (S4/7)^0.5, ((S4+1)/7)^0.5))</f>
        <v>5.5</v>
      </c>
      <c r="AI4" s="45">
        <v>0</v>
      </c>
      <c r="AJ4" s="34">
        <v>6</v>
      </c>
      <c r="AK4" s="45">
        <v>2</v>
      </c>
      <c r="AL4" s="34">
        <v>2</v>
      </c>
      <c r="AM4" s="45">
        <v>3</v>
      </c>
      <c r="AN4" s="34">
        <v>1</v>
      </c>
      <c r="AO4" s="45">
        <v>4</v>
      </c>
      <c r="AP4" s="46">
        <v>319</v>
      </c>
      <c r="AQ4" s="46">
        <v>1757</v>
      </c>
      <c r="AR4" s="47">
        <v>-3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2" si="19">SUM(AR4:AX4)</f>
        <v>15</v>
      </c>
      <c r="AZ4" s="39">
        <v>880</v>
      </c>
      <c r="BA4" s="49" t="s">
        <v>56</v>
      </c>
    </row>
    <row r="5" spans="1:53" x14ac:dyDescent="0.25">
      <c r="A5" s="24" t="s">
        <v>61</v>
      </c>
      <c r="B5" s="24" t="s">
        <v>58</v>
      </c>
      <c r="C5" s="26">
        <f ca="1">((36*112)-(E5*112)-(F5))/112</f>
        <v>8.8571428571428577</v>
      </c>
      <c r="D5" s="230" t="s">
        <v>62</v>
      </c>
      <c r="E5" s="50">
        <v>27</v>
      </c>
      <c r="F5" s="51">
        <f ca="1">$D$1-43627</f>
        <v>16</v>
      </c>
      <c r="G5" s="29" t="s">
        <v>60</v>
      </c>
      <c r="H5" s="37">
        <v>2</v>
      </c>
      <c r="I5" s="37">
        <v>1</v>
      </c>
      <c r="J5" s="31">
        <f>IF(H5=4,IF(I5=0,0.137+0.0697,0.137+0.02),IF(H5=3,IF(I5=0,0.0958+0.0697,0.0958+0.02),IF(H5=2,IF(I5=0,0.0415+0.0697,0.0415+0.02),IF(H5=1,IF(I5=0,0.0294+0.0697,0.0294+0.02),IF(H5=0,IF(I5=0,0.0063+0.0697,0.0063+0.02))))))</f>
        <v>6.1499999999999999E-2</v>
      </c>
      <c r="K5" s="32">
        <v>1</v>
      </c>
      <c r="L5" s="53">
        <v>3</v>
      </c>
      <c r="M5" s="34">
        <f>LOG(L5+1)*4/3</f>
        <v>0.80274665510394982</v>
      </c>
      <c r="N5" s="35">
        <f>(K5)*(K5)*(L5)</f>
        <v>3</v>
      </c>
      <c r="O5" s="35">
        <f>(K5+1)*(K5+1)*L5</f>
        <v>12</v>
      </c>
      <c r="P5" s="54">
        <v>5.2</v>
      </c>
      <c r="Q5" s="37">
        <f>P5*10+19</f>
        <v>71</v>
      </c>
      <c r="R5" s="38">
        <v>1.5</v>
      </c>
      <c r="S5" s="37">
        <v>5</v>
      </c>
      <c r="T5" s="31">
        <f>(S5/7)^0.5</f>
        <v>0.84515425472851657</v>
      </c>
      <c r="U5" s="31">
        <f>IF(S5=7,1,((S5+0.99)/7)^0.5)</f>
        <v>0.92504826128926143</v>
      </c>
      <c r="V5" s="39">
        <v>1820</v>
      </c>
      <c r="W5" s="40">
        <f>V5-AZ5</f>
        <v>0</v>
      </c>
      <c r="X5" s="39">
        <v>890</v>
      </c>
      <c r="Y5" s="42">
        <f>V5/X5</f>
        <v>2.0449438202247192</v>
      </c>
      <c r="Z5" s="43">
        <f>(AK5+R5+M5)*(S5/7)^0.5</f>
        <v>1.946176133122963</v>
      </c>
      <c r="AA5" s="43">
        <f>(AK5+R5+M5)*(IF(S5=7, (S5/7)^0.5, ((S5+1)/7)^0.5))</f>
        <v>2.131929137979248</v>
      </c>
      <c r="AB5" s="42">
        <f>(((AJ5+R5+M5)+(AM5+R5+M5)*2)/8)*(S5/7)^0.5</f>
        <v>1.4693260228085632</v>
      </c>
      <c r="AC5" s="42">
        <f>(1.66*(AN5+M5+R5)+0.55*(AO5+M5+R5)-7.6)*(S5/7)^0.5</f>
        <v>-1.1924534015336088</v>
      </c>
      <c r="AD5" s="42">
        <f>((AO5+M5+R5)*0.7+(AN5+M5+R5)*0.3)*(S5/7)^0.5</f>
        <v>3.1293920897428857</v>
      </c>
      <c r="AE5" s="42">
        <f>(0.5*(AN5+R5+M5)+ 0.3*(AO5+R5+M5))/10</f>
        <v>0.24421973240831596</v>
      </c>
      <c r="AF5" s="42">
        <f>(0.4*(AJ5+R5+M5)+0.3*(AO5+R5+M5))/10</f>
        <v>0.34119226585727647</v>
      </c>
      <c r="AG5" s="44">
        <f>(AO5+R5+(LOG(L5)*4/3))*(S5/7)^0.5</f>
        <v>3.4956946361467827</v>
      </c>
      <c r="AH5" s="44">
        <f>(AO5+R5+(LOG(L5)*4/3))*(IF(S5=7, (S5/7)^0.5, ((S5+1)/7)^0.5))</f>
        <v>3.8293416127348134</v>
      </c>
      <c r="AI5" s="45">
        <v>5</v>
      </c>
      <c r="AJ5" s="34">
        <v>3</v>
      </c>
      <c r="AK5" s="45">
        <v>0</v>
      </c>
      <c r="AL5" s="34">
        <v>0</v>
      </c>
      <c r="AM5" s="45">
        <v>2</v>
      </c>
      <c r="AN5" s="34">
        <v>0</v>
      </c>
      <c r="AO5" s="45">
        <v>2</v>
      </c>
      <c r="AP5" s="46">
        <v>187</v>
      </c>
      <c r="AQ5" s="46">
        <v>310</v>
      </c>
      <c r="AR5" s="47">
        <v>5.5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8.5</v>
      </c>
      <c r="AZ5" s="39">
        <v>1820</v>
      </c>
      <c r="BA5" s="49" t="s">
        <v>56</v>
      </c>
    </row>
    <row r="6" spans="1:53" x14ac:dyDescent="0.25">
      <c r="A6" s="24" t="s">
        <v>57</v>
      </c>
      <c r="B6" s="24" t="s">
        <v>58</v>
      </c>
      <c r="C6" s="26">
        <f t="shared" ca="1" si="0"/>
        <v>14.75</v>
      </c>
      <c r="D6" s="230" t="s">
        <v>59</v>
      </c>
      <c r="E6" s="50">
        <v>21</v>
      </c>
      <c r="F6" s="51">
        <f ca="1">$D$1-43615</f>
        <v>28</v>
      </c>
      <c r="G6" s="29" t="s">
        <v>60</v>
      </c>
      <c r="H6" s="37">
        <v>3</v>
      </c>
      <c r="I6" s="37">
        <v>4</v>
      </c>
      <c r="J6" s="31">
        <f t="shared" si="1"/>
        <v>0.1158</v>
      </c>
      <c r="K6" s="52">
        <v>6</v>
      </c>
      <c r="L6" s="53">
        <v>2</v>
      </c>
      <c r="M6" s="34">
        <f t="shared" si="2"/>
        <v>0.63616167295954995</v>
      </c>
      <c r="N6" s="35">
        <f t="shared" si="3"/>
        <v>72</v>
      </c>
      <c r="O6" s="35">
        <f t="shared" si="4"/>
        <v>98</v>
      </c>
      <c r="P6" s="54">
        <v>6</v>
      </c>
      <c r="Q6" s="37">
        <f t="shared" si="5"/>
        <v>79</v>
      </c>
      <c r="R6" s="38">
        <v>1.5</v>
      </c>
      <c r="S6" s="37">
        <v>3</v>
      </c>
      <c r="T6" s="31">
        <f t="shared" si="6"/>
        <v>0.65465367070797709</v>
      </c>
      <c r="U6" s="31">
        <f t="shared" si="7"/>
        <v>0.75498344352707503</v>
      </c>
      <c r="V6" s="39">
        <v>1810</v>
      </c>
      <c r="W6" s="40">
        <f t="shared" si="8"/>
        <v>0</v>
      </c>
      <c r="X6" s="39">
        <v>990</v>
      </c>
      <c r="Y6" s="42">
        <f t="shared" si="9"/>
        <v>1.8282828282828283</v>
      </c>
      <c r="Z6" s="43">
        <f t="shared" si="10"/>
        <v>1.3984460804286625</v>
      </c>
      <c r="AA6" s="43">
        <f t="shared" si="11"/>
        <v>1.6147864419653308</v>
      </c>
      <c r="AB6" s="42">
        <f t="shared" si="12"/>
        <v>0.68808069783774284</v>
      </c>
      <c r="AC6" s="42">
        <f t="shared" si="13"/>
        <v>-0.44456398407573194</v>
      </c>
      <c r="AD6" s="42">
        <f t="shared" si="14"/>
        <v>3.2314763584109985</v>
      </c>
      <c r="AE6" s="42">
        <f t="shared" si="15"/>
        <v>0.29089293383676396</v>
      </c>
      <c r="AF6" s="42">
        <f t="shared" si="16"/>
        <v>0.3495313171071685</v>
      </c>
      <c r="AG6" s="44">
        <f t="shared" si="17"/>
        <v>3.8633557111000498</v>
      </c>
      <c r="AH6" s="44">
        <f t="shared" si="18"/>
        <v>4.4610189195577838</v>
      </c>
      <c r="AI6" s="45">
        <v>5</v>
      </c>
      <c r="AJ6" s="34">
        <v>2</v>
      </c>
      <c r="AK6" s="45">
        <v>0</v>
      </c>
      <c r="AL6" s="34">
        <v>0</v>
      </c>
      <c r="AM6" s="45">
        <v>0</v>
      </c>
      <c r="AN6" s="34">
        <v>0</v>
      </c>
      <c r="AO6" s="45">
        <v>4</v>
      </c>
      <c r="AP6" s="46">
        <v>143</v>
      </c>
      <c r="AQ6" s="46">
        <v>1124</v>
      </c>
      <c r="AR6" s="47">
        <v>5.5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9"/>
        <v>7.5</v>
      </c>
      <c r="AZ6" s="39">
        <v>1810</v>
      </c>
      <c r="BA6" s="49" t="s">
        <v>56</v>
      </c>
    </row>
    <row r="7" spans="1:53" x14ac:dyDescent="0.25">
      <c r="A7" s="24" t="s">
        <v>63</v>
      </c>
      <c r="B7" s="24" t="s">
        <v>58</v>
      </c>
      <c r="C7" s="26">
        <f t="shared" ca="1" si="0"/>
        <v>17.794642857142858</v>
      </c>
      <c r="D7" s="230" t="s">
        <v>64</v>
      </c>
      <c r="E7" s="50">
        <v>18</v>
      </c>
      <c r="F7" s="51">
        <f ca="1">$D$1-43620</f>
        <v>23</v>
      </c>
      <c r="G7" s="29"/>
      <c r="H7" s="37">
        <v>2</v>
      </c>
      <c r="I7" s="37">
        <v>2</v>
      </c>
      <c r="J7" s="31">
        <f t="shared" si="1"/>
        <v>6.1499999999999999E-2</v>
      </c>
      <c r="K7" s="55">
        <v>3</v>
      </c>
      <c r="L7" s="53">
        <v>0.1</v>
      </c>
      <c r="M7" s="34">
        <f t="shared" si="2"/>
        <v>5.5190246877633437E-2</v>
      </c>
      <c r="N7" s="35">
        <f t="shared" si="3"/>
        <v>0.9</v>
      </c>
      <c r="O7" s="35">
        <f t="shared" si="4"/>
        <v>1.6</v>
      </c>
      <c r="P7" s="54">
        <v>4.5</v>
      </c>
      <c r="Q7" s="37">
        <f t="shared" si="5"/>
        <v>64</v>
      </c>
      <c r="R7" s="38">
        <v>1.5</v>
      </c>
      <c r="S7" s="37">
        <v>5</v>
      </c>
      <c r="T7" s="31">
        <f t="shared" si="6"/>
        <v>0.84515425472851657</v>
      </c>
      <c r="U7" s="31">
        <f t="shared" si="7"/>
        <v>0.92504826128926143</v>
      </c>
      <c r="V7" s="39">
        <v>170</v>
      </c>
      <c r="W7" s="40">
        <f t="shared" si="8"/>
        <v>0</v>
      </c>
      <c r="X7" s="39">
        <v>390</v>
      </c>
      <c r="Y7" s="42">
        <f t="shared" si="9"/>
        <v>0.4358974358974359</v>
      </c>
      <c r="Z7" s="43">
        <f t="shared" si="10"/>
        <v>1.3143756540609242</v>
      </c>
      <c r="AA7" s="43">
        <f t="shared" si="11"/>
        <v>1.4398263895295496</v>
      </c>
      <c r="AB7" s="42">
        <f t="shared" si="12"/>
        <v>0.70417943395497562</v>
      </c>
      <c r="AC7" s="42">
        <f t="shared" si="13"/>
        <v>-3.0535673003613995</v>
      </c>
      <c r="AD7" s="42">
        <f t="shared" si="14"/>
        <v>1.9059836323708859</v>
      </c>
      <c r="AE7" s="42">
        <f t="shared" si="15"/>
        <v>0.15441521975021066</v>
      </c>
      <c r="AF7" s="42">
        <f t="shared" si="16"/>
        <v>0.13886331728143433</v>
      </c>
      <c r="AG7" s="44">
        <f t="shared" si="17"/>
        <v>0.98601329718326935</v>
      </c>
      <c r="AH7" s="44">
        <f t="shared" si="18"/>
        <v>1.0801234497346435</v>
      </c>
      <c r="AI7" s="45">
        <v>2</v>
      </c>
      <c r="AJ7" s="34">
        <v>0</v>
      </c>
      <c r="AK7" s="45">
        <v>0</v>
      </c>
      <c r="AL7" s="34">
        <v>0</v>
      </c>
      <c r="AM7" s="45">
        <v>1</v>
      </c>
      <c r="AN7" s="34">
        <v>0</v>
      </c>
      <c r="AO7" s="45">
        <v>1</v>
      </c>
      <c r="AP7" s="46">
        <v>53</v>
      </c>
      <c r="AQ7" s="46">
        <v>1435</v>
      </c>
      <c r="AR7" s="47">
        <v>0</v>
      </c>
      <c r="AS7" s="47">
        <v>-4</v>
      </c>
      <c r="AT7" s="47">
        <v>0</v>
      </c>
      <c r="AU7" s="47">
        <v>0</v>
      </c>
      <c r="AV7" s="47">
        <v>0</v>
      </c>
      <c r="AW7" s="47">
        <v>0</v>
      </c>
      <c r="AX7" s="47">
        <v>-1</v>
      </c>
      <c r="AY7" s="48">
        <f t="shared" si="19"/>
        <v>-5</v>
      </c>
      <c r="AZ7" s="39">
        <v>170</v>
      </c>
      <c r="BA7" s="49">
        <v>43637</v>
      </c>
    </row>
    <row r="8" spans="1:53" x14ac:dyDescent="0.25">
      <c r="A8" s="24" t="s">
        <v>65</v>
      </c>
      <c r="B8" s="25" t="s">
        <v>66</v>
      </c>
      <c r="C8" s="26">
        <f t="shared" ca="1" si="0"/>
        <v>3.9553571428571428</v>
      </c>
      <c r="D8" s="230" t="s">
        <v>67</v>
      </c>
      <c r="E8" s="27">
        <v>32</v>
      </c>
      <c r="F8" s="28">
        <f ca="1">$D$1-43526-112</f>
        <v>5</v>
      </c>
      <c r="G8" s="56"/>
      <c r="H8" s="30">
        <v>0</v>
      </c>
      <c r="I8" s="30">
        <v>2</v>
      </c>
      <c r="J8" s="31">
        <f t="shared" si="1"/>
        <v>2.63E-2</v>
      </c>
      <c r="K8" s="32">
        <v>3</v>
      </c>
      <c r="L8" s="33">
        <v>4</v>
      </c>
      <c r="M8" s="34">
        <f t="shared" si="2"/>
        <v>0.93196000578135851</v>
      </c>
      <c r="N8" s="35">
        <f t="shared" si="3"/>
        <v>36</v>
      </c>
      <c r="O8" s="35">
        <f t="shared" si="4"/>
        <v>64</v>
      </c>
      <c r="P8" s="36">
        <v>5</v>
      </c>
      <c r="Q8" s="37">
        <f t="shared" si="5"/>
        <v>69</v>
      </c>
      <c r="R8" s="38">
        <v>1.5</v>
      </c>
      <c r="S8" s="30">
        <v>3</v>
      </c>
      <c r="T8" s="31">
        <f t="shared" si="6"/>
        <v>0.65465367070797709</v>
      </c>
      <c r="U8" s="31">
        <f t="shared" si="7"/>
        <v>0.75498344352707503</v>
      </c>
      <c r="V8" s="39">
        <v>460</v>
      </c>
      <c r="W8" s="40">
        <f t="shared" si="8"/>
        <v>-170</v>
      </c>
      <c r="X8" s="41">
        <v>310</v>
      </c>
      <c r="Y8" s="42">
        <f t="shared" si="9"/>
        <v>1.4838709677419355</v>
      </c>
      <c r="Z8" s="43">
        <f t="shared" si="10"/>
        <v>4.2107062276316682</v>
      </c>
      <c r="AA8" s="43">
        <f t="shared" si="11"/>
        <v>4.8621047480031541</v>
      </c>
      <c r="AB8" s="42">
        <f t="shared" si="12"/>
        <v>1.6608465442003726</v>
      </c>
      <c r="AC8" s="42">
        <f t="shared" si="13"/>
        <v>2.5169021978242641</v>
      </c>
      <c r="AD8" s="42">
        <f t="shared" si="14"/>
        <v>4.2761715947024657</v>
      </c>
      <c r="AE8" s="42">
        <f t="shared" si="15"/>
        <v>0.44455680046250867</v>
      </c>
      <c r="AF8" s="42">
        <f t="shared" si="16"/>
        <v>0.52023720040469512</v>
      </c>
      <c r="AG8" s="44">
        <f t="shared" si="17"/>
        <v>4.7807699040142024</v>
      </c>
      <c r="AH8" s="44">
        <f t="shared" si="18"/>
        <v>5.5203575820325224</v>
      </c>
      <c r="AI8" s="45">
        <v>1</v>
      </c>
      <c r="AJ8" s="34">
        <v>5</v>
      </c>
      <c r="AK8" s="45">
        <v>4</v>
      </c>
      <c r="AL8" s="34">
        <v>4.95</v>
      </c>
      <c r="AM8" s="45">
        <v>4</v>
      </c>
      <c r="AN8" s="34">
        <v>2</v>
      </c>
      <c r="AO8" s="45">
        <v>5</v>
      </c>
      <c r="AP8" s="46">
        <v>443</v>
      </c>
      <c r="AQ8" s="46">
        <v>-53</v>
      </c>
      <c r="AR8" s="47">
        <v>0</v>
      </c>
      <c r="AS8" s="47">
        <v>10</v>
      </c>
      <c r="AT8" s="47">
        <v>6</v>
      </c>
      <c r="AU8" s="47">
        <v>5.5</v>
      </c>
      <c r="AV8" s="47">
        <v>4</v>
      </c>
      <c r="AW8" s="47">
        <v>0</v>
      </c>
      <c r="AX8" s="47">
        <v>3</v>
      </c>
      <c r="AY8" s="48">
        <f t="shared" si="19"/>
        <v>28.5</v>
      </c>
      <c r="AZ8" s="39">
        <v>630</v>
      </c>
      <c r="BA8" s="49" t="s">
        <v>56</v>
      </c>
    </row>
    <row r="9" spans="1:53" x14ac:dyDescent="0.25">
      <c r="A9" s="57" t="s">
        <v>68</v>
      </c>
      <c r="B9" s="25" t="s">
        <v>66</v>
      </c>
      <c r="C9" s="26">
        <f t="shared" ca="1" si="0"/>
        <v>9.4107142857142865</v>
      </c>
      <c r="D9" s="211" t="s">
        <v>69</v>
      </c>
      <c r="E9" s="27">
        <v>26</v>
      </c>
      <c r="F9" s="28">
        <f ca="1">$D$1-43577</f>
        <v>66</v>
      </c>
      <c r="G9" s="56"/>
      <c r="H9" s="30">
        <v>2</v>
      </c>
      <c r="I9" s="30">
        <v>4</v>
      </c>
      <c r="J9" s="31">
        <f t="shared" si="1"/>
        <v>6.1499999999999999E-2</v>
      </c>
      <c r="K9" s="32">
        <v>3</v>
      </c>
      <c r="L9" s="33">
        <v>3</v>
      </c>
      <c r="M9" s="34">
        <f t="shared" si="2"/>
        <v>0.80274665510394982</v>
      </c>
      <c r="N9" s="35">
        <f t="shared" si="3"/>
        <v>27</v>
      </c>
      <c r="O9" s="35">
        <f t="shared" si="4"/>
        <v>48</v>
      </c>
      <c r="P9" s="36">
        <v>4.5999999999999996</v>
      </c>
      <c r="Q9" s="37">
        <f t="shared" si="5"/>
        <v>65</v>
      </c>
      <c r="R9" s="38">
        <v>1.5</v>
      </c>
      <c r="S9" s="30">
        <v>4</v>
      </c>
      <c r="T9" s="31">
        <f t="shared" si="6"/>
        <v>0.7559289460184544</v>
      </c>
      <c r="U9" s="31">
        <f t="shared" si="7"/>
        <v>0.84430867747355465</v>
      </c>
      <c r="V9" s="39">
        <v>1050</v>
      </c>
      <c r="W9" s="40">
        <f t="shared" si="8"/>
        <v>0</v>
      </c>
      <c r="X9" s="41">
        <v>390</v>
      </c>
      <c r="Y9" s="42">
        <f t="shared" si="9"/>
        <v>2.6923076923076925</v>
      </c>
      <c r="Z9" s="43">
        <f t="shared" si="10"/>
        <v>3.252570743977159</v>
      </c>
      <c r="AA9" s="43">
        <f t="shared" si="11"/>
        <v>3.6364846425799962</v>
      </c>
      <c r="AB9" s="42">
        <f t="shared" si="12"/>
        <v>1.7866607385052755</v>
      </c>
      <c r="AC9" s="42">
        <f t="shared" si="13"/>
        <v>1.0198011446789335</v>
      </c>
      <c r="AD9" s="42">
        <f t="shared" si="14"/>
        <v>4.0840925845974594</v>
      </c>
      <c r="AE9" s="42">
        <f t="shared" si="15"/>
        <v>0.35421973240831595</v>
      </c>
      <c r="AF9" s="42">
        <f t="shared" si="16"/>
        <v>0.52119226585727652</v>
      </c>
      <c r="AG9" s="44">
        <f t="shared" si="17"/>
        <v>4.6385022260391482</v>
      </c>
      <c r="AH9" s="44">
        <f t="shared" si="18"/>
        <v>5.1860031456038156</v>
      </c>
      <c r="AI9" s="45">
        <v>0</v>
      </c>
      <c r="AJ9" s="34">
        <v>6</v>
      </c>
      <c r="AK9" s="45">
        <v>2</v>
      </c>
      <c r="AL9" s="34">
        <v>5</v>
      </c>
      <c r="AM9" s="45">
        <v>3</v>
      </c>
      <c r="AN9" s="34">
        <v>1</v>
      </c>
      <c r="AO9" s="45">
        <v>4</v>
      </c>
      <c r="AP9" s="46">
        <v>375</v>
      </c>
      <c r="AQ9" s="46">
        <v>575</v>
      </c>
      <c r="AR9" s="47">
        <v>0</v>
      </c>
      <c r="AS9" s="47">
        <v>14</v>
      </c>
      <c r="AT9" s="47">
        <v>0</v>
      </c>
      <c r="AU9" s="47">
        <v>5.5</v>
      </c>
      <c r="AV9" s="47">
        <v>2</v>
      </c>
      <c r="AW9" s="47">
        <v>0</v>
      </c>
      <c r="AX9" s="47">
        <v>2</v>
      </c>
      <c r="AY9" s="48">
        <f t="shared" si="19"/>
        <v>23.5</v>
      </c>
      <c r="AZ9" s="39">
        <v>1050</v>
      </c>
      <c r="BA9" s="49" t="s">
        <v>56</v>
      </c>
    </row>
    <row r="10" spans="1:53" x14ac:dyDescent="0.25">
      <c r="A10" s="24" t="s">
        <v>70</v>
      </c>
      <c r="B10" s="24" t="s">
        <v>53</v>
      </c>
      <c r="C10" s="26">
        <f t="shared" ca="1" si="0"/>
        <v>7.3839285714285712</v>
      </c>
      <c r="D10" s="308" t="s">
        <v>71</v>
      </c>
      <c r="E10" s="50">
        <v>28</v>
      </c>
      <c r="F10" s="28">
        <f ca="1">$D$1-43574</f>
        <v>69</v>
      </c>
      <c r="G10" s="29"/>
      <c r="H10" s="37">
        <v>0</v>
      </c>
      <c r="I10" s="37">
        <v>4</v>
      </c>
      <c r="J10" s="31">
        <f t="shared" si="1"/>
        <v>2.63E-2</v>
      </c>
      <c r="K10" s="32">
        <v>5</v>
      </c>
      <c r="L10" s="53">
        <v>4</v>
      </c>
      <c r="M10" s="34">
        <f t="shared" si="2"/>
        <v>0.93196000578135851</v>
      </c>
      <c r="N10" s="35">
        <f t="shared" si="3"/>
        <v>100</v>
      </c>
      <c r="O10" s="35">
        <f t="shared" si="4"/>
        <v>144</v>
      </c>
      <c r="P10" s="54">
        <v>6.3</v>
      </c>
      <c r="Q10" s="37">
        <f t="shared" si="5"/>
        <v>82</v>
      </c>
      <c r="R10" s="38">
        <v>1.5</v>
      </c>
      <c r="S10" s="37">
        <v>6</v>
      </c>
      <c r="T10" s="31">
        <f t="shared" si="6"/>
        <v>0.92582009977255142</v>
      </c>
      <c r="U10" s="31">
        <f t="shared" si="7"/>
        <v>0.99928545900129484</v>
      </c>
      <c r="V10" s="39">
        <v>650</v>
      </c>
      <c r="W10" s="40">
        <f t="shared" si="8"/>
        <v>0</v>
      </c>
      <c r="X10" s="39">
        <v>300</v>
      </c>
      <c r="Y10" s="42">
        <f t="shared" si="9"/>
        <v>2.1666666666666665</v>
      </c>
      <c r="Z10" s="43">
        <f t="shared" si="10"/>
        <v>6.8806579540581092</v>
      </c>
      <c r="AA10" s="43">
        <f t="shared" si="11"/>
        <v>7.4319600057813586</v>
      </c>
      <c r="AB10" s="42">
        <f t="shared" si="12"/>
        <v>1.6544266329992394</v>
      </c>
      <c r="AC10" s="42">
        <f t="shared" si="13"/>
        <v>1.0041737479574835</v>
      </c>
      <c r="AD10" s="42">
        <f t="shared" si="14"/>
        <v>4.4735256946494752</v>
      </c>
      <c r="AE10" s="42">
        <f t="shared" si="15"/>
        <v>0.33455680046250869</v>
      </c>
      <c r="AF10" s="42">
        <f t="shared" si="16"/>
        <v>0.46023720040469512</v>
      </c>
      <c r="AG10" s="44">
        <f t="shared" si="17"/>
        <v>4.9093894372969018</v>
      </c>
      <c r="AH10" s="44">
        <f t="shared" si="18"/>
        <v>5.3027466551039497</v>
      </c>
      <c r="AI10" s="45">
        <v>0</v>
      </c>
      <c r="AJ10" s="34">
        <v>5</v>
      </c>
      <c r="AK10" s="45">
        <v>5</v>
      </c>
      <c r="AL10" s="34">
        <v>2</v>
      </c>
      <c r="AM10" s="45">
        <v>1</v>
      </c>
      <c r="AN10" s="34">
        <v>1</v>
      </c>
      <c r="AO10" s="45">
        <v>3</v>
      </c>
      <c r="AP10" s="46">
        <v>315</v>
      </c>
      <c r="AQ10" s="46">
        <v>241</v>
      </c>
      <c r="AR10" s="47">
        <v>0</v>
      </c>
      <c r="AS10" s="47">
        <v>10</v>
      </c>
      <c r="AT10" s="47">
        <v>9</v>
      </c>
      <c r="AU10" s="47">
        <v>0</v>
      </c>
      <c r="AV10" s="47">
        <v>0</v>
      </c>
      <c r="AW10" s="47">
        <v>0</v>
      </c>
      <c r="AX10" s="47">
        <v>1</v>
      </c>
      <c r="AY10" s="48">
        <f t="shared" si="19"/>
        <v>20</v>
      </c>
      <c r="AZ10" s="39">
        <v>650</v>
      </c>
      <c r="BA10" s="49" t="s">
        <v>56</v>
      </c>
    </row>
    <row r="11" spans="1:53" x14ac:dyDescent="0.25">
      <c r="A11" s="24" t="s">
        <v>72</v>
      </c>
      <c r="B11" s="24" t="s">
        <v>53</v>
      </c>
      <c r="C11" s="26">
        <f t="shared" ca="1" si="0"/>
        <v>5.1339285714285712</v>
      </c>
      <c r="D11" s="308" t="s">
        <v>73</v>
      </c>
      <c r="E11" s="50">
        <v>30</v>
      </c>
      <c r="F11" s="51">
        <f ca="1">$D$1-43546</f>
        <v>97</v>
      </c>
      <c r="G11" s="29"/>
      <c r="H11" s="37">
        <v>1</v>
      </c>
      <c r="I11" s="37">
        <v>2</v>
      </c>
      <c r="J11" s="31">
        <f t="shared" si="1"/>
        <v>4.9399999999999999E-2</v>
      </c>
      <c r="K11" s="32">
        <v>4</v>
      </c>
      <c r="L11" s="53">
        <v>5</v>
      </c>
      <c r="M11" s="34">
        <f t="shared" si="2"/>
        <v>1.0375350005115249</v>
      </c>
      <c r="N11" s="35">
        <f t="shared" si="3"/>
        <v>80</v>
      </c>
      <c r="O11" s="35">
        <f t="shared" si="4"/>
        <v>125</v>
      </c>
      <c r="P11" s="54">
        <v>6.2</v>
      </c>
      <c r="Q11" s="37">
        <f t="shared" si="5"/>
        <v>81</v>
      </c>
      <c r="R11" s="38">
        <v>1.5</v>
      </c>
      <c r="S11" s="37">
        <v>6</v>
      </c>
      <c r="T11" s="31">
        <f t="shared" si="6"/>
        <v>0.92582009977255142</v>
      </c>
      <c r="U11" s="31">
        <f t="shared" si="7"/>
        <v>0.99928545900129484</v>
      </c>
      <c r="V11" s="39">
        <v>350</v>
      </c>
      <c r="W11" s="40">
        <f t="shared" si="8"/>
        <v>0</v>
      </c>
      <c r="X11" s="39">
        <v>280</v>
      </c>
      <c r="Y11" s="42">
        <f t="shared" si="9"/>
        <v>1.25</v>
      </c>
      <c r="Z11" s="43">
        <f t="shared" si="10"/>
        <v>6.0525813064401275</v>
      </c>
      <c r="AA11" s="43">
        <f t="shared" si="11"/>
        <v>6.5375350005115251</v>
      </c>
      <c r="AB11" s="42">
        <f t="shared" si="12"/>
        <v>1.9225354525003409</v>
      </c>
      <c r="AC11" s="42">
        <f t="shared" si="13"/>
        <v>1.2109285762213573</v>
      </c>
      <c r="AD11" s="42">
        <f t="shared" si="14"/>
        <v>6.237745326394637</v>
      </c>
      <c r="AE11" s="42">
        <f t="shared" si="15"/>
        <v>0.38300280004092202</v>
      </c>
      <c r="AF11" s="42">
        <f t="shared" si="16"/>
        <v>0.55762745003580672</v>
      </c>
      <c r="AG11" s="44">
        <f t="shared" si="17"/>
        <v>7.8064780538306602</v>
      </c>
      <c r="AH11" s="44">
        <f t="shared" si="18"/>
        <v>8.4319600057813577</v>
      </c>
      <c r="AI11" s="45">
        <v>0</v>
      </c>
      <c r="AJ11" s="34">
        <v>5</v>
      </c>
      <c r="AK11" s="45">
        <v>4</v>
      </c>
      <c r="AL11" s="34">
        <v>3</v>
      </c>
      <c r="AM11" s="45">
        <v>2</v>
      </c>
      <c r="AN11" s="34">
        <v>0</v>
      </c>
      <c r="AO11" s="45">
        <v>6</v>
      </c>
      <c r="AP11" s="46">
        <v>324</v>
      </c>
      <c r="AQ11" s="46">
        <v>-33</v>
      </c>
      <c r="AR11" s="47">
        <v>0</v>
      </c>
      <c r="AS11" s="47">
        <v>10</v>
      </c>
      <c r="AT11" s="47">
        <v>6</v>
      </c>
      <c r="AU11" s="47">
        <v>1.5</v>
      </c>
      <c r="AV11" s="47">
        <v>0</v>
      </c>
      <c r="AW11" s="47">
        <v>0</v>
      </c>
      <c r="AX11" s="47">
        <v>4</v>
      </c>
      <c r="AY11" s="48">
        <f t="shared" si="19"/>
        <v>21.5</v>
      </c>
      <c r="AZ11" s="39">
        <v>350</v>
      </c>
      <c r="BA11" s="49" t="s">
        <v>56</v>
      </c>
    </row>
    <row r="12" spans="1:53" x14ac:dyDescent="0.25">
      <c r="A12" s="58" t="s">
        <v>74</v>
      </c>
      <c r="B12" s="25" t="s">
        <v>75</v>
      </c>
      <c r="C12" s="26">
        <f t="shared" ca="1" si="0"/>
        <v>10.821428571428571</v>
      </c>
      <c r="D12" s="211" t="s">
        <v>76</v>
      </c>
      <c r="E12" s="27">
        <v>25</v>
      </c>
      <c r="F12" s="28">
        <f ca="1">$D$1-43623</f>
        <v>20</v>
      </c>
      <c r="G12" s="56" t="s">
        <v>77</v>
      </c>
      <c r="H12" s="30">
        <v>4</v>
      </c>
      <c r="I12" s="30">
        <v>2</v>
      </c>
      <c r="J12" s="31">
        <f t="shared" si="1"/>
        <v>0.157</v>
      </c>
      <c r="K12" s="55">
        <v>5</v>
      </c>
      <c r="L12" s="33">
        <v>2</v>
      </c>
      <c r="M12" s="34">
        <f t="shared" si="2"/>
        <v>0.63616167295954995</v>
      </c>
      <c r="N12" s="35">
        <f t="shared" si="3"/>
        <v>50</v>
      </c>
      <c r="O12" s="35">
        <f t="shared" si="4"/>
        <v>72</v>
      </c>
      <c r="P12" s="36">
        <v>6</v>
      </c>
      <c r="Q12" s="37">
        <f t="shared" si="5"/>
        <v>79</v>
      </c>
      <c r="R12" s="38">
        <v>1.5</v>
      </c>
      <c r="S12" s="30">
        <v>4</v>
      </c>
      <c r="T12" s="31">
        <f t="shared" si="6"/>
        <v>0.7559289460184544</v>
      </c>
      <c r="U12" s="31">
        <f t="shared" si="7"/>
        <v>0.84430867747355465</v>
      </c>
      <c r="V12" s="41">
        <v>840</v>
      </c>
      <c r="W12" s="40">
        <f t="shared" si="8"/>
        <v>0</v>
      </c>
      <c r="X12" s="41">
        <v>330</v>
      </c>
      <c r="Y12" s="42">
        <f t="shared" si="9"/>
        <v>2.5454545454545454</v>
      </c>
      <c r="Z12" s="43">
        <f t="shared" si="10"/>
        <v>5.3944311720576028</v>
      </c>
      <c r="AA12" s="43">
        <f t="shared" si="11"/>
        <v>6.0311574003323321</v>
      </c>
      <c r="AB12" s="42">
        <f t="shared" si="12"/>
        <v>1.7394383347646807</v>
      </c>
      <c r="AC12" s="42">
        <f t="shared" si="13"/>
        <v>2.4121067493351451</v>
      </c>
      <c r="AD12" s="42">
        <f t="shared" si="14"/>
        <v>4.7140951206409936</v>
      </c>
      <c r="AE12" s="42">
        <f t="shared" si="15"/>
        <v>0.42089293383676391</v>
      </c>
      <c r="AF12" s="42">
        <f t="shared" si="16"/>
        <v>0.45953131710716849</v>
      </c>
      <c r="AG12" s="44">
        <f t="shared" si="17"/>
        <v>5.2169478655762385</v>
      </c>
      <c r="AH12" s="44">
        <f t="shared" si="18"/>
        <v>5.8327250312504519</v>
      </c>
      <c r="AI12" s="45">
        <v>1</v>
      </c>
      <c r="AJ12" s="34">
        <v>4</v>
      </c>
      <c r="AK12" s="45">
        <v>5</v>
      </c>
      <c r="AL12" s="34">
        <v>2</v>
      </c>
      <c r="AM12" s="45">
        <v>4</v>
      </c>
      <c r="AN12" s="34">
        <v>2</v>
      </c>
      <c r="AO12" s="45">
        <v>5</v>
      </c>
      <c r="AP12" s="46">
        <v>381</v>
      </c>
      <c r="AQ12" s="46">
        <v>779</v>
      </c>
      <c r="AR12" s="47">
        <v>0</v>
      </c>
      <c r="AS12" s="47">
        <v>6</v>
      </c>
      <c r="AT12" s="47">
        <v>9</v>
      </c>
      <c r="AU12" s="47">
        <v>0</v>
      </c>
      <c r="AV12" s="47">
        <v>4</v>
      </c>
      <c r="AW12" s="47">
        <v>0</v>
      </c>
      <c r="AX12" s="47">
        <v>3</v>
      </c>
      <c r="AY12" s="48">
        <f t="shared" si="19"/>
        <v>22</v>
      </c>
      <c r="AZ12" s="39">
        <v>840</v>
      </c>
      <c r="BA12" s="49" t="s">
        <v>56</v>
      </c>
    </row>
    <row r="13" spans="1:53" x14ac:dyDescent="0.25">
      <c r="A13" s="24" t="s">
        <v>78</v>
      </c>
      <c r="B13" s="24" t="s">
        <v>75</v>
      </c>
      <c r="C13" s="26">
        <f t="shared" ca="1" si="0"/>
        <v>14.160714285714286</v>
      </c>
      <c r="D13" s="230" t="s">
        <v>79</v>
      </c>
      <c r="E13" s="50">
        <v>21</v>
      </c>
      <c r="F13" s="28">
        <f ca="1">$D$1-43549</f>
        <v>94</v>
      </c>
      <c r="G13" s="29"/>
      <c r="H13" s="37">
        <v>2</v>
      </c>
      <c r="I13" s="37">
        <v>1</v>
      </c>
      <c r="J13" s="31">
        <f t="shared" si="1"/>
        <v>6.1499999999999999E-2</v>
      </c>
      <c r="K13" s="32">
        <v>2</v>
      </c>
      <c r="L13" s="53">
        <v>2</v>
      </c>
      <c r="M13" s="34">
        <f t="shared" si="2"/>
        <v>0.63616167295954995</v>
      </c>
      <c r="N13" s="35">
        <f t="shared" si="3"/>
        <v>8</v>
      </c>
      <c r="O13" s="35">
        <f t="shared" si="4"/>
        <v>18</v>
      </c>
      <c r="P13" s="54">
        <v>5</v>
      </c>
      <c r="Q13" s="37">
        <f t="shared" si="5"/>
        <v>69</v>
      </c>
      <c r="R13" s="38">
        <v>1.5</v>
      </c>
      <c r="S13" s="37">
        <v>6</v>
      </c>
      <c r="T13" s="31">
        <f t="shared" si="6"/>
        <v>0.92582009977255142</v>
      </c>
      <c r="U13" s="31">
        <f t="shared" si="7"/>
        <v>0.99928545900129484</v>
      </c>
      <c r="V13" s="39">
        <v>780</v>
      </c>
      <c r="W13" s="40">
        <f t="shared" si="8"/>
        <v>0</v>
      </c>
      <c r="X13" s="39">
        <v>310</v>
      </c>
      <c r="Y13" s="42">
        <f t="shared" si="9"/>
        <v>2.5161290322580645</v>
      </c>
      <c r="Z13" s="43">
        <f t="shared" si="10"/>
        <v>6.6068019120524681</v>
      </c>
      <c r="AA13" s="43">
        <f t="shared" si="11"/>
        <v>7.1361616729595498</v>
      </c>
      <c r="AB13" s="42">
        <f t="shared" si="12"/>
        <v>1.898913154661831</v>
      </c>
      <c r="AC13" s="42">
        <f t="shared" si="13"/>
        <v>0.90815294999991869</v>
      </c>
      <c r="AD13" s="42">
        <f t="shared" si="14"/>
        <v>4.8477437224846209</v>
      </c>
      <c r="AE13" s="42">
        <f t="shared" si="15"/>
        <v>0.340892933836764</v>
      </c>
      <c r="AF13" s="42">
        <f t="shared" si="16"/>
        <v>0.42953131710716852</v>
      </c>
      <c r="AG13" s="44">
        <f t="shared" si="17"/>
        <v>5.4636100429092433</v>
      </c>
      <c r="AH13" s="44">
        <f t="shared" si="18"/>
        <v>5.9013733275519753</v>
      </c>
      <c r="AI13" s="45">
        <v>0</v>
      </c>
      <c r="AJ13" s="34">
        <v>4</v>
      </c>
      <c r="AK13" s="45">
        <v>5</v>
      </c>
      <c r="AL13" s="34">
        <v>3</v>
      </c>
      <c r="AM13" s="45">
        <v>3</v>
      </c>
      <c r="AN13" s="34">
        <v>1</v>
      </c>
      <c r="AO13" s="45">
        <v>4</v>
      </c>
      <c r="AP13" s="46">
        <v>338</v>
      </c>
      <c r="AQ13" s="46">
        <v>1229</v>
      </c>
      <c r="AR13" s="47">
        <v>0</v>
      </c>
      <c r="AS13" s="47">
        <v>6</v>
      </c>
      <c r="AT13" s="47">
        <v>9</v>
      </c>
      <c r="AU13" s="47">
        <v>1.5</v>
      </c>
      <c r="AV13" s="47">
        <v>2</v>
      </c>
      <c r="AW13" s="47">
        <v>0</v>
      </c>
      <c r="AX13" s="47">
        <v>2</v>
      </c>
      <c r="AY13" s="48">
        <f t="shared" si="19"/>
        <v>20.5</v>
      </c>
      <c r="AZ13" s="39">
        <v>780</v>
      </c>
      <c r="BA13" s="49" t="s">
        <v>56</v>
      </c>
    </row>
    <row r="14" spans="1:53" x14ac:dyDescent="0.25">
      <c r="A14" s="24" t="s">
        <v>80</v>
      </c>
      <c r="B14" s="24" t="s">
        <v>75</v>
      </c>
      <c r="C14" s="26">
        <f t="shared" ca="1" si="0"/>
        <v>16.473214285714285</v>
      </c>
      <c r="D14" s="230" t="s">
        <v>81</v>
      </c>
      <c r="E14" s="50">
        <v>19</v>
      </c>
      <c r="F14" s="28">
        <f ca="1">$D$1-43584</f>
        <v>59</v>
      </c>
      <c r="G14" s="29"/>
      <c r="H14" s="37">
        <v>0</v>
      </c>
      <c r="I14" s="37">
        <v>4</v>
      </c>
      <c r="J14" s="31">
        <f t="shared" si="1"/>
        <v>2.63E-2</v>
      </c>
      <c r="K14" s="32">
        <v>2</v>
      </c>
      <c r="L14" s="53">
        <v>1</v>
      </c>
      <c r="M14" s="34">
        <f t="shared" si="2"/>
        <v>0.40137332755197491</v>
      </c>
      <c r="N14" s="35">
        <f t="shared" si="3"/>
        <v>4</v>
      </c>
      <c r="O14" s="35">
        <f t="shared" si="4"/>
        <v>9</v>
      </c>
      <c r="P14" s="54">
        <v>5</v>
      </c>
      <c r="Q14" s="37">
        <f t="shared" si="5"/>
        <v>69</v>
      </c>
      <c r="R14" s="38">
        <v>1.5</v>
      </c>
      <c r="S14" s="37">
        <v>5</v>
      </c>
      <c r="T14" s="31">
        <f t="shared" si="6"/>
        <v>0.84515425472851657</v>
      </c>
      <c r="U14" s="31">
        <f t="shared" si="7"/>
        <v>0.92504826128926143</v>
      </c>
      <c r="V14" s="39">
        <v>960</v>
      </c>
      <c r="W14" s="40">
        <f t="shared" si="8"/>
        <v>0</v>
      </c>
      <c r="X14" s="39">
        <v>330</v>
      </c>
      <c r="Y14" s="42">
        <f t="shared" si="9"/>
        <v>2.9090909090909092</v>
      </c>
      <c r="Z14" s="43">
        <f t="shared" si="10"/>
        <v>5.8327250312504519</v>
      </c>
      <c r="AA14" s="43">
        <f t="shared" si="11"/>
        <v>6.3894301426817952</v>
      </c>
      <c r="AB14" s="42">
        <f t="shared" si="12"/>
        <v>1.9759833230367903</v>
      </c>
      <c r="AC14" s="42">
        <f t="shared" si="13"/>
        <v>2.2582817945787612</v>
      </c>
      <c r="AD14" s="42">
        <f t="shared" si="14"/>
        <v>5.0720862019947868</v>
      </c>
      <c r="AE14" s="42">
        <f t="shared" si="15"/>
        <v>0.40210986620415801</v>
      </c>
      <c r="AF14" s="42">
        <f t="shared" si="16"/>
        <v>0.40309613292863827</v>
      </c>
      <c r="AG14" s="44">
        <f t="shared" si="17"/>
        <v>5.4935026557353579</v>
      </c>
      <c r="AH14" s="44">
        <f t="shared" si="18"/>
        <v>6.017830648521584</v>
      </c>
      <c r="AI14" s="45">
        <v>0</v>
      </c>
      <c r="AJ14" s="34">
        <v>3</v>
      </c>
      <c r="AK14" s="45">
        <v>5</v>
      </c>
      <c r="AL14" s="34">
        <v>1</v>
      </c>
      <c r="AM14" s="45">
        <v>5</v>
      </c>
      <c r="AN14" s="34">
        <v>2</v>
      </c>
      <c r="AO14" s="45">
        <v>5</v>
      </c>
      <c r="AP14" s="46">
        <v>354</v>
      </c>
      <c r="AQ14" s="46">
        <v>1602</v>
      </c>
      <c r="AR14" s="47">
        <v>0</v>
      </c>
      <c r="AS14" s="47">
        <v>3</v>
      </c>
      <c r="AT14" s="47">
        <v>9</v>
      </c>
      <c r="AU14" s="47">
        <v>0</v>
      </c>
      <c r="AV14" s="47">
        <v>7</v>
      </c>
      <c r="AW14" s="47">
        <v>0</v>
      </c>
      <c r="AX14" s="47">
        <v>3</v>
      </c>
      <c r="AY14" s="48">
        <f t="shared" si="19"/>
        <v>22</v>
      </c>
      <c r="AZ14" s="39">
        <v>960</v>
      </c>
      <c r="BA14" s="49" t="s">
        <v>56</v>
      </c>
    </row>
    <row r="15" spans="1:53" x14ac:dyDescent="0.25">
      <c r="A15" s="24" t="s">
        <v>82</v>
      </c>
      <c r="B15" s="24" t="s">
        <v>75</v>
      </c>
      <c r="C15" s="26">
        <f t="shared" ca="1" si="0"/>
        <v>12.919642857142858</v>
      </c>
      <c r="D15" s="230" t="s">
        <v>83</v>
      </c>
      <c r="E15" s="50">
        <v>23</v>
      </c>
      <c r="F15" s="28">
        <f ca="1">$D$1-43634</f>
        <v>9</v>
      </c>
      <c r="G15" s="29"/>
      <c r="H15" s="37">
        <v>3</v>
      </c>
      <c r="I15" s="37">
        <v>4</v>
      </c>
      <c r="J15" s="31">
        <f t="shared" si="1"/>
        <v>0.1158</v>
      </c>
      <c r="K15" s="32">
        <v>5</v>
      </c>
      <c r="L15" s="53">
        <v>2</v>
      </c>
      <c r="M15" s="34">
        <f t="shared" si="2"/>
        <v>0.63616167295954995</v>
      </c>
      <c r="N15" s="35">
        <f t="shared" si="3"/>
        <v>50</v>
      </c>
      <c r="O15" s="35">
        <f t="shared" si="4"/>
        <v>72</v>
      </c>
      <c r="P15" s="54">
        <v>5.9</v>
      </c>
      <c r="Q15" s="37">
        <f t="shared" si="5"/>
        <v>78</v>
      </c>
      <c r="R15" s="38">
        <v>1.5</v>
      </c>
      <c r="S15" s="37">
        <v>4</v>
      </c>
      <c r="T15" s="31">
        <f t="shared" si="6"/>
        <v>0.7559289460184544</v>
      </c>
      <c r="U15" s="31">
        <f t="shared" si="7"/>
        <v>0.84430867747355465</v>
      </c>
      <c r="V15" s="39">
        <v>1370</v>
      </c>
      <c r="W15" s="40">
        <f t="shared" si="8"/>
        <v>0</v>
      </c>
      <c r="X15" s="39">
        <v>430</v>
      </c>
      <c r="Y15" s="42">
        <f t="shared" si="9"/>
        <v>3.1860465116279069</v>
      </c>
      <c r="Z15" s="43">
        <f t="shared" si="10"/>
        <v>6.1503601180760574</v>
      </c>
      <c r="AA15" s="43">
        <f t="shared" si="11"/>
        <v>6.8763116550608494</v>
      </c>
      <c r="AB15" s="42">
        <f t="shared" si="12"/>
        <v>1.644947216512374</v>
      </c>
      <c r="AC15" s="42">
        <f t="shared" si="13"/>
        <v>0.74150377863436168</v>
      </c>
      <c r="AD15" s="42">
        <f t="shared" si="14"/>
        <v>3.9581661746225398</v>
      </c>
      <c r="AE15" s="42">
        <f t="shared" si="15"/>
        <v>0.340892933836764</v>
      </c>
      <c r="AF15" s="42">
        <f t="shared" si="16"/>
        <v>0.46953131710716856</v>
      </c>
      <c r="AG15" s="44">
        <f t="shared" si="17"/>
        <v>4.4610189195577838</v>
      </c>
      <c r="AH15" s="44">
        <f t="shared" si="18"/>
        <v>4.9875707765219355</v>
      </c>
      <c r="AI15" s="45">
        <v>0</v>
      </c>
      <c r="AJ15" s="34">
        <v>5</v>
      </c>
      <c r="AK15" s="45">
        <v>6</v>
      </c>
      <c r="AL15" s="34">
        <v>2</v>
      </c>
      <c r="AM15" s="45">
        <v>3</v>
      </c>
      <c r="AN15" s="34">
        <v>1</v>
      </c>
      <c r="AO15" s="45">
        <v>4</v>
      </c>
      <c r="AP15" s="46">
        <v>394</v>
      </c>
      <c r="AQ15" s="46">
        <v>1098</v>
      </c>
      <c r="AR15" s="47">
        <v>0</v>
      </c>
      <c r="AS15" s="47">
        <v>10</v>
      </c>
      <c r="AT15" s="47">
        <v>12</v>
      </c>
      <c r="AU15" s="47">
        <v>0</v>
      </c>
      <c r="AV15" s="47">
        <v>2</v>
      </c>
      <c r="AW15" s="47">
        <v>0</v>
      </c>
      <c r="AX15" s="47">
        <v>2</v>
      </c>
      <c r="AY15" s="48">
        <f t="shared" si="19"/>
        <v>26</v>
      </c>
      <c r="AZ15" s="39">
        <v>1370</v>
      </c>
      <c r="BA15" s="49" t="s">
        <v>56</v>
      </c>
    </row>
    <row r="16" spans="1:53" x14ac:dyDescent="0.25">
      <c r="A16" s="24" t="s">
        <v>84</v>
      </c>
      <c r="B16" s="24" t="s">
        <v>75</v>
      </c>
      <c r="C16" s="26">
        <f t="shared" ca="1" si="0"/>
        <v>11.9375</v>
      </c>
      <c r="D16" s="230" t="s">
        <v>85</v>
      </c>
      <c r="E16" s="50">
        <v>24</v>
      </c>
      <c r="F16" s="28">
        <f ca="1">$D$1-43636</f>
        <v>7</v>
      </c>
      <c r="G16" s="29"/>
      <c r="H16" s="37">
        <v>2</v>
      </c>
      <c r="I16" s="37">
        <v>2</v>
      </c>
      <c r="J16" s="31">
        <f t="shared" si="1"/>
        <v>6.1499999999999999E-2</v>
      </c>
      <c r="K16" s="32">
        <v>3</v>
      </c>
      <c r="L16" s="53">
        <v>2</v>
      </c>
      <c r="M16" s="34">
        <f t="shared" si="2"/>
        <v>0.63616167295954995</v>
      </c>
      <c r="N16" s="35">
        <f t="shared" si="3"/>
        <v>18</v>
      </c>
      <c r="O16" s="35">
        <f t="shared" si="4"/>
        <v>32</v>
      </c>
      <c r="P16" s="54">
        <v>5.2</v>
      </c>
      <c r="Q16" s="37">
        <f t="shared" si="5"/>
        <v>71</v>
      </c>
      <c r="R16" s="38">
        <v>1.5</v>
      </c>
      <c r="S16" s="37">
        <v>4</v>
      </c>
      <c r="T16" s="31">
        <f t="shared" si="6"/>
        <v>0.7559289460184544</v>
      </c>
      <c r="U16" s="31">
        <f t="shared" si="7"/>
        <v>0.84430867747355465</v>
      </c>
      <c r="V16" s="39">
        <v>950</v>
      </c>
      <c r="W16" s="40">
        <f t="shared" si="8"/>
        <v>0</v>
      </c>
      <c r="X16" s="39">
        <v>410</v>
      </c>
      <c r="Y16" s="42">
        <f t="shared" si="9"/>
        <v>2.3170731707317072</v>
      </c>
      <c r="Z16" s="43">
        <f t="shared" si="10"/>
        <v>6.1503601180760574</v>
      </c>
      <c r="AA16" s="43">
        <f t="shared" si="11"/>
        <v>6.8763116550608494</v>
      </c>
      <c r="AB16" s="42">
        <f t="shared" si="12"/>
        <v>1.644947216512374</v>
      </c>
      <c r="AC16" s="42">
        <f t="shared" si="13"/>
        <v>3.2511878794156304</v>
      </c>
      <c r="AD16" s="42">
        <f t="shared" si="14"/>
        <v>4.4117235422336121</v>
      </c>
      <c r="AE16" s="42">
        <f t="shared" si="15"/>
        <v>0.44089293383676403</v>
      </c>
      <c r="AF16" s="42">
        <f t="shared" si="16"/>
        <v>0.38953131710716848</v>
      </c>
      <c r="AG16" s="44">
        <f t="shared" si="17"/>
        <v>4.4610189195577838</v>
      </c>
      <c r="AH16" s="44">
        <f t="shared" si="18"/>
        <v>4.9875707765219355</v>
      </c>
      <c r="AI16" s="45">
        <v>0</v>
      </c>
      <c r="AJ16" s="34">
        <v>3</v>
      </c>
      <c r="AK16" s="45">
        <v>6</v>
      </c>
      <c r="AL16" s="34">
        <v>2</v>
      </c>
      <c r="AM16" s="45">
        <v>4</v>
      </c>
      <c r="AN16" s="34">
        <v>3</v>
      </c>
      <c r="AO16" s="45">
        <v>4</v>
      </c>
      <c r="AP16" s="46">
        <v>391</v>
      </c>
      <c r="AQ16" s="46">
        <v>950</v>
      </c>
      <c r="AR16" s="47">
        <v>0</v>
      </c>
      <c r="AS16" s="47">
        <v>3</v>
      </c>
      <c r="AT16" s="47">
        <v>12</v>
      </c>
      <c r="AU16" s="47">
        <v>0</v>
      </c>
      <c r="AV16" s="47">
        <v>4</v>
      </c>
      <c r="AW16" s="47">
        <v>2</v>
      </c>
      <c r="AX16" s="47">
        <v>2</v>
      </c>
      <c r="AY16" s="48">
        <f t="shared" si="19"/>
        <v>23</v>
      </c>
      <c r="AZ16" s="39">
        <v>950</v>
      </c>
      <c r="BA16" s="49" t="s">
        <v>56</v>
      </c>
    </row>
    <row r="17" spans="1:53" x14ac:dyDescent="0.25">
      <c r="A17" s="24" t="s">
        <v>86</v>
      </c>
      <c r="B17" s="24" t="s">
        <v>90</v>
      </c>
      <c r="C17" s="26">
        <f t="shared" ca="1" si="0"/>
        <v>8.9017857142857135</v>
      </c>
      <c r="D17" s="230" t="s">
        <v>87</v>
      </c>
      <c r="E17" s="50">
        <v>27</v>
      </c>
      <c r="F17" s="28">
        <f ca="1">$D$1-43632</f>
        <v>11</v>
      </c>
      <c r="G17" s="29" t="s">
        <v>88</v>
      </c>
      <c r="H17" s="37">
        <v>3</v>
      </c>
      <c r="I17" s="37">
        <v>4</v>
      </c>
      <c r="J17" s="31">
        <f t="shared" si="1"/>
        <v>0.1158</v>
      </c>
      <c r="K17" s="32">
        <v>0</v>
      </c>
      <c r="L17" s="53">
        <v>4</v>
      </c>
      <c r="M17" s="34">
        <f t="shared" si="2"/>
        <v>0.93196000578135851</v>
      </c>
      <c r="N17" s="35">
        <f t="shared" si="3"/>
        <v>0</v>
      </c>
      <c r="O17" s="35">
        <f t="shared" si="4"/>
        <v>4</v>
      </c>
      <c r="P17" s="54">
        <v>5</v>
      </c>
      <c r="Q17" s="37">
        <f t="shared" si="5"/>
        <v>69</v>
      </c>
      <c r="R17" s="38">
        <v>1.5</v>
      </c>
      <c r="S17" s="37">
        <v>3</v>
      </c>
      <c r="T17" s="31">
        <f t="shared" si="6"/>
        <v>0.65465367070797709</v>
      </c>
      <c r="U17" s="31">
        <f t="shared" si="7"/>
        <v>0.75498344352707503</v>
      </c>
      <c r="V17" s="39">
        <v>1190</v>
      </c>
      <c r="W17" s="40">
        <f t="shared" si="8"/>
        <v>0</v>
      </c>
      <c r="X17" s="39">
        <v>330</v>
      </c>
      <c r="Y17" s="42">
        <f t="shared" si="9"/>
        <v>3.606060606060606</v>
      </c>
      <c r="Z17" s="43">
        <f t="shared" si="10"/>
        <v>4.8653598983396451</v>
      </c>
      <c r="AA17" s="43">
        <f t="shared" si="11"/>
        <v>5.6180336940216087</v>
      </c>
      <c r="AB17" s="42">
        <f t="shared" si="12"/>
        <v>1.4971831265233784</v>
      </c>
      <c r="AC17" s="42">
        <f t="shared" si="13"/>
        <v>1.4367236411561017</v>
      </c>
      <c r="AD17" s="42">
        <f t="shared" si="14"/>
        <v>2.9013988862157132</v>
      </c>
      <c r="AE17" s="42">
        <f t="shared" si="15"/>
        <v>0.3545568004625087</v>
      </c>
      <c r="AF17" s="42">
        <f t="shared" si="16"/>
        <v>0.43023720040469515</v>
      </c>
      <c r="AG17" s="44">
        <f t="shared" si="17"/>
        <v>2.8168088918902709</v>
      </c>
      <c r="AH17" s="44">
        <f t="shared" si="18"/>
        <v>3.252570743977159</v>
      </c>
      <c r="AI17" s="45">
        <v>0</v>
      </c>
      <c r="AJ17" s="34">
        <v>5</v>
      </c>
      <c r="AK17" s="45">
        <v>5</v>
      </c>
      <c r="AL17" s="34">
        <v>5</v>
      </c>
      <c r="AM17" s="45">
        <v>3</v>
      </c>
      <c r="AN17" s="34">
        <v>2</v>
      </c>
      <c r="AO17" s="45">
        <v>2</v>
      </c>
      <c r="AP17" s="46">
        <v>423</v>
      </c>
      <c r="AQ17" s="46">
        <v>552</v>
      </c>
      <c r="AR17" s="47">
        <v>0</v>
      </c>
      <c r="AS17" s="47">
        <v>10</v>
      </c>
      <c r="AT17" s="47">
        <v>9</v>
      </c>
      <c r="AU17" s="47">
        <v>5.5</v>
      </c>
      <c r="AV17" s="47">
        <v>2</v>
      </c>
      <c r="AW17" s="47">
        <v>0</v>
      </c>
      <c r="AX17" s="47">
        <v>0</v>
      </c>
      <c r="AY17" s="48">
        <f t="shared" si="19"/>
        <v>26.5</v>
      </c>
      <c r="AZ17" s="39">
        <v>1190</v>
      </c>
      <c r="BA17" s="49" t="s">
        <v>56</v>
      </c>
    </row>
    <row r="18" spans="1:53" x14ac:dyDescent="0.25">
      <c r="A18" s="24" t="s">
        <v>89</v>
      </c>
      <c r="B18" s="24" t="s">
        <v>90</v>
      </c>
      <c r="C18" s="26">
        <f t="shared" ca="1" si="0"/>
        <v>15.151785714285714</v>
      </c>
      <c r="D18" s="230" t="s">
        <v>91</v>
      </c>
      <c r="E18" s="50">
        <v>20</v>
      </c>
      <c r="F18" s="28">
        <f ca="1">$D$1-43548</f>
        <v>95</v>
      </c>
      <c r="G18" s="29"/>
      <c r="H18" s="37">
        <v>1</v>
      </c>
      <c r="I18" s="37">
        <v>1</v>
      </c>
      <c r="J18" s="31">
        <f t="shared" si="1"/>
        <v>4.9399999999999999E-2</v>
      </c>
      <c r="K18" s="32">
        <v>5</v>
      </c>
      <c r="L18" s="53">
        <v>1</v>
      </c>
      <c r="M18" s="34">
        <f t="shared" si="2"/>
        <v>0.40137332755197491</v>
      </c>
      <c r="N18" s="35">
        <f t="shared" si="3"/>
        <v>25</v>
      </c>
      <c r="O18" s="35">
        <f t="shared" si="4"/>
        <v>36</v>
      </c>
      <c r="P18" s="54">
        <v>6</v>
      </c>
      <c r="Q18" s="37">
        <f t="shared" si="5"/>
        <v>79</v>
      </c>
      <c r="R18" s="38">
        <v>1.5</v>
      </c>
      <c r="S18" s="37">
        <v>3</v>
      </c>
      <c r="T18" s="31">
        <f t="shared" si="6"/>
        <v>0.65465367070797709</v>
      </c>
      <c r="U18" s="31">
        <f t="shared" si="7"/>
        <v>0.75498344352707503</v>
      </c>
      <c r="V18" s="39">
        <v>1230</v>
      </c>
      <c r="W18" s="40">
        <f t="shared" si="8"/>
        <v>0</v>
      </c>
      <c r="X18" s="39">
        <v>330</v>
      </c>
      <c r="Y18" s="42">
        <f t="shared" si="9"/>
        <v>3.7272727272727271</v>
      </c>
      <c r="Z18" s="43">
        <f t="shared" si="10"/>
        <v>4.5180093818080271</v>
      </c>
      <c r="AA18" s="43">
        <f t="shared" si="11"/>
        <v>5.2169478655762385</v>
      </c>
      <c r="AB18" s="42">
        <f t="shared" si="12"/>
        <v>1.4487583916625186</v>
      </c>
      <c r="AC18" s="42">
        <f t="shared" si="13"/>
        <v>0.30247294402475827</v>
      </c>
      <c r="AD18" s="42">
        <f t="shared" si="14"/>
        <v>3.2741674074628704</v>
      </c>
      <c r="AE18" s="42">
        <f t="shared" si="15"/>
        <v>0.32210986620415805</v>
      </c>
      <c r="AF18" s="42">
        <f t="shared" si="16"/>
        <v>0.41309613292863823</v>
      </c>
      <c r="AG18" s="44">
        <f t="shared" si="17"/>
        <v>3.6005951888938741</v>
      </c>
      <c r="AH18" s="44">
        <f t="shared" si="18"/>
        <v>4.1576092031014991</v>
      </c>
      <c r="AI18" s="45">
        <v>0</v>
      </c>
      <c r="AJ18" s="34">
        <v>4</v>
      </c>
      <c r="AK18" s="45">
        <v>5</v>
      </c>
      <c r="AL18" s="34">
        <v>5</v>
      </c>
      <c r="AM18" s="45">
        <v>4</v>
      </c>
      <c r="AN18" s="34">
        <v>1</v>
      </c>
      <c r="AO18" s="45">
        <v>4</v>
      </c>
      <c r="AP18" s="46">
        <v>402</v>
      </c>
      <c r="AQ18" s="46">
        <v>1445</v>
      </c>
      <c r="AR18" s="47">
        <v>0</v>
      </c>
      <c r="AS18" s="47">
        <v>6</v>
      </c>
      <c r="AT18" s="47">
        <v>9</v>
      </c>
      <c r="AU18" s="47">
        <v>5.5</v>
      </c>
      <c r="AV18" s="47">
        <v>4</v>
      </c>
      <c r="AW18" s="47">
        <v>0</v>
      </c>
      <c r="AX18" s="47">
        <v>2</v>
      </c>
      <c r="AY18" s="48">
        <f t="shared" si="19"/>
        <v>26.5</v>
      </c>
      <c r="AZ18" s="39">
        <v>1230</v>
      </c>
      <c r="BA18" s="49" t="s">
        <v>56</v>
      </c>
    </row>
    <row r="19" spans="1:53" x14ac:dyDescent="0.25">
      <c r="A19" s="24" t="s">
        <v>92</v>
      </c>
      <c r="B19" s="24" t="s">
        <v>90</v>
      </c>
      <c r="C19" s="26">
        <f t="shared" ca="1" si="0"/>
        <v>13.3125</v>
      </c>
      <c r="D19" s="230" t="s">
        <v>93</v>
      </c>
      <c r="E19" s="50">
        <v>22</v>
      </c>
      <c r="F19" s="28">
        <f ca="1">$D$1-43566</f>
        <v>77</v>
      </c>
      <c r="G19" s="29"/>
      <c r="H19" s="37">
        <v>4</v>
      </c>
      <c r="I19" s="37">
        <v>0</v>
      </c>
      <c r="J19" s="31">
        <f t="shared" si="1"/>
        <v>0.20669999999999999</v>
      </c>
      <c r="K19" s="32">
        <v>1</v>
      </c>
      <c r="L19" s="53">
        <v>2</v>
      </c>
      <c r="M19" s="34">
        <f t="shared" si="2"/>
        <v>0.63616167295954995</v>
      </c>
      <c r="N19" s="35">
        <f t="shared" si="3"/>
        <v>2</v>
      </c>
      <c r="O19" s="35">
        <f t="shared" si="4"/>
        <v>8</v>
      </c>
      <c r="P19" s="54">
        <v>4.9000000000000004</v>
      </c>
      <c r="Q19" s="37">
        <f t="shared" si="5"/>
        <v>68</v>
      </c>
      <c r="R19" s="38">
        <v>1.5</v>
      </c>
      <c r="S19" s="37">
        <v>4</v>
      </c>
      <c r="T19" s="31">
        <f t="shared" si="6"/>
        <v>0.7559289460184544</v>
      </c>
      <c r="U19" s="31">
        <f t="shared" si="7"/>
        <v>0.84430867747355465</v>
      </c>
      <c r="V19" s="39">
        <v>2310</v>
      </c>
      <c r="W19" s="40">
        <f t="shared" si="8"/>
        <v>0</v>
      </c>
      <c r="X19" s="39">
        <v>370</v>
      </c>
      <c r="Y19" s="42">
        <f t="shared" si="9"/>
        <v>6.243243243243243</v>
      </c>
      <c r="Z19" s="43">
        <f t="shared" si="10"/>
        <v>5.3944311720576028</v>
      </c>
      <c r="AA19" s="43">
        <f t="shared" si="11"/>
        <v>6.0311574003323321</v>
      </c>
      <c r="AB19" s="42">
        <f t="shared" si="12"/>
        <v>1.8339294530169876</v>
      </c>
      <c r="AC19" s="42">
        <f t="shared" si="13"/>
        <v>1.996345829024996</v>
      </c>
      <c r="AD19" s="42">
        <f t="shared" si="14"/>
        <v>4.184944858428076</v>
      </c>
      <c r="AE19" s="42">
        <f t="shared" si="15"/>
        <v>0.39089293383676399</v>
      </c>
      <c r="AF19" s="42">
        <f t="shared" si="16"/>
        <v>0.38953131710716848</v>
      </c>
      <c r="AG19" s="44">
        <f t="shared" si="17"/>
        <v>4.4610189195577838</v>
      </c>
      <c r="AH19" s="44">
        <f t="shared" si="18"/>
        <v>4.9875707765219355</v>
      </c>
      <c r="AI19" s="45">
        <v>0</v>
      </c>
      <c r="AJ19" s="34">
        <v>3</v>
      </c>
      <c r="AK19" s="45">
        <v>5</v>
      </c>
      <c r="AL19" s="34">
        <v>6</v>
      </c>
      <c r="AM19" s="45">
        <v>5</v>
      </c>
      <c r="AN19" s="34">
        <v>2</v>
      </c>
      <c r="AO19" s="45">
        <v>4</v>
      </c>
      <c r="AP19" s="46">
        <v>441</v>
      </c>
      <c r="AQ19" s="46">
        <v>1204</v>
      </c>
      <c r="AR19" s="47">
        <v>0</v>
      </c>
      <c r="AS19" s="47">
        <v>3</v>
      </c>
      <c r="AT19" s="47">
        <v>9</v>
      </c>
      <c r="AU19" s="47">
        <v>8.5</v>
      </c>
      <c r="AV19" s="47">
        <v>7</v>
      </c>
      <c r="AW19" s="47">
        <v>0</v>
      </c>
      <c r="AX19" s="47">
        <v>2</v>
      </c>
      <c r="AY19" s="48">
        <f t="shared" si="19"/>
        <v>29.5</v>
      </c>
      <c r="AZ19" s="39">
        <v>2310</v>
      </c>
      <c r="BA19" s="49" t="s">
        <v>56</v>
      </c>
    </row>
    <row r="20" spans="1:53" x14ac:dyDescent="0.25">
      <c r="A20" s="24" t="s">
        <v>94</v>
      </c>
      <c r="B20" s="24" t="s">
        <v>95</v>
      </c>
      <c r="C20" s="26">
        <f t="shared" ca="1" si="0"/>
        <v>17.901785714285715</v>
      </c>
      <c r="D20" s="230" t="s">
        <v>96</v>
      </c>
      <c r="E20" s="50">
        <v>18</v>
      </c>
      <c r="F20" s="28">
        <f ca="1">$D$1-43632</f>
        <v>11</v>
      </c>
      <c r="G20" s="29"/>
      <c r="H20" s="37">
        <v>2</v>
      </c>
      <c r="I20" s="37">
        <v>1</v>
      </c>
      <c r="J20" s="31">
        <f t="shared" si="1"/>
        <v>6.1499999999999999E-2</v>
      </c>
      <c r="K20" s="32">
        <v>2</v>
      </c>
      <c r="L20" s="53">
        <v>1</v>
      </c>
      <c r="M20" s="34">
        <f t="shared" si="2"/>
        <v>0.40137332755197491</v>
      </c>
      <c r="N20" s="35">
        <f t="shared" si="3"/>
        <v>4</v>
      </c>
      <c r="O20" s="35">
        <f t="shared" si="4"/>
        <v>9</v>
      </c>
      <c r="P20" s="54">
        <v>4.9000000000000004</v>
      </c>
      <c r="Q20" s="37">
        <f t="shared" si="5"/>
        <v>68</v>
      </c>
      <c r="R20" s="38">
        <v>1.5</v>
      </c>
      <c r="S20" s="37">
        <v>4</v>
      </c>
      <c r="T20" s="31">
        <f t="shared" si="6"/>
        <v>0.7559289460184544</v>
      </c>
      <c r="U20" s="31">
        <f t="shared" si="7"/>
        <v>0.84430867747355465</v>
      </c>
      <c r="V20" s="39">
        <v>1260</v>
      </c>
      <c r="W20" s="40">
        <f t="shared" si="8"/>
        <v>0</v>
      </c>
      <c r="X20" s="39">
        <v>410</v>
      </c>
      <c r="Y20" s="42">
        <f t="shared" si="9"/>
        <v>3.0731707317073171</v>
      </c>
      <c r="Z20" s="43">
        <f t="shared" si="10"/>
        <v>3.7050899735393292</v>
      </c>
      <c r="AA20" s="43">
        <f t="shared" si="11"/>
        <v>4.142416521793419</v>
      </c>
      <c r="AB20" s="42">
        <f t="shared" si="12"/>
        <v>1.2004265035726349</v>
      </c>
      <c r="AC20" s="42">
        <f t="shared" si="13"/>
        <v>7.0392368435738684</v>
      </c>
      <c r="AD20" s="42">
        <f t="shared" si="14"/>
        <v>5.4437265493817746</v>
      </c>
      <c r="AE20" s="42">
        <f t="shared" si="15"/>
        <v>0.60210986620415796</v>
      </c>
      <c r="AF20" s="42">
        <f t="shared" si="16"/>
        <v>0.32309613292863826</v>
      </c>
      <c r="AG20" s="44">
        <f t="shared" si="17"/>
        <v>4.9135381491199537</v>
      </c>
      <c r="AH20" s="44">
        <f t="shared" si="18"/>
        <v>5.4935026557353579</v>
      </c>
      <c r="AI20" s="45">
        <v>0</v>
      </c>
      <c r="AJ20" s="34">
        <v>1</v>
      </c>
      <c r="AK20" s="45">
        <v>3</v>
      </c>
      <c r="AL20" s="34">
        <v>5</v>
      </c>
      <c r="AM20" s="45">
        <v>3</v>
      </c>
      <c r="AN20" s="34">
        <v>6</v>
      </c>
      <c r="AO20" s="45">
        <v>5</v>
      </c>
      <c r="AP20" s="46">
        <v>386</v>
      </c>
      <c r="AQ20" s="46">
        <v>1860</v>
      </c>
      <c r="AR20" s="47">
        <v>0</v>
      </c>
      <c r="AS20" s="47">
        <v>0</v>
      </c>
      <c r="AT20" s="47">
        <v>3</v>
      </c>
      <c r="AU20" s="47">
        <v>5.5</v>
      </c>
      <c r="AV20" s="47">
        <v>2</v>
      </c>
      <c r="AW20" s="47">
        <v>12</v>
      </c>
      <c r="AX20" s="47">
        <v>3</v>
      </c>
      <c r="AY20" s="48">
        <f t="shared" si="19"/>
        <v>25.5</v>
      </c>
      <c r="AZ20" s="39">
        <v>1260</v>
      </c>
      <c r="BA20" s="49" t="s">
        <v>56</v>
      </c>
    </row>
    <row r="21" spans="1:53" x14ac:dyDescent="0.25">
      <c r="A21" s="24" t="s">
        <v>97</v>
      </c>
      <c r="B21" s="24" t="s">
        <v>95</v>
      </c>
      <c r="C21" s="26">
        <f t="shared" ca="1" si="0"/>
        <v>2.9464285714285716</v>
      </c>
      <c r="D21" s="230" t="s">
        <v>98</v>
      </c>
      <c r="E21" s="50">
        <v>33</v>
      </c>
      <c r="F21" s="28">
        <f ca="1">$D$1-43637</f>
        <v>6</v>
      </c>
      <c r="G21" s="29"/>
      <c r="H21" s="37">
        <v>0</v>
      </c>
      <c r="I21" s="37">
        <v>4</v>
      </c>
      <c r="J21" s="31">
        <f t="shared" si="1"/>
        <v>2.63E-2</v>
      </c>
      <c r="K21" s="32">
        <v>2</v>
      </c>
      <c r="L21" s="53">
        <v>5</v>
      </c>
      <c r="M21" s="34">
        <f t="shared" si="2"/>
        <v>1.0375350005115249</v>
      </c>
      <c r="N21" s="35">
        <f t="shared" si="3"/>
        <v>20</v>
      </c>
      <c r="O21" s="35">
        <f t="shared" si="4"/>
        <v>45</v>
      </c>
      <c r="P21" s="54">
        <v>5.3</v>
      </c>
      <c r="Q21" s="37">
        <f t="shared" si="5"/>
        <v>72</v>
      </c>
      <c r="R21" s="38">
        <v>1.5</v>
      </c>
      <c r="S21" s="37">
        <v>5</v>
      </c>
      <c r="T21" s="31">
        <f t="shared" si="6"/>
        <v>0.84515425472851657</v>
      </c>
      <c r="U21" s="31">
        <f t="shared" si="7"/>
        <v>0.92504826128926143</v>
      </c>
      <c r="V21" s="39">
        <v>220</v>
      </c>
      <c r="W21" s="40">
        <f t="shared" si="8"/>
        <v>0</v>
      </c>
      <c r="X21" s="39">
        <v>310</v>
      </c>
      <c r="Y21" s="42">
        <f t="shared" si="9"/>
        <v>0.70967741935483875</v>
      </c>
      <c r="Z21" s="43">
        <f t="shared" si="10"/>
        <v>4.6800712663903941</v>
      </c>
      <c r="AA21" s="43">
        <f t="shared" si="11"/>
        <v>5.1267612066675756</v>
      </c>
      <c r="AB21" s="42">
        <f t="shared" si="12"/>
        <v>1.649382443055333</v>
      </c>
      <c r="AC21" s="42">
        <f t="shared" si="13"/>
        <v>8.1286533513340569</v>
      </c>
      <c r="AD21" s="42">
        <f t="shared" si="14"/>
        <v>5.4407100956460592</v>
      </c>
      <c r="AE21" s="42">
        <f t="shared" si="15"/>
        <v>0.59300280004092198</v>
      </c>
      <c r="AF21" s="42">
        <f t="shared" si="16"/>
        <v>0.34762745003580681</v>
      </c>
      <c r="AG21" s="44">
        <f t="shared" si="17"/>
        <v>4.5908441104012523</v>
      </c>
      <c r="AH21" s="44">
        <f t="shared" si="18"/>
        <v>5.0290177545130064</v>
      </c>
      <c r="AI21" s="45">
        <v>0</v>
      </c>
      <c r="AJ21" s="34">
        <v>2</v>
      </c>
      <c r="AK21" s="45">
        <v>3</v>
      </c>
      <c r="AL21" s="34">
        <v>2</v>
      </c>
      <c r="AM21" s="45">
        <v>3</v>
      </c>
      <c r="AN21" s="34">
        <v>6</v>
      </c>
      <c r="AO21" s="45">
        <v>3</v>
      </c>
      <c r="AP21" s="46">
        <v>339</v>
      </c>
      <c r="AQ21" s="46">
        <v>-275</v>
      </c>
      <c r="AR21" s="47">
        <v>0</v>
      </c>
      <c r="AS21" s="47">
        <v>0</v>
      </c>
      <c r="AT21" s="47">
        <v>3</v>
      </c>
      <c r="AU21" s="47">
        <v>0</v>
      </c>
      <c r="AV21" s="47">
        <v>2</v>
      </c>
      <c r="AW21" s="47">
        <v>12</v>
      </c>
      <c r="AX21" s="47">
        <v>1</v>
      </c>
      <c r="AY21" s="48">
        <f t="shared" si="19"/>
        <v>18</v>
      </c>
      <c r="AZ21" s="39">
        <v>220</v>
      </c>
      <c r="BA21" s="49" t="s">
        <v>56</v>
      </c>
    </row>
    <row r="22" spans="1:53" x14ac:dyDescent="0.25">
      <c r="A22" s="24" t="s">
        <v>99</v>
      </c>
      <c r="B22" s="24" t="s">
        <v>95</v>
      </c>
      <c r="C22" s="26">
        <f t="shared" ca="1" si="0"/>
        <v>10</v>
      </c>
      <c r="D22" s="230" t="s">
        <v>100</v>
      </c>
      <c r="E22" s="50">
        <v>26</v>
      </c>
      <c r="F22" s="28">
        <f ca="1">$D$1-43531-112</f>
        <v>0</v>
      </c>
      <c r="G22" s="29"/>
      <c r="H22" s="37">
        <v>3</v>
      </c>
      <c r="I22" s="37">
        <v>3</v>
      </c>
      <c r="J22" s="31">
        <f t="shared" si="1"/>
        <v>0.1158</v>
      </c>
      <c r="K22" s="32">
        <v>4</v>
      </c>
      <c r="L22" s="53">
        <v>3</v>
      </c>
      <c r="M22" s="34">
        <f t="shared" si="2"/>
        <v>0.80274665510394982</v>
      </c>
      <c r="N22" s="35">
        <f t="shared" si="3"/>
        <v>48</v>
      </c>
      <c r="O22" s="35">
        <f t="shared" si="4"/>
        <v>75</v>
      </c>
      <c r="P22" s="54">
        <v>5</v>
      </c>
      <c r="Q22" s="37">
        <f t="shared" si="5"/>
        <v>69</v>
      </c>
      <c r="R22" s="38">
        <v>1.5</v>
      </c>
      <c r="S22" s="37">
        <v>3</v>
      </c>
      <c r="T22" s="31">
        <f t="shared" si="6"/>
        <v>0.65465367070797709</v>
      </c>
      <c r="U22" s="31">
        <f t="shared" si="7"/>
        <v>0.75498344352707503</v>
      </c>
      <c r="V22" s="39">
        <v>800</v>
      </c>
      <c r="W22" s="40">
        <f t="shared" si="8"/>
        <v>0</v>
      </c>
      <c r="X22" s="39">
        <v>310</v>
      </c>
      <c r="Y22" s="42">
        <f t="shared" si="9"/>
        <v>2.5806451612903225</v>
      </c>
      <c r="Z22" s="43">
        <f t="shared" si="10"/>
        <v>3.4714625625982483</v>
      </c>
      <c r="AA22" s="43">
        <f t="shared" si="11"/>
        <v>4.0084996899956131</v>
      </c>
      <c r="AB22" s="42">
        <f t="shared" si="12"/>
        <v>1.5472935874898346</v>
      </c>
      <c r="AC22" s="42">
        <f t="shared" si="13"/>
        <v>4.5099550338225987</v>
      </c>
      <c r="AD22" s="42">
        <f t="shared" si="14"/>
        <v>3.4059971955274499</v>
      </c>
      <c r="AE22" s="42">
        <f t="shared" si="15"/>
        <v>0.49421973240831596</v>
      </c>
      <c r="AF22" s="42">
        <f t="shared" si="16"/>
        <v>0.30119226585727649</v>
      </c>
      <c r="AG22" s="44">
        <f t="shared" si="17"/>
        <v>2.7077534218446169</v>
      </c>
      <c r="AH22" s="44">
        <f t="shared" si="18"/>
        <v>3.1266443340022394</v>
      </c>
      <c r="AI22" s="45">
        <v>0</v>
      </c>
      <c r="AJ22" s="34">
        <v>2</v>
      </c>
      <c r="AK22" s="45">
        <v>3</v>
      </c>
      <c r="AL22" s="34">
        <v>2</v>
      </c>
      <c r="AM22" s="45">
        <v>5</v>
      </c>
      <c r="AN22" s="34">
        <v>5</v>
      </c>
      <c r="AO22" s="45">
        <v>2</v>
      </c>
      <c r="AP22" s="46">
        <v>351</v>
      </c>
      <c r="AQ22" s="46">
        <v>633</v>
      </c>
      <c r="AR22" s="47">
        <v>0</v>
      </c>
      <c r="AS22" s="47">
        <v>0</v>
      </c>
      <c r="AT22" s="47">
        <v>3</v>
      </c>
      <c r="AU22" s="47">
        <v>0</v>
      </c>
      <c r="AV22" s="47">
        <v>7</v>
      </c>
      <c r="AW22" s="47">
        <v>8</v>
      </c>
      <c r="AX22" s="47">
        <v>0</v>
      </c>
      <c r="AY22" s="48">
        <f t="shared" si="19"/>
        <v>18</v>
      </c>
      <c r="AZ22" s="39">
        <v>800</v>
      </c>
      <c r="BA22" s="49" t="s">
        <v>56</v>
      </c>
    </row>
    <row r="23" spans="1:53" x14ac:dyDescent="0.25">
      <c r="C23" s="59"/>
      <c r="D23" s="60"/>
      <c r="G23" s="61"/>
      <c r="L23" s="62"/>
      <c r="M23" s="62"/>
      <c r="P23" s="62"/>
      <c r="Q23" s="62"/>
      <c r="R23" s="62"/>
      <c r="S23" s="62"/>
      <c r="T23" s="62"/>
      <c r="U23" s="62"/>
      <c r="V23" s="63">
        <f>SUM(V6:V22)</f>
        <v>16400</v>
      </c>
      <c r="W23" s="63">
        <f>SUM(W6:W22)</f>
        <v>-170</v>
      </c>
      <c r="X23" s="63">
        <f>SUM(X6:X22)</f>
        <v>6530</v>
      </c>
      <c r="Y23" s="64">
        <f t="shared" si="9"/>
        <v>2.5114854517611027</v>
      </c>
      <c r="AB23" s="63"/>
      <c r="AC23" s="63"/>
      <c r="AD23" s="63"/>
      <c r="AE23" s="63"/>
      <c r="AF23" s="63"/>
      <c r="AG23" s="63"/>
      <c r="AH23" s="63"/>
      <c r="AO23" s="62"/>
      <c r="AP23" s="63"/>
      <c r="AQ23" s="63"/>
      <c r="BA23" s="62"/>
    </row>
    <row r="24" spans="1:53" x14ac:dyDescent="0.25">
      <c r="C24" s="59"/>
      <c r="D24" s="60"/>
      <c r="G24" s="62"/>
      <c r="K24" s="61"/>
      <c r="N24" s="62"/>
      <c r="P24" s="62"/>
      <c r="Q24" s="62"/>
      <c r="R24" s="62"/>
      <c r="S24" s="62"/>
      <c r="T24" s="62"/>
      <c r="U24" s="62"/>
      <c r="V24" s="65"/>
      <c r="W24" s="65"/>
      <c r="X24" s="65"/>
      <c r="Y24" s="15"/>
      <c r="AB24" s="15"/>
      <c r="AC24" s="15"/>
      <c r="AD24" s="15"/>
      <c r="AE24" s="15"/>
      <c r="AF24" s="15"/>
      <c r="AG24" s="15"/>
      <c r="AH24" s="15"/>
      <c r="AI24" s="66"/>
      <c r="AP24" s="15"/>
      <c r="AQ24" s="15"/>
      <c r="BA24" s="62"/>
    </row>
    <row r="25" spans="1:53" x14ac:dyDescent="0.25">
      <c r="C25" s="59"/>
      <c r="D25" s="60"/>
      <c r="G25" s="62"/>
      <c r="K25" s="61"/>
      <c r="L25" s="67"/>
      <c r="N25" s="62"/>
      <c r="P25" s="62"/>
      <c r="Q25" s="62"/>
      <c r="R25" s="62"/>
      <c r="S25" s="62"/>
      <c r="T25" s="62"/>
      <c r="U25" s="62"/>
      <c r="X25" s="66"/>
      <c r="Y25" s="66"/>
      <c r="AB25" s="66"/>
      <c r="AC25" s="66"/>
      <c r="AE25" s="66"/>
      <c r="AF25" s="66"/>
      <c r="AG25" s="66"/>
      <c r="AH25" s="66"/>
      <c r="AI25" s="66"/>
      <c r="AJ25" s="68"/>
      <c r="AP25" s="66"/>
      <c r="AQ25" s="66"/>
      <c r="BA25" s="62"/>
    </row>
    <row r="26" spans="1:53" x14ac:dyDescent="0.25">
      <c r="C26" s="59"/>
      <c r="D26" s="69"/>
      <c r="G26" s="62"/>
      <c r="K26" s="61"/>
      <c r="L26" s="67"/>
      <c r="N26" s="62"/>
      <c r="P26" s="62"/>
      <c r="Q26" s="62"/>
      <c r="R26" s="70"/>
      <c r="S26" s="62"/>
      <c r="T26" s="62"/>
      <c r="U26" s="62"/>
      <c r="X26" s="66"/>
      <c r="Y26" s="66"/>
      <c r="AB26" s="66"/>
      <c r="AC26" s="66"/>
      <c r="AE26" s="66"/>
      <c r="AF26" s="66"/>
      <c r="AG26" s="66"/>
      <c r="AH26" s="66"/>
      <c r="AI26" s="66"/>
      <c r="AJ26" s="68"/>
      <c r="AP26" s="71"/>
      <c r="AQ26" s="71"/>
      <c r="BA26" s="62"/>
    </row>
    <row r="27" spans="1:53" x14ac:dyDescent="0.25">
      <c r="C27" s="59"/>
      <c r="D27" s="69"/>
      <c r="G27" s="62"/>
      <c r="K27" s="61"/>
      <c r="L27" s="67"/>
      <c r="N27" s="62"/>
      <c r="P27" s="62"/>
      <c r="Q27" s="62"/>
      <c r="R27" s="70"/>
      <c r="S27" s="62"/>
      <c r="T27" s="62"/>
      <c r="U27" s="62"/>
      <c r="X27" s="72"/>
      <c r="Y27" s="66"/>
      <c r="AB27" s="66"/>
      <c r="AC27" s="66"/>
      <c r="AE27" s="66"/>
      <c r="AF27" s="66"/>
      <c r="AG27" s="66"/>
      <c r="AH27" s="66"/>
      <c r="AI27" s="66"/>
      <c r="AJ27" s="68"/>
      <c r="AP27" s="66"/>
      <c r="AQ27" s="66"/>
      <c r="BA27" s="62"/>
    </row>
    <row r="28" spans="1:53" x14ac:dyDescent="0.25">
      <c r="C28" s="59"/>
      <c r="D28" s="62"/>
      <c r="G28" s="62"/>
      <c r="K28" s="61"/>
      <c r="L28" s="67"/>
      <c r="N28" s="62"/>
      <c r="P28" s="62"/>
      <c r="Q28" s="62"/>
      <c r="R28" s="62"/>
      <c r="S28" s="62"/>
      <c r="T28" s="62"/>
      <c r="U28" s="62"/>
      <c r="X28" s="72"/>
      <c r="Y28" s="66"/>
      <c r="AB28" s="66"/>
      <c r="AC28" s="66"/>
      <c r="AE28" s="66"/>
      <c r="AF28" s="66"/>
      <c r="AG28" s="66"/>
      <c r="AH28" s="66"/>
      <c r="AI28" s="66"/>
      <c r="AJ28" s="68"/>
      <c r="AP28" s="66"/>
      <c r="AQ28" s="66"/>
      <c r="BA28" s="62"/>
    </row>
    <row r="29" spans="1:53" x14ac:dyDescent="0.25">
      <c r="C29" s="59"/>
      <c r="D29" s="60"/>
      <c r="G29" s="62"/>
      <c r="K29" s="61"/>
      <c r="L29" s="67"/>
      <c r="N29" s="62"/>
      <c r="P29" s="62"/>
      <c r="Q29" s="62"/>
      <c r="R29" s="62"/>
      <c r="S29" s="62"/>
      <c r="T29" s="62"/>
      <c r="U29" s="62"/>
      <c r="X29" s="66"/>
      <c r="Y29" s="66"/>
      <c r="AB29" s="66"/>
      <c r="AC29" s="66"/>
      <c r="AE29" s="66"/>
      <c r="AF29" s="66"/>
      <c r="AG29" s="66"/>
      <c r="AH29" s="66"/>
      <c r="AI29" s="66"/>
      <c r="AJ29" s="68"/>
      <c r="AP29" s="66"/>
      <c r="AQ29" s="66"/>
      <c r="BA29" s="62"/>
    </row>
    <row r="30" spans="1:53" x14ac:dyDescent="0.25">
      <c r="C30" s="59"/>
      <c r="D30" s="60"/>
      <c r="G30" s="62"/>
      <c r="K30" s="61"/>
      <c r="L30" s="67"/>
      <c r="N30" s="62"/>
      <c r="P30" s="62"/>
      <c r="Q30" s="62"/>
      <c r="R30" s="62"/>
      <c r="S30" s="62"/>
      <c r="T30" s="62"/>
      <c r="U30" s="62"/>
      <c r="X30" s="72"/>
      <c r="Y30" s="66"/>
      <c r="AB30" s="66"/>
      <c r="AC30" s="66"/>
      <c r="AE30" s="66"/>
      <c r="AF30" s="66"/>
      <c r="AG30" s="66"/>
      <c r="AH30" s="66"/>
      <c r="AI30" s="66"/>
      <c r="AJ30" s="68"/>
      <c r="AP30" s="66"/>
      <c r="AQ30" s="66"/>
      <c r="BA30" s="62"/>
    </row>
    <row r="31" spans="1:53" x14ac:dyDescent="0.25">
      <c r="C31" s="59"/>
      <c r="D31" s="60"/>
      <c r="G31" s="62"/>
      <c r="K31" s="61"/>
      <c r="L31" s="67"/>
      <c r="N31" s="62"/>
      <c r="P31" s="62"/>
      <c r="Q31" s="62"/>
      <c r="R31" s="62"/>
      <c r="S31" s="62"/>
      <c r="T31" s="62"/>
      <c r="U31" s="62"/>
      <c r="X31" s="66"/>
      <c r="Y31" s="66"/>
      <c r="AB31" s="66"/>
      <c r="AC31" s="66"/>
      <c r="AE31" s="66"/>
      <c r="AF31" s="66"/>
      <c r="AG31" s="66"/>
      <c r="AH31" s="66"/>
      <c r="AI31" s="66"/>
      <c r="AJ31" s="68"/>
      <c r="AP31" s="66"/>
      <c r="AQ31" s="66"/>
      <c r="BA31" s="62"/>
    </row>
  </sheetData>
  <mergeCells count="1">
    <mergeCell ref="E1:G1"/>
  </mergeCells>
  <conditionalFormatting sqref="J4:J22">
    <cfRule type="cellIs" dxfId="12" priority="17" operator="lessThan">
      <formula>0.07</formula>
    </cfRule>
    <cfRule type="cellIs" dxfId="11" priority="18" operator="greaterThan">
      <formula>0.1</formula>
    </cfRule>
  </conditionalFormatting>
  <conditionalFormatting sqref="X4:X22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Y4:Y2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V4:V2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Q4:AQ2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AA2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22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4:AC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2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4:AF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H22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O22">
    <cfRule type="cellIs" dxfId="10" priority="31" operator="greaterThan">
      <formula>10</formula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L4:L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2">
    <cfRule type="colorScale" priority="34">
      <colorScale>
        <cfvo type="min"/>
        <cfvo type="max"/>
        <color rgb="FFFCFCFF"/>
        <color rgb="FFF8696B"/>
      </colorScale>
    </cfRule>
  </conditionalFormatting>
  <conditionalFormatting sqref="AZ4:AZ2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{B07B1D77-F3C3-417C-BF10-408C2E3AB032}</x14:id>
        </ext>
      </extLst>
    </cfRule>
  </conditionalFormatting>
  <conditionalFormatting sqref="W4:W2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22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T4:U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Y4:Y22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V4:V22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AQ4:AQ22</xm:sqref>
        </x14:conditionalFormatting>
        <x14:conditionalFormatting xmlns:xm="http://schemas.microsoft.com/office/excel/2006/main">
          <x14:cfRule type="dataBar" id="{B07B1D77-F3C3-417C-BF10-408C2E3AB03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AZ4:AZ22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W4:W22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AP4:AP22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M32"/>
  <sheetViews>
    <sheetView zoomScaleNormal="100" workbookViewId="0">
      <selection activeCell="S12" sqref="S12"/>
    </sheetView>
  </sheetViews>
  <sheetFormatPr baseColWidth="10" defaultColWidth="9.140625" defaultRowHeight="15" x14ac:dyDescent="0.25"/>
  <cols>
    <col min="1" max="1" width="17.85546875" customWidth="1"/>
    <col min="2" max="2" width="5.28515625" customWidth="1"/>
    <col min="3" max="3" width="4.7109375" customWidth="1"/>
    <col min="4" max="5" width="4.5703125" customWidth="1"/>
    <col min="6" max="6" width="10.7109375" bestFit="1" customWidth="1"/>
    <col min="7" max="7" width="8" style="62" customWidth="1"/>
    <col min="8" max="8" width="5.5703125" customWidth="1"/>
    <col min="9" max="9" width="5.85546875" customWidth="1"/>
    <col min="10" max="10" width="5.42578125" customWidth="1"/>
    <col min="11" max="11" width="5.85546875" customWidth="1"/>
    <col min="12" max="12" width="4.5703125" customWidth="1"/>
    <col min="13" max="13" width="5.85546875" customWidth="1"/>
    <col min="14" max="14" width="4.140625" customWidth="1"/>
    <col min="15" max="15" width="5.85546875" customWidth="1"/>
    <col min="16" max="16" width="4.42578125" customWidth="1"/>
    <col min="17" max="17" width="5.85546875" customWidth="1"/>
    <col min="18" max="18" width="5.140625" customWidth="1"/>
    <col min="19" max="19" width="5.85546875" customWidth="1"/>
    <col min="20" max="20" width="3.28515625" customWidth="1"/>
    <col min="21" max="21" width="4" bestFit="1" customWidth="1"/>
    <col min="22" max="25" width="6.5703125" bestFit="1" customWidth="1"/>
    <col min="26" max="26" width="4.42578125" bestFit="1" customWidth="1"/>
    <col min="27" max="27" width="4.7109375" style="62" bestFit="1" customWidth="1"/>
    <col min="28" max="28" width="4.85546875" style="62" bestFit="1" customWidth="1"/>
    <col min="29" max="30" width="4" style="62" customWidth="1"/>
    <col min="31" max="31" width="4.7109375" style="62" customWidth="1"/>
    <col min="32" max="32" width="5.140625" style="62" customWidth="1"/>
    <col min="33" max="33" width="29.42578125" bestFit="1" customWidth="1"/>
    <col min="34" max="34" width="4.7109375" customWidth="1"/>
    <col min="35" max="35" width="4.85546875" customWidth="1"/>
    <col min="36" max="36" width="6.85546875" customWidth="1"/>
    <col min="37" max="37" width="4.85546875" customWidth="1"/>
    <col min="38" max="38" width="4.42578125" customWidth="1"/>
    <col min="39" max="39" width="5.140625" customWidth="1"/>
    <col min="40" max="1023" width="10.7109375" customWidth="1"/>
  </cols>
  <sheetData>
    <row r="1" spans="1:39" x14ac:dyDescent="0.25">
      <c r="A1" s="310" t="s">
        <v>171</v>
      </c>
      <c r="B1" s="310"/>
      <c r="C1" s="310"/>
      <c r="D1" s="310"/>
      <c r="E1" s="310"/>
      <c r="F1" s="119"/>
      <c r="G1" s="118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20"/>
      <c r="AH1" s="118"/>
      <c r="AI1" s="118"/>
      <c r="AJ1" s="118"/>
      <c r="AK1" s="118"/>
      <c r="AL1" s="118"/>
      <c r="AM1" s="118"/>
    </row>
    <row r="2" spans="1:39" x14ac:dyDescent="0.25">
      <c r="A2" s="121" t="s">
        <v>172</v>
      </c>
      <c r="B2" s="121"/>
      <c r="C2" s="121"/>
      <c r="D2" s="121"/>
      <c r="E2" s="121"/>
      <c r="F2" s="121"/>
      <c r="G2" s="122"/>
      <c r="H2" s="121" t="s">
        <v>173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3"/>
      <c r="AH2" s="122"/>
      <c r="AI2" s="122"/>
      <c r="AJ2" s="122"/>
      <c r="AK2" s="122"/>
      <c r="AL2" s="122"/>
      <c r="AM2" s="122"/>
    </row>
    <row r="3" spans="1:39" x14ac:dyDescent="0.25">
      <c r="A3" s="121" t="s">
        <v>3</v>
      </c>
      <c r="B3" s="121" t="s">
        <v>155</v>
      </c>
      <c r="C3" s="121" t="s">
        <v>5</v>
      </c>
      <c r="D3" s="122" t="s">
        <v>156</v>
      </c>
      <c r="E3" s="121" t="s">
        <v>157</v>
      </c>
      <c r="F3" s="121" t="s">
        <v>278</v>
      </c>
      <c r="G3" s="122" t="s">
        <v>158</v>
      </c>
      <c r="H3" s="121" t="s">
        <v>58</v>
      </c>
      <c r="I3" s="121" t="s">
        <v>41</v>
      </c>
      <c r="J3" s="125" t="s">
        <v>159</v>
      </c>
      <c r="K3" s="125" t="s">
        <v>41</v>
      </c>
      <c r="L3" s="121" t="s">
        <v>160</v>
      </c>
      <c r="M3" s="121" t="s">
        <v>41</v>
      </c>
      <c r="N3" s="125" t="s">
        <v>66</v>
      </c>
      <c r="O3" s="125" t="s">
        <v>41</v>
      </c>
      <c r="P3" s="121" t="s">
        <v>161</v>
      </c>
      <c r="Q3" s="121" t="s">
        <v>41</v>
      </c>
      <c r="R3" s="125" t="s">
        <v>162</v>
      </c>
      <c r="S3" s="125" t="s">
        <v>41</v>
      </c>
      <c r="T3" s="121" t="s">
        <v>163</v>
      </c>
      <c r="U3" s="121" t="s">
        <v>41</v>
      </c>
      <c r="V3" s="122" t="s">
        <v>279</v>
      </c>
      <c r="W3" s="122" t="s">
        <v>165</v>
      </c>
      <c r="X3" s="122" t="s">
        <v>41</v>
      </c>
      <c r="Y3" s="122" t="s">
        <v>164</v>
      </c>
      <c r="Z3" s="122" t="s">
        <v>280</v>
      </c>
      <c r="AA3" s="122" t="s">
        <v>58</v>
      </c>
      <c r="AB3" s="122" t="s">
        <v>167</v>
      </c>
      <c r="AC3" s="122" t="s">
        <v>168</v>
      </c>
      <c r="AD3" s="122" t="s">
        <v>169</v>
      </c>
      <c r="AE3" s="122" t="s">
        <v>170</v>
      </c>
      <c r="AF3" s="122" t="s">
        <v>95</v>
      </c>
      <c r="AG3" s="123" t="s">
        <v>166</v>
      </c>
      <c r="AH3" s="122" t="s">
        <v>58</v>
      </c>
      <c r="AI3" s="122" t="s">
        <v>159</v>
      </c>
      <c r="AJ3" s="122" t="s">
        <v>160</v>
      </c>
      <c r="AK3" s="122" t="s">
        <v>66</v>
      </c>
      <c r="AL3" s="122" t="s">
        <v>161</v>
      </c>
      <c r="AM3" s="122" t="s">
        <v>162</v>
      </c>
    </row>
    <row r="4" spans="1:39" x14ac:dyDescent="0.25">
      <c r="A4" s="311" t="s">
        <v>174</v>
      </c>
      <c r="B4" s="311"/>
      <c r="C4" s="311"/>
      <c r="D4" s="311"/>
      <c r="E4" s="311"/>
      <c r="F4" s="127"/>
      <c r="G4" s="126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8"/>
      <c r="AH4" s="126"/>
      <c r="AI4" s="126"/>
      <c r="AJ4" s="126"/>
      <c r="AK4" s="126"/>
      <c r="AL4" s="126"/>
      <c r="AM4" s="126"/>
    </row>
    <row r="5" spans="1:39" x14ac:dyDescent="0.25">
      <c r="A5" s="129" t="s">
        <v>172</v>
      </c>
      <c r="B5" s="129"/>
      <c r="C5" s="129"/>
      <c r="D5" s="129"/>
      <c r="E5" s="129"/>
      <c r="F5" s="129"/>
      <c r="G5" s="130"/>
      <c r="H5" s="129" t="s">
        <v>173</v>
      </c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1"/>
      <c r="AH5" s="130"/>
      <c r="AI5" s="130"/>
      <c r="AJ5" s="130"/>
      <c r="AK5" s="130"/>
      <c r="AL5" s="130"/>
      <c r="AM5" s="130"/>
    </row>
    <row r="6" spans="1:39" x14ac:dyDescent="0.25">
      <c r="A6" s="129" t="s">
        <v>3</v>
      </c>
      <c r="B6" s="129" t="s">
        <v>155</v>
      </c>
      <c r="C6" s="129" t="s">
        <v>5</v>
      </c>
      <c r="D6" s="130" t="s">
        <v>156</v>
      </c>
      <c r="E6" s="129" t="s">
        <v>157</v>
      </c>
      <c r="F6" s="129" t="str">
        <f>F3</f>
        <v>Fpromo</v>
      </c>
      <c r="G6" s="130" t="s">
        <v>158</v>
      </c>
      <c r="H6" s="129" t="s">
        <v>58</v>
      </c>
      <c r="I6" s="129" t="s">
        <v>41</v>
      </c>
      <c r="J6" s="132" t="s">
        <v>159</v>
      </c>
      <c r="K6" s="132" t="s">
        <v>41</v>
      </c>
      <c r="L6" s="129" t="s">
        <v>160</v>
      </c>
      <c r="M6" s="129" t="s">
        <v>41</v>
      </c>
      <c r="N6" s="132" t="s">
        <v>66</v>
      </c>
      <c r="O6" s="132" t="s">
        <v>41</v>
      </c>
      <c r="P6" s="129" t="s">
        <v>161</v>
      </c>
      <c r="Q6" s="129" t="s">
        <v>41</v>
      </c>
      <c r="R6" s="132" t="s">
        <v>162</v>
      </c>
      <c r="S6" s="132" t="s">
        <v>41</v>
      </c>
      <c r="T6" s="129" t="s">
        <v>163</v>
      </c>
      <c r="U6" s="129" t="s">
        <v>41</v>
      </c>
      <c r="V6" s="130" t="str">
        <f>V3</f>
        <v>U20</v>
      </c>
      <c r="W6" s="130" t="str">
        <f>W3</f>
        <v>HTMS</v>
      </c>
      <c r="X6" s="130" t="str">
        <f>X3</f>
        <v>Pot</v>
      </c>
      <c r="Y6" s="130" t="str">
        <f>Y3</f>
        <v>Cap</v>
      </c>
      <c r="Z6" s="130" t="s">
        <v>163</v>
      </c>
      <c r="AA6" s="130" t="s">
        <v>58</v>
      </c>
      <c r="AB6" s="130" t="s">
        <v>167</v>
      </c>
      <c r="AC6" s="130" t="s">
        <v>168</v>
      </c>
      <c r="AD6" s="130" t="s">
        <v>169</v>
      </c>
      <c r="AE6" s="130" t="s">
        <v>170</v>
      </c>
      <c r="AF6" s="130" t="s">
        <v>95</v>
      </c>
      <c r="AG6" s="131" t="str">
        <f>AG3</f>
        <v>Ca</v>
      </c>
      <c r="AH6" s="130" t="s">
        <v>58</v>
      </c>
      <c r="AI6" s="130" t="s">
        <v>159</v>
      </c>
      <c r="AJ6" s="130" t="s">
        <v>160</v>
      </c>
      <c r="AK6" s="130" t="s">
        <v>66</v>
      </c>
      <c r="AL6" s="130" t="s">
        <v>161</v>
      </c>
      <c r="AM6" s="130" t="s">
        <v>162</v>
      </c>
    </row>
    <row r="7" spans="1:39" x14ac:dyDescent="0.25">
      <c r="A7" s="312" t="s">
        <v>175</v>
      </c>
      <c r="B7" s="312"/>
      <c r="C7" s="312"/>
      <c r="D7" s="312"/>
      <c r="E7" s="312"/>
      <c r="F7" s="134"/>
      <c r="G7" s="133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5"/>
      <c r="AH7" s="133"/>
      <c r="AI7" s="133"/>
      <c r="AJ7" s="133"/>
      <c r="AK7" s="133"/>
      <c r="AL7" s="133"/>
      <c r="AM7" s="133"/>
    </row>
    <row r="8" spans="1:39" x14ac:dyDescent="0.25">
      <c r="A8" s="136" t="s">
        <v>172</v>
      </c>
      <c r="B8" s="136"/>
      <c r="C8" s="136"/>
      <c r="D8" s="136"/>
      <c r="E8" s="136"/>
      <c r="F8" s="136"/>
      <c r="G8" s="137"/>
      <c r="H8" s="136" t="s">
        <v>173</v>
      </c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5"/>
      <c r="AH8" s="137"/>
      <c r="AI8" s="137"/>
      <c r="AJ8" s="137"/>
      <c r="AK8" s="137"/>
      <c r="AL8" s="137"/>
      <c r="AM8" s="137"/>
    </row>
    <row r="9" spans="1:39" x14ac:dyDescent="0.25">
      <c r="A9" s="136" t="s">
        <v>3</v>
      </c>
      <c r="B9" s="136" t="s">
        <v>155</v>
      </c>
      <c r="C9" s="136" t="s">
        <v>5</v>
      </c>
      <c r="D9" s="137" t="s">
        <v>156</v>
      </c>
      <c r="E9" s="136" t="s">
        <v>157</v>
      </c>
      <c r="F9" s="136" t="str">
        <f>F6</f>
        <v>Fpromo</v>
      </c>
      <c r="G9" s="137" t="s">
        <v>158</v>
      </c>
      <c r="H9" s="136" t="s">
        <v>58</v>
      </c>
      <c r="I9" s="136" t="s">
        <v>41</v>
      </c>
      <c r="J9" s="136" t="s">
        <v>159</v>
      </c>
      <c r="K9" s="136" t="s">
        <v>41</v>
      </c>
      <c r="L9" s="136" t="s">
        <v>160</v>
      </c>
      <c r="M9" s="136" t="s">
        <v>41</v>
      </c>
      <c r="N9" s="136" t="s">
        <v>66</v>
      </c>
      <c r="O9" s="136" t="s">
        <v>41</v>
      </c>
      <c r="P9" s="136" t="s">
        <v>161</v>
      </c>
      <c r="Q9" s="136" t="s">
        <v>41</v>
      </c>
      <c r="R9" s="136" t="s">
        <v>162</v>
      </c>
      <c r="S9" s="136" t="s">
        <v>41</v>
      </c>
      <c r="T9" s="136" t="s">
        <v>163</v>
      </c>
      <c r="U9" s="136" t="s">
        <v>41</v>
      </c>
      <c r="V9" s="137" t="str">
        <f>V6</f>
        <v>U20</v>
      </c>
      <c r="W9" s="137" t="str">
        <f>W6</f>
        <v>HTMS</v>
      </c>
      <c r="X9" s="137" t="str">
        <f>X6</f>
        <v>Pot</v>
      </c>
      <c r="Y9" s="137" t="str">
        <f>Y6</f>
        <v>Cap</v>
      </c>
      <c r="Z9" s="137" t="s">
        <v>163</v>
      </c>
      <c r="AA9" s="137" t="s">
        <v>58</v>
      </c>
      <c r="AB9" s="137" t="s">
        <v>167</v>
      </c>
      <c r="AC9" s="137" t="s">
        <v>168</v>
      </c>
      <c r="AD9" s="137" t="s">
        <v>169</v>
      </c>
      <c r="AE9" s="137" t="s">
        <v>170</v>
      </c>
      <c r="AF9" s="137" t="s">
        <v>95</v>
      </c>
      <c r="AG9" s="135" t="str">
        <f>AG6</f>
        <v>Ca</v>
      </c>
      <c r="AH9" s="137" t="s">
        <v>58</v>
      </c>
      <c r="AI9" s="137" t="s">
        <v>159</v>
      </c>
      <c r="AJ9" s="137" t="s">
        <v>160</v>
      </c>
      <c r="AK9" s="137" t="s">
        <v>66</v>
      </c>
      <c r="AL9" s="137" t="s">
        <v>161</v>
      </c>
      <c r="AM9" s="137" t="s">
        <v>162</v>
      </c>
    </row>
    <row r="10" spans="1:39" ht="15.75" x14ac:dyDescent="0.25">
      <c r="A10" s="138" t="s">
        <v>176</v>
      </c>
      <c r="B10" s="139">
        <v>15</v>
      </c>
      <c r="C10" s="140">
        <f ca="1">3+$A$28-$A$30</f>
        <v>9</v>
      </c>
      <c r="D10" s="141"/>
      <c r="E10" s="212">
        <f t="shared" ref="E10:E25" ca="1" si="0">F10-TODAY()</f>
        <v>215</v>
      </c>
      <c r="F10" s="229">
        <v>43858</v>
      </c>
      <c r="G10" s="213"/>
      <c r="H10" s="142"/>
      <c r="I10" s="214"/>
      <c r="J10" s="142"/>
      <c r="K10" s="214"/>
      <c r="L10" s="142"/>
      <c r="M10" s="214"/>
      <c r="N10" s="142"/>
      <c r="O10" s="214"/>
      <c r="P10" s="142"/>
      <c r="Q10" s="218">
        <v>5.99</v>
      </c>
      <c r="R10" s="142"/>
      <c r="S10" s="214"/>
      <c r="T10" s="142"/>
      <c r="U10" s="214"/>
      <c r="V10" s="219" t="s">
        <v>177</v>
      </c>
      <c r="W10" s="222"/>
      <c r="X10" s="222">
        <f>COUNT(I10,K10,M10,O10,Q10,S10,U10)</f>
        <v>1</v>
      </c>
      <c r="Y10" s="143">
        <v>1</v>
      </c>
      <c r="Z10" s="222">
        <v>1</v>
      </c>
      <c r="AA10" s="224"/>
      <c r="AB10" s="225"/>
      <c r="AC10" s="225"/>
      <c r="AD10" s="225"/>
      <c r="AE10" s="225">
        <v>3</v>
      </c>
      <c r="AF10" s="226"/>
      <c r="AG10" s="227" t="s">
        <v>248</v>
      </c>
      <c r="AH10" s="141"/>
      <c r="AI10" s="141"/>
      <c r="AJ10" s="141"/>
      <c r="AK10" s="141"/>
      <c r="AL10" s="141"/>
      <c r="AM10" s="228"/>
    </row>
    <row r="11" spans="1:39" x14ac:dyDescent="0.25">
      <c r="A11" s="138" t="s">
        <v>178</v>
      </c>
      <c r="B11" s="146">
        <v>15</v>
      </c>
      <c r="C11" s="140">
        <f ca="1">11+$A$28-$A$30</f>
        <v>17</v>
      </c>
      <c r="D11" s="141"/>
      <c r="E11" s="212">
        <f t="shared" ca="1" si="0"/>
        <v>207</v>
      </c>
      <c r="F11" s="229">
        <v>43850</v>
      </c>
      <c r="G11" s="213"/>
      <c r="H11" s="147"/>
      <c r="I11" s="215"/>
      <c r="J11" s="147"/>
      <c r="K11" s="215"/>
      <c r="L11" s="147"/>
      <c r="M11" s="215"/>
      <c r="N11" s="147"/>
      <c r="O11" s="215"/>
      <c r="P11" s="147"/>
      <c r="Q11" s="215"/>
      <c r="R11" s="147"/>
      <c r="S11" s="215"/>
      <c r="T11" s="147"/>
      <c r="U11" s="215"/>
      <c r="V11" s="219" t="s">
        <v>179</v>
      </c>
      <c r="W11" s="222"/>
      <c r="X11" s="222">
        <f>COUNT(I11,K11,M11,O11,Q11,S11,U11)</f>
        <v>0</v>
      </c>
      <c r="Y11" s="143">
        <v>0</v>
      </c>
      <c r="Z11" s="222">
        <v>0</v>
      </c>
      <c r="AA11" s="224"/>
      <c r="AB11" s="225"/>
      <c r="AC11" s="225"/>
      <c r="AD11" s="225"/>
      <c r="AE11" s="225">
        <v>3</v>
      </c>
      <c r="AF11" s="226"/>
      <c r="AG11" s="227" t="s">
        <v>248</v>
      </c>
      <c r="AH11" s="143"/>
      <c r="AI11" s="143"/>
      <c r="AJ11" s="143"/>
      <c r="AK11" s="143"/>
      <c r="AL11" s="143"/>
      <c r="AM11" s="222"/>
    </row>
    <row r="12" spans="1:39" x14ac:dyDescent="0.25">
      <c r="A12" s="138" t="s">
        <v>180</v>
      </c>
      <c r="B12" s="146">
        <v>15</v>
      </c>
      <c r="C12" s="140">
        <f ca="1">14+$A$28-$A$30</f>
        <v>20</v>
      </c>
      <c r="D12" s="141"/>
      <c r="E12" s="212">
        <f t="shared" ca="1" si="0"/>
        <v>204</v>
      </c>
      <c r="F12" s="229">
        <v>43847</v>
      </c>
      <c r="G12" s="213"/>
      <c r="H12" s="147"/>
      <c r="I12" s="215"/>
      <c r="J12" s="147"/>
      <c r="K12" s="215"/>
      <c r="L12" s="147"/>
      <c r="M12" s="216">
        <v>2.99</v>
      </c>
      <c r="N12" s="147"/>
      <c r="O12" s="215"/>
      <c r="P12" s="147"/>
      <c r="Q12" s="215"/>
      <c r="R12" s="147"/>
      <c r="S12" s="215"/>
      <c r="T12" s="147"/>
      <c r="U12" s="215"/>
      <c r="V12" s="219" t="s">
        <v>181</v>
      </c>
      <c r="W12" s="222"/>
      <c r="X12" s="222">
        <f>COUNT(I12,K12,M12,O12,M24,S12,U12)</f>
        <v>1</v>
      </c>
      <c r="Y12" s="143">
        <v>0</v>
      </c>
      <c r="Z12" s="222">
        <v>0</v>
      </c>
      <c r="AA12" s="224"/>
      <c r="AB12" s="225"/>
      <c r="AC12" s="225"/>
      <c r="AD12" s="225"/>
      <c r="AE12" s="225">
        <v>2.5</v>
      </c>
      <c r="AF12" s="226"/>
      <c r="AG12" s="227" t="s">
        <v>248</v>
      </c>
      <c r="AH12" s="141"/>
      <c r="AI12" s="141"/>
      <c r="AJ12" s="141"/>
      <c r="AK12" s="141"/>
      <c r="AL12" s="141"/>
      <c r="AM12" s="228"/>
    </row>
    <row r="13" spans="1:39" x14ac:dyDescent="0.25">
      <c r="A13" s="138" t="s">
        <v>182</v>
      </c>
      <c r="B13" s="139">
        <v>15</v>
      </c>
      <c r="C13" s="140">
        <f ca="1">33+$A$28-$A$30</f>
        <v>39</v>
      </c>
      <c r="D13" s="149"/>
      <c r="E13" s="212">
        <f t="shared" ca="1" si="0"/>
        <v>185</v>
      </c>
      <c r="F13" s="229">
        <v>43828</v>
      </c>
      <c r="G13" s="213"/>
      <c r="H13" s="147"/>
      <c r="I13" s="215"/>
      <c r="J13" s="147"/>
      <c r="K13" s="215"/>
      <c r="L13" s="147"/>
      <c r="M13" s="215"/>
      <c r="N13" s="147"/>
      <c r="O13" s="215"/>
      <c r="P13" s="147"/>
      <c r="Q13" s="215"/>
      <c r="R13" s="147"/>
      <c r="S13" s="215"/>
      <c r="T13" s="147"/>
      <c r="U13" s="215"/>
      <c r="V13" s="220" t="s">
        <v>183</v>
      </c>
      <c r="W13" s="222"/>
      <c r="X13" s="222">
        <f t="shared" ref="X13:X23" si="1">COUNT(I13,K13,M13,O13,Q13,S13,U13)</f>
        <v>0</v>
      </c>
      <c r="Y13" s="143">
        <v>0</v>
      </c>
      <c r="Z13" s="222">
        <v>0</v>
      </c>
      <c r="AA13" s="224"/>
      <c r="AB13" s="225"/>
      <c r="AC13" s="225"/>
      <c r="AD13" s="225">
        <v>2.5</v>
      </c>
      <c r="AE13" s="225"/>
      <c r="AF13" s="226"/>
      <c r="AG13" s="227" t="s">
        <v>248</v>
      </c>
      <c r="AH13" s="141"/>
      <c r="AI13" s="141"/>
      <c r="AJ13" s="141"/>
      <c r="AK13" s="141"/>
      <c r="AL13" s="141"/>
      <c r="AM13" s="228"/>
    </row>
    <row r="14" spans="1:39" x14ac:dyDescent="0.25">
      <c r="A14" s="138" t="s">
        <v>184</v>
      </c>
      <c r="B14" s="146">
        <v>15</v>
      </c>
      <c r="C14" s="140">
        <f ca="1">51+$A$28-$A$30</f>
        <v>57</v>
      </c>
      <c r="D14" s="141"/>
      <c r="E14" s="212">
        <f t="shared" ca="1" si="0"/>
        <v>167</v>
      </c>
      <c r="F14" s="229">
        <v>43810</v>
      </c>
      <c r="G14" s="213"/>
      <c r="H14" s="147"/>
      <c r="I14" s="215"/>
      <c r="J14" s="147"/>
      <c r="K14" s="215"/>
      <c r="L14" s="147"/>
      <c r="M14" s="215"/>
      <c r="N14" s="147"/>
      <c r="O14" s="215"/>
      <c r="P14" s="147"/>
      <c r="Q14" s="215"/>
      <c r="R14" s="147"/>
      <c r="S14" s="215"/>
      <c r="T14" s="147"/>
      <c r="U14" s="215"/>
      <c r="V14" s="220" t="s">
        <v>183</v>
      </c>
      <c r="W14" s="222"/>
      <c r="X14" s="222">
        <f t="shared" si="1"/>
        <v>0</v>
      </c>
      <c r="Y14" s="143">
        <v>0</v>
      </c>
      <c r="Z14" s="222">
        <v>0</v>
      </c>
      <c r="AA14" s="224"/>
      <c r="AB14" s="225"/>
      <c r="AC14" s="225"/>
      <c r="AD14" s="225">
        <v>2.5</v>
      </c>
      <c r="AE14" s="225"/>
      <c r="AF14" s="226"/>
      <c r="AG14" s="227" t="s">
        <v>246</v>
      </c>
      <c r="AH14" s="141"/>
      <c r="AI14" s="141"/>
      <c r="AJ14" s="141"/>
      <c r="AK14" s="141"/>
      <c r="AL14" s="141"/>
      <c r="AM14" s="228"/>
    </row>
    <row r="15" spans="1:39" x14ac:dyDescent="0.25">
      <c r="A15" s="150" t="s">
        <v>185</v>
      </c>
      <c r="B15" s="146">
        <v>15</v>
      </c>
      <c r="C15" s="140">
        <f ca="1">70+$A$28-$A$30</f>
        <v>76</v>
      </c>
      <c r="D15" s="149"/>
      <c r="E15" s="212">
        <f t="shared" ca="1" si="0"/>
        <v>148</v>
      </c>
      <c r="F15" s="229">
        <v>43791</v>
      </c>
      <c r="G15" s="213"/>
      <c r="H15" s="147"/>
      <c r="I15" s="215"/>
      <c r="J15" s="147"/>
      <c r="K15" s="215"/>
      <c r="L15" s="147"/>
      <c r="M15" s="215"/>
      <c r="N15" s="147"/>
      <c r="O15" s="215"/>
      <c r="P15" s="147"/>
      <c r="Q15" s="215"/>
      <c r="R15" s="147"/>
      <c r="S15" s="215"/>
      <c r="T15" s="147"/>
      <c r="U15" s="215"/>
      <c r="V15" s="221" t="s">
        <v>186</v>
      </c>
      <c r="W15" s="222"/>
      <c r="X15" s="222">
        <f t="shared" si="1"/>
        <v>0</v>
      </c>
      <c r="Y15" s="143">
        <v>0</v>
      </c>
      <c r="Z15" s="222">
        <v>0</v>
      </c>
      <c r="AA15" s="224"/>
      <c r="AB15" s="225"/>
      <c r="AC15" s="225"/>
      <c r="AD15" s="225"/>
      <c r="AE15" s="225"/>
      <c r="AF15" s="226">
        <v>3</v>
      </c>
      <c r="AG15" s="227" t="s">
        <v>248</v>
      </c>
      <c r="AH15" s="143"/>
      <c r="AI15" s="143"/>
      <c r="AJ15" s="143"/>
      <c r="AK15" s="143"/>
      <c r="AL15" s="143"/>
      <c r="AM15" s="222"/>
    </row>
    <row r="16" spans="1:39" x14ac:dyDescent="0.25">
      <c r="A16" s="150" t="s">
        <v>187</v>
      </c>
      <c r="B16" s="146">
        <v>15</v>
      </c>
      <c r="C16" s="140">
        <f ca="1">76+$A$28-$A$30</f>
        <v>82</v>
      </c>
      <c r="D16" s="149"/>
      <c r="E16" s="212">
        <f t="shared" ca="1" si="0"/>
        <v>142</v>
      </c>
      <c r="F16" s="229">
        <v>43785</v>
      </c>
      <c r="G16" s="213"/>
      <c r="H16" s="147"/>
      <c r="I16" s="215"/>
      <c r="J16" s="147"/>
      <c r="K16" s="215"/>
      <c r="L16" s="151">
        <v>2</v>
      </c>
      <c r="M16" s="217">
        <v>2.99</v>
      </c>
      <c r="N16" s="147"/>
      <c r="O16" s="215"/>
      <c r="P16" s="147"/>
      <c r="Q16" s="215"/>
      <c r="R16" s="147"/>
      <c r="S16" s="215"/>
      <c r="T16" s="147"/>
      <c r="U16" s="215"/>
      <c r="V16" s="221" t="s">
        <v>188</v>
      </c>
      <c r="W16" s="222"/>
      <c r="X16" s="222">
        <f t="shared" si="1"/>
        <v>1</v>
      </c>
      <c r="Y16" s="143">
        <v>0</v>
      </c>
      <c r="Z16" s="222">
        <v>0</v>
      </c>
      <c r="AA16" s="224"/>
      <c r="AB16" s="225"/>
      <c r="AC16" s="225"/>
      <c r="AD16" s="225"/>
      <c r="AE16" s="225"/>
      <c r="AF16" s="226">
        <v>2</v>
      </c>
      <c r="AG16" s="227" t="s">
        <v>248</v>
      </c>
      <c r="AH16" s="143"/>
      <c r="AI16" s="143"/>
      <c r="AJ16" s="143"/>
      <c r="AK16" s="143"/>
      <c r="AL16" s="143"/>
      <c r="AM16" s="222"/>
    </row>
    <row r="17" spans="1:39" x14ac:dyDescent="0.25">
      <c r="A17" s="150" t="s">
        <v>189</v>
      </c>
      <c r="B17" s="146">
        <v>15</v>
      </c>
      <c r="C17" s="140">
        <f ca="1">96+$A$28-$A$30</f>
        <v>102</v>
      </c>
      <c r="D17" s="149"/>
      <c r="E17" s="212">
        <f t="shared" ca="1" si="0"/>
        <v>122</v>
      </c>
      <c r="F17" s="229">
        <v>43765</v>
      </c>
      <c r="G17" s="213"/>
      <c r="H17" s="147"/>
      <c r="I17" s="215"/>
      <c r="J17" s="147"/>
      <c r="K17" s="215"/>
      <c r="L17" s="147"/>
      <c r="M17" s="215"/>
      <c r="N17" s="147"/>
      <c r="O17" s="215"/>
      <c r="P17" s="147"/>
      <c r="Q17" s="215"/>
      <c r="R17" s="147"/>
      <c r="S17" s="215"/>
      <c r="T17" s="147"/>
      <c r="U17" s="215"/>
      <c r="V17" s="220" t="s">
        <v>190</v>
      </c>
      <c r="W17" s="222"/>
      <c r="X17" s="222">
        <f t="shared" si="1"/>
        <v>0</v>
      </c>
      <c r="Y17" s="143">
        <v>0</v>
      </c>
      <c r="Z17" s="222">
        <v>0</v>
      </c>
      <c r="AA17" s="224"/>
      <c r="AB17" s="225"/>
      <c r="AC17" s="225"/>
      <c r="AD17" s="225"/>
      <c r="AE17" s="225"/>
      <c r="AF17" s="226">
        <v>3</v>
      </c>
      <c r="AG17" s="227" t="s">
        <v>249</v>
      </c>
      <c r="AH17" s="143"/>
      <c r="AI17" s="143"/>
      <c r="AJ17" s="143"/>
      <c r="AK17" s="143"/>
      <c r="AL17" s="143"/>
      <c r="AM17" s="222"/>
    </row>
    <row r="18" spans="1:39" x14ac:dyDescent="0.25">
      <c r="A18" s="152" t="s">
        <v>191</v>
      </c>
      <c r="B18" s="139">
        <v>16</v>
      </c>
      <c r="C18" s="140">
        <f ca="1">-1+$A$28-$A$30</f>
        <v>5</v>
      </c>
      <c r="D18" s="145"/>
      <c r="E18" s="212">
        <f t="shared" ca="1" si="0"/>
        <v>107</v>
      </c>
      <c r="F18" s="229">
        <v>43750</v>
      </c>
      <c r="G18" s="213"/>
      <c r="H18" s="147"/>
      <c r="I18" s="215"/>
      <c r="J18" s="148">
        <v>3</v>
      </c>
      <c r="K18" s="215"/>
      <c r="L18" s="147"/>
      <c r="M18" s="215"/>
      <c r="N18" s="147"/>
      <c r="O18" s="215"/>
      <c r="P18" s="147"/>
      <c r="Q18" s="215"/>
      <c r="R18" s="147"/>
      <c r="S18" s="215"/>
      <c r="T18" s="147"/>
      <c r="U18" s="215"/>
      <c r="V18" s="221" t="s">
        <v>192</v>
      </c>
      <c r="W18" s="223"/>
      <c r="X18" s="222">
        <f t="shared" si="1"/>
        <v>0</v>
      </c>
      <c r="Y18" s="143">
        <v>0</v>
      </c>
      <c r="Z18" s="222">
        <v>0</v>
      </c>
      <c r="AA18" s="224"/>
      <c r="AB18" s="225">
        <v>2.5</v>
      </c>
      <c r="AC18" s="225"/>
      <c r="AD18" s="225"/>
      <c r="AE18" s="225"/>
      <c r="AF18" s="226"/>
      <c r="AG18" s="227" t="s">
        <v>248</v>
      </c>
      <c r="AH18" s="124"/>
      <c r="AI18" s="124"/>
      <c r="AJ18" s="124"/>
      <c r="AK18" s="124"/>
      <c r="AL18" s="124"/>
      <c r="AM18" s="223"/>
    </row>
    <row r="19" spans="1:39" x14ac:dyDescent="0.25">
      <c r="A19" s="152" t="s">
        <v>194</v>
      </c>
      <c r="B19" s="139">
        <v>16</v>
      </c>
      <c r="C19" s="140">
        <f ca="1">22+$A$28-$A$30</f>
        <v>28</v>
      </c>
      <c r="D19" s="141"/>
      <c r="E19" s="212">
        <f ca="1">F19-TODAY()</f>
        <v>107</v>
      </c>
      <c r="F19" s="229">
        <v>43750</v>
      </c>
      <c r="G19" s="213" t="s">
        <v>195</v>
      </c>
      <c r="H19" s="147"/>
      <c r="I19" s="215"/>
      <c r="J19" s="147"/>
      <c r="K19" s="216">
        <v>3.99</v>
      </c>
      <c r="L19" s="148">
        <v>1</v>
      </c>
      <c r="M19" s="215"/>
      <c r="N19" s="147"/>
      <c r="O19" s="215"/>
      <c r="P19" s="147"/>
      <c r="Q19" s="215"/>
      <c r="R19" s="147"/>
      <c r="S19" s="215"/>
      <c r="T19" s="147"/>
      <c r="U19" s="215"/>
      <c r="V19" s="220" t="s">
        <v>183</v>
      </c>
      <c r="W19" s="222"/>
      <c r="X19" s="222">
        <f>COUNT(I19,K19,M19,O19,Q19,S19,U19)</f>
        <v>1</v>
      </c>
      <c r="Y19" s="143">
        <v>0</v>
      </c>
      <c r="Z19" s="222">
        <v>0</v>
      </c>
      <c r="AA19" s="224"/>
      <c r="AB19" s="225"/>
      <c r="AC19" s="225">
        <v>2.5</v>
      </c>
      <c r="AD19" s="225"/>
      <c r="AE19" s="225"/>
      <c r="AF19" s="226"/>
      <c r="AG19" s="227" t="s">
        <v>247</v>
      </c>
      <c r="AH19" s="143"/>
      <c r="AI19" s="143"/>
      <c r="AJ19" s="143"/>
      <c r="AK19" s="143"/>
      <c r="AL19" s="143"/>
      <c r="AM19" s="222"/>
    </row>
    <row r="20" spans="1:39" x14ac:dyDescent="0.25">
      <c r="A20" s="152" t="s">
        <v>193</v>
      </c>
      <c r="B20" s="146">
        <v>16</v>
      </c>
      <c r="C20" s="140">
        <f ca="1">29+$A$28-$A$30</f>
        <v>35</v>
      </c>
      <c r="D20" s="141"/>
      <c r="E20" s="212">
        <f t="shared" ca="1" si="0"/>
        <v>106</v>
      </c>
      <c r="F20" s="229">
        <v>43749</v>
      </c>
      <c r="G20" s="213"/>
      <c r="H20" s="147"/>
      <c r="I20" s="215"/>
      <c r="J20" s="147"/>
      <c r="K20" s="215"/>
      <c r="L20" s="147"/>
      <c r="M20" s="215"/>
      <c r="N20" s="147"/>
      <c r="O20" s="215"/>
      <c r="P20" s="147"/>
      <c r="Q20" s="215"/>
      <c r="R20" s="147"/>
      <c r="S20" s="215"/>
      <c r="T20" s="147"/>
      <c r="U20" s="215"/>
      <c r="V20" s="220" t="s">
        <v>183</v>
      </c>
      <c r="W20" s="222"/>
      <c r="X20" s="222">
        <f t="shared" si="1"/>
        <v>0</v>
      </c>
      <c r="Y20" s="143">
        <v>0</v>
      </c>
      <c r="Z20" s="222">
        <v>0</v>
      </c>
      <c r="AA20" s="224">
        <v>1</v>
      </c>
      <c r="AB20" s="225"/>
      <c r="AC20" s="225"/>
      <c r="AD20" s="225"/>
      <c r="AE20" s="225"/>
      <c r="AF20" s="226"/>
      <c r="AG20" s="227" t="s">
        <v>246</v>
      </c>
      <c r="AH20" s="143"/>
      <c r="AI20" s="143"/>
      <c r="AJ20" s="143"/>
      <c r="AK20" s="143"/>
      <c r="AL20" s="143"/>
      <c r="AM20" s="222"/>
    </row>
    <row r="21" spans="1:39" x14ac:dyDescent="0.25">
      <c r="A21" s="153" t="s">
        <v>196</v>
      </c>
      <c r="B21" s="139">
        <v>16</v>
      </c>
      <c r="C21" s="140">
        <f ca="1">40+$A$28-$A$30</f>
        <v>46</v>
      </c>
      <c r="D21" s="141"/>
      <c r="E21" s="212">
        <f t="shared" ca="1" si="0"/>
        <v>106</v>
      </c>
      <c r="F21" s="229">
        <v>43749</v>
      </c>
      <c r="G21" s="213"/>
      <c r="H21" s="147"/>
      <c r="I21" s="215"/>
      <c r="J21" s="147"/>
      <c r="K21" s="215"/>
      <c r="L21" s="147"/>
      <c r="M21" s="215"/>
      <c r="N21" s="147"/>
      <c r="O21" s="215"/>
      <c r="P21" s="147"/>
      <c r="Q21" s="215"/>
      <c r="R21" s="147"/>
      <c r="S21" s="215"/>
      <c r="T21" s="147"/>
      <c r="U21" s="215"/>
      <c r="V21" s="220" t="s">
        <v>183</v>
      </c>
      <c r="W21" s="222"/>
      <c r="X21" s="222">
        <f t="shared" si="1"/>
        <v>0</v>
      </c>
      <c r="Y21" s="143">
        <v>0</v>
      </c>
      <c r="Z21" s="222">
        <v>0</v>
      </c>
      <c r="AA21" s="224">
        <v>2</v>
      </c>
      <c r="AB21" s="225"/>
      <c r="AC21" s="225"/>
      <c r="AD21" s="225"/>
      <c r="AE21" s="225"/>
      <c r="AF21" s="226"/>
      <c r="AG21" s="227" t="s">
        <v>247</v>
      </c>
      <c r="AH21" s="143"/>
      <c r="AI21" s="143"/>
      <c r="AJ21" s="143"/>
      <c r="AK21" s="143"/>
      <c r="AL21" s="143"/>
      <c r="AM21" s="222"/>
    </row>
    <row r="22" spans="1:39" x14ac:dyDescent="0.25">
      <c r="A22" s="153" t="s">
        <v>197</v>
      </c>
      <c r="B22" s="139">
        <v>16</v>
      </c>
      <c r="C22" s="140">
        <f ca="1">66+$A$28-$A$30</f>
        <v>72</v>
      </c>
      <c r="D22" s="141"/>
      <c r="E22" s="212">
        <f t="shared" ca="1" si="0"/>
        <v>106</v>
      </c>
      <c r="F22" s="229">
        <v>43749</v>
      </c>
      <c r="G22" s="213"/>
      <c r="H22" s="147"/>
      <c r="I22" s="215"/>
      <c r="J22" s="147"/>
      <c r="K22" s="215"/>
      <c r="L22" s="147"/>
      <c r="M22" s="215"/>
      <c r="N22" s="147"/>
      <c r="O22" s="215"/>
      <c r="P22" s="147"/>
      <c r="Q22" s="215"/>
      <c r="R22" s="147"/>
      <c r="S22" s="215"/>
      <c r="T22" s="147"/>
      <c r="U22" s="215"/>
      <c r="V22" s="220" t="s">
        <v>183</v>
      </c>
      <c r="W22" s="222"/>
      <c r="X22" s="222">
        <f t="shared" si="1"/>
        <v>0</v>
      </c>
      <c r="Y22" s="143">
        <v>0</v>
      </c>
      <c r="Z22" s="222">
        <v>0</v>
      </c>
      <c r="AA22" s="224"/>
      <c r="AB22" s="225"/>
      <c r="AC22" s="225"/>
      <c r="AD22" s="225"/>
      <c r="AE22" s="225">
        <v>2</v>
      </c>
      <c r="AF22" s="226"/>
      <c r="AG22" s="227" t="s">
        <v>248</v>
      </c>
      <c r="AH22" s="143"/>
      <c r="AI22" s="143"/>
      <c r="AJ22" s="143"/>
      <c r="AK22" s="143"/>
      <c r="AL22" s="143"/>
      <c r="AM22" s="222"/>
    </row>
    <row r="23" spans="1:39" x14ac:dyDescent="0.25">
      <c r="A23" s="153" t="s">
        <v>198</v>
      </c>
      <c r="B23" s="139">
        <v>16</v>
      </c>
      <c r="C23" s="140">
        <f ca="1">67+$A$28-$A$30</f>
        <v>73</v>
      </c>
      <c r="D23" s="141"/>
      <c r="E23" s="212">
        <f t="shared" ca="1" si="0"/>
        <v>106</v>
      </c>
      <c r="F23" s="229">
        <v>43749</v>
      </c>
      <c r="G23" s="213"/>
      <c r="H23" s="147"/>
      <c r="I23" s="215"/>
      <c r="J23" s="147"/>
      <c r="K23" s="215"/>
      <c r="L23" s="147"/>
      <c r="M23" s="215"/>
      <c r="N23" s="147"/>
      <c r="O23" s="215"/>
      <c r="P23" s="147"/>
      <c r="Q23" s="215"/>
      <c r="R23" s="147"/>
      <c r="S23" s="215"/>
      <c r="T23" s="147"/>
      <c r="U23" s="215"/>
      <c r="V23" s="220" t="s">
        <v>183</v>
      </c>
      <c r="W23" s="222"/>
      <c r="X23" s="222">
        <f t="shared" si="1"/>
        <v>0</v>
      </c>
      <c r="Y23" s="143">
        <v>0</v>
      </c>
      <c r="Z23" s="222">
        <v>0</v>
      </c>
      <c r="AA23" s="224"/>
      <c r="AB23" s="225"/>
      <c r="AC23" s="225"/>
      <c r="AD23" s="225"/>
      <c r="AE23" s="225"/>
      <c r="AF23" s="226"/>
      <c r="AG23" s="227" t="s">
        <v>246</v>
      </c>
      <c r="AH23" s="143"/>
      <c r="AI23" s="143"/>
      <c r="AJ23" s="143"/>
      <c r="AK23" s="143"/>
      <c r="AL23" s="143"/>
      <c r="AM23" s="222"/>
    </row>
    <row r="24" spans="1:39" x14ac:dyDescent="0.25">
      <c r="A24" s="152" t="s">
        <v>199</v>
      </c>
      <c r="B24" s="146">
        <v>16</v>
      </c>
      <c r="C24" s="140">
        <f ca="1">71+$A$28-$A$30</f>
        <v>77</v>
      </c>
      <c r="D24" s="149"/>
      <c r="E24" s="212">
        <f t="shared" ca="1" si="0"/>
        <v>106</v>
      </c>
      <c r="F24" s="229">
        <v>43749</v>
      </c>
      <c r="G24" s="213"/>
      <c r="H24" s="147"/>
      <c r="I24" s="215"/>
      <c r="J24" s="147"/>
      <c r="K24" s="215"/>
      <c r="L24" s="147"/>
      <c r="M24" s="215"/>
      <c r="N24" s="147"/>
      <c r="O24" s="215"/>
      <c r="P24" s="147"/>
      <c r="Q24" s="215"/>
      <c r="R24" s="147"/>
      <c r="S24" s="215"/>
      <c r="T24" s="147"/>
      <c r="U24" s="215"/>
      <c r="V24" s="220" t="s">
        <v>183</v>
      </c>
      <c r="W24" s="222"/>
      <c r="X24" s="222">
        <f>COUNT(I24,K24,#REF!,O24,Q24,S24,U24)</f>
        <v>0</v>
      </c>
      <c r="Y24" s="143">
        <v>0</v>
      </c>
      <c r="Z24" s="222">
        <v>0</v>
      </c>
      <c r="AA24" s="224"/>
      <c r="AB24" s="225"/>
      <c r="AC24" s="225"/>
      <c r="AD24" s="225"/>
      <c r="AE24" s="225">
        <v>3.5</v>
      </c>
      <c r="AF24" s="226"/>
      <c r="AG24" s="227" t="s">
        <v>246</v>
      </c>
      <c r="AH24" s="143"/>
      <c r="AI24" s="143"/>
      <c r="AJ24" s="143"/>
      <c r="AK24" s="143"/>
      <c r="AL24" s="143"/>
      <c r="AM24" s="222"/>
    </row>
    <row r="25" spans="1:39" x14ac:dyDescent="0.25">
      <c r="A25" s="152" t="s">
        <v>200</v>
      </c>
      <c r="B25" s="146">
        <v>16</v>
      </c>
      <c r="C25" s="140">
        <f ca="1">103+$A$28-$A$30</f>
        <v>109</v>
      </c>
      <c r="D25" s="149"/>
      <c r="E25" s="212">
        <f t="shared" ca="1" si="0"/>
        <v>106</v>
      </c>
      <c r="F25" s="229">
        <v>43749</v>
      </c>
      <c r="G25" s="213"/>
      <c r="H25" s="147"/>
      <c r="I25" s="215"/>
      <c r="J25" s="147"/>
      <c r="K25" s="215"/>
      <c r="L25" s="147"/>
      <c r="M25" s="215"/>
      <c r="N25" s="147"/>
      <c r="O25" s="215"/>
      <c r="P25" s="147"/>
      <c r="Q25" s="215"/>
      <c r="R25" s="147"/>
      <c r="S25" s="215"/>
      <c r="T25" s="147"/>
      <c r="U25" s="215"/>
      <c r="V25" s="220" t="s">
        <v>183</v>
      </c>
      <c r="W25" s="222"/>
      <c r="X25" s="222">
        <f>COUNT(I25,K25,M25,O25,Q25,S25,U25)</f>
        <v>0</v>
      </c>
      <c r="Y25" s="143">
        <v>0</v>
      </c>
      <c r="Z25" s="222">
        <v>0</v>
      </c>
      <c r="AA25" s="224"/>
      <c r="AB25" s="225"/>
      <c r="AC25" s="225"/>
      <c r="AD25" s="225"/>
      <c r="AE25" s="225"/>
      <c r="AF25" s="226"/>
      <c r="AG25" s="227" t="s">
        <v>248</v>
      </c>
      <c r="AH25" s="143"/>
      <c r="AI25" s="143"/>
      <c r="AJ25" s="143"/>
      <c r="AK25" s="143"/>
      <c r="AL25" s="143"/>
      <c r="AM25" s="222"/>
    </row>
    <row r="26" spans="1:39" x14ac:dyDescent="0.25">
      <c r="A26" s="146"/>
      <c r="B26" s="146"/>
      <c r="C26" s="154"/>
      <c r="D26" s="124"/>
      <c r="E26" s="146"/>
      <c r="F26" s="146"/>
      <c r="G26" s="124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24"/>
      <c r="W26" s="124"/>
      <c r="X26" s="124"/>
      <c r="Y26" s="124"/>
      <c r="Z26" s="124"/>
      <c r="AA26" s="124"/>
      <c r="AG26" s="144"/>
      <c r="AH26" s="124"/>
      <c r="AI26" s="124"/>
      <c r="AJ26" s="124"/>
      <c r="AK26" s="124"/>
      <c r="AL26" s="124"/>
      <c r="AM26" s="124"/>
    </row>
    <row r="27" spans="1:39" x14ac:dyDescent="0.25">
      <c r="A27" s="155" t="s">
        <v>201</v>
      </c>
      <c r="B27" s="156"/>
      <c r="C27" s="156"/>
      <c r="D27" s="156"/>
      <c r="E27" s="157"/>
      <c r="F27" s="156"/>
      <c r="G27" s="145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46"/>
      <c r="S27" s="146"/>
      <c r="T27" s="156"/>
      <c r="U27" s="156"/>
      <c r="V27" s="145"/>
      <c r="W27" s="145"/>
      <c r="X27" s="145"/>
      <c r="Y27" s="145"/>
      <c r="Z27" s="145"/>
      <c r="AA27" s="145"/>
      <c r="AG27" s="158"/>
      <c r="AH27" s="145"/>
      <c r="AI27" s="145"/>
      <c r="AJ27" s="145"/>
      <c r="AK27" s="145"/>
      <c r="AL27" s="145"/>
      <c r="AM27" s="145"/>
    </row>
    <row r="28" spans="1:39" x14ac:dyDescent="0.25">
      <c r="A28" s="159">
        <f ca="1">TODAY()</f>
        <v>43643</v>
      </c>
      <c r="B28" s="160"/>
      <c r="C28" s="156"/>
      <c r="D28" s="156"/>
      <c r="E28" s="157"/>
      <c r="F28" s="1" t="s">
        <v>202</v>
      </c>
      <c r="G28" s="8"/>
      <c r="I28" s="156"/>
      <c r="J28" s="156"/>
      <c r="K28" s="156"/>
      <c r="L28" s="156"/>
      <c r="M28" s="156"/>
      <c r="N28" s="156"/>
      <c r="O28" s="156"/>
      <c r="P28" s="156"/>
      <c r="Q28" s="156"/>
      <c r="R28" s="146"/>
      <c r="S28" s="146"/>
      <c r="T28" s="156"/>
      <c r="U28" s="156"/>
      <c r="V28" s="145"/>
      <c r="W28" s="145"/>
      <c r="X28" s="145"/>
      <c r="Y28" s="145"/>
      <c r="Z28" s="145"/>
      <c r="AA28" s="145"/>
      <c r="AG28" s="161"/>
      <c r="AH28" s="145"/>
      <c r="AI28" s="145"/>
      <c r="AJ28" s="145"/>
      <c r="AK28" s="145"/>
      <c r="AL28" s="145"/>
      <c r="AM28" s="145"/>
    </row>
    <row r="29" spans="1:39" x14ac:dyDescent="0.25">
      <c r="A29" s="162">
        <f ca="1">A30-A28</f>
        <v>-6</v>
      </c>
      <c r="B29" s="146"/>
      <c r="C29" s="146"/>
      <c r="D29" s="146"/>
      <c r="E29" s="146"/>
      <c r="F29" s="145" t="s">
        <v>203</v>
      </c>
      <c r="G29" s="145"/>
      <c r="I29" s="156"/>
      <c r="J29" s="156"/>
      <c r="K29" s="156"/>
      <c r="L29" s="156"/>
      <c r="M29" s="156"/>
      <c r="N29" s="156"/>
      <c r="O29" s="156"/>
      <c r="P29" s="156"/>
      <c r="Q29" s="156"/>
      <c r="R29" s="146"/>
      <c r="S29" s="146"/>
      <c r="T29" s="156"/>
      <c r="U29" s="156"/>
      <c r="V29" s="145"/>
      <c r="W29" s="145"/>
      <c r="X29" s="145"/>
      <c r="Y29" s="145"/>
      <c r="Z29" s="145"/>
      <c r="AA29" s="145"/>
      <c r="AG29" s="158"/>
      <c r="AH29" s="145"/>
      <c r="AI29" s="145"/>
      <c r="AJ29" s="145"/>
      <c r="AK29" s="145"/>
      <c r="AL29" s="145"/>
      <c r="AM29" s="145"/>
    </row>
    <row r="30" spans="1:39" x14ac:dyDescent="0.25">
      <c r="A30" s="163">
        <v>43637</v>
      </c>
      <c r="B30" s="164"/>
      <c r="C30" s="164"/>
      <c r="D30" s="146"/>
      <c r="E30" s="146"/>
      <c r="F30" s="156"/>
      <c r="G30" s="145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46"/>
      <c r="S30" s="146"/>
      <c r="T30" s="156"/>
      <c r="U30" s="156"/>
      <c r="V30" s="145"/>
      <c r="W30" s="145"/>
      <c r="X30" s="145"/>
      <c r="Y30" s="145"/>
      <c r="Z30" s="145"/>
      <c r="AA30" s="145"/>
      <c r="AG30" s="158"/>
      <c r="AH30" s="145"/>
      <c r="AI30" s="145"/>
      <c r="AJ30" s="145"/>
      <c r="AK30" s="145"/>
      <c r="AL30" s="145"/>
      <c r="AM30" s="145"/>
    </row>
    <row r="31" spans="1:39" x14ac:dyDescent="0.25">
      <c r="A31" s="146"/>
      <c r="B31" s="146"/>
      <c r="C31" s="146"/>
      <c r="D31" s="146"/>
      <c r="E31" s="146"/>
      <c r="F31" s="165" t="s">
        <v>163</v>
      </c>
      <c r="G31" s="145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46"/>
      <c r="S31" s="146"/>
      <c r="T31" s="156"/>
      <c r="U31" s="156"/>
      <c r="V31" s="145"/>
      <c r="W31" s="145"/>
      <c r="X31" s="145"/>
      <c r="Y31" s="145"/>
      <c r="Z31" s="145"/>
      <c r="AA31" s="145"/>
      <c r="AG31" s="158"/>
      <c r="AH31" s="145"/>
      <c r="AI31" s="145"/>
      <c r="AJ31" s="145"/>
      <c r="AK31" s="145"/>
      <c r="AL31" s="145"/>
      <c r="AM31" s="145"/>
    </row>
    <row r="32" spans="1:39" x14ac:dyDescent="0.25">
      <c r="F32" s="145" t="s">
        <v>203</v>
      </c>
    </row>
  </sheetData>
  <mergeCells count="3">
    <mergeCell ref="A1:E1"/>
    <mergeCell ref="A4:E4"/>
    <mergeCell ref="A7:E7"/>
  </mergeCells>
  <conditionalFormatting sqref="X10:X18 X20:X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F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25">
    <cfRule type="cellIs" dxfId="9" priority="1" operator="lessThan">
      <formula>15</formula>
    </cfRule>
    <cfRule type="cellIs" dxfId="8" priority="2" operator="between">
      <formula>15</formula>
      <formula>50</formula>
    </cfRule>
    <cfRule type="cellIs" dxfId="7" priority="3" operator="greaterThan">
      <formula>50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G79"/>
  <sheetViews>
    <sheetView zoomScale="90" zoomScaleNormal="90" workbookViewId="0">
      <selection activeCell="F11" sqref="F11"/>
    </sheetView>
  </sheetViews>
  <sheetFormatPr baseColWidth="10" defaultColWidth="9.140625" defaultRowHeight="15" x14ac:dyDescent="0.25"/>
  <cols>
    <col min="1" max="1" width="22.5703125" customWidth="1"/>
    <col min="2" max="2" width="23.42578125" customWidth="1"/>
    <col min="3" max="3" width="18" customWidth="1"/>
    <col min="4" max="4" width="15.7109375" customWidth="1"/>
    <col min="5" max="5" width="16.5703125" bestFit="1" customWidth="1"/>
    <col min="6" max="8" width="15.7109375" customWidth="1"/>
    <col min="9" max="19" width="16.5703125" customWidth="1"/>
    <col min="20" max="20" width="14.28515625" bestFit="1" customWidth="1"/>
    <col min="21" max="21" width="16.5703125" customWidth="1"/>
    <col min="22" max="22" width="10.7109375" customWidth="1"/>
    <col min="23" max="23" width="15.42578125" customWidth="1"/>
    <col min="24" max="24" width="9.7109375" customWidth="1"/>
    <col min="25" max="25" width="10.7109375" customWidth="1"/>
    <col min="26" max="26" width="14.7109375" bestFit="1" customWidth="1"/>
    <col min="27" max="27" width="16.7109375" bestFit="1" customWidth="1"/>
    <col min="28" max="28" width="6.5703125" bestFit="1" customWidth="1"/>
    <col min="29" max="29" width="15.28515625" bestFit="1" customWidth="1"/>
    <col min="30" max="30" width="16.7109375" bestFit="1" customWidth="1"/>
    <col min="31" max="31" width="8.42578125" bestFit="1" customWidth="1"/>
    <col min="32" max="1020" width="10.7109375" customWidth="1"/>
  </cols>
  <sheetData>
    <row r="1" spans="1:33" ht="23.25" x14ac:dyDescent="0.35">
      <c r="A1" s="73" t="s">
        <v>101</v>
      </c>
      <c r="B1" s="74"/>
      <c r="C1" s="74"/>
      <c r="D1" s="62"/>
      <c r="F1" s="75"/>
      <c r="AA1" s="232"/>
      <c r="AB1" s="232"/>
      <c r="AD1" s="232"/>
      <c r="AE1" s="232"/>
    </row>
    <row r="2" spans="1:33" ht="21" x14ac:dyDescent="0.35">
      <c r="A2" s="76"/>
      <c r="B2" s="77"/>
      <c r="C2" s="77"/>
      <c r="D2" s="78">
        <v>43637</v>
      </c>
      <c r="E2" s="305">
        <f>D2+7</f>
        <v>43644</v>
      </c>
      <c r="F2" s="78">
        <f t="shared" ref="F2:U2" si="0">E2+7</f>
        <v>43651</v>
      </c>
      <c r="G2" s="78">
        <f t="shared" si="0"/>
        <v>43658</v>
      </c>
      <c r="H2" s="78">
        <f t="shared" si="0"/>
        <v>43665</v>
      </c>
      <c r="I2" s="78">
        <f t="shared" si="0"/>
        <v>43672</v>
      </c>
      <c r="J2" s="78">
        <f t="shared" si="0"/>
        <v>43679</v>
      </c>
      <c r="K2" s="78">
        <f t="shared" si="0"/>
        <v>43686</v>
      </c>
      <c r="L2" s="78">
        <f t="shared" si="0"/>
        <v>43693</v>
      </c>
      <c r="M2" s="78">
        <f t="shared" si="0"/>
        <v>43700</v>
      </c>
      <c r="N2" s="78">
        <f t="shared" si="0"/>
        <v>43707</v>
      </c>
      <c r="O2" s="78">
        <f t="shared" si="0"/>
        <v>43714</v>
      </c>
      <c r="P2" s="78">
        <f t="shared" si="0"/>
        <v>43721</v>
      </c>
      <c r="Q2" s="78">
        <f t="shared" si="0"/>
        <v>43728</v>
      </c>
      <c r="R2" s="78">
        <f t="shared" si="0"/>
        <v>43735</v>
      </c>
      <c r="S2" s="78">
        <f t="shared" si="0"/>
        <v>43742</v>
      </c>
      <c r="T2" s="78">
        <f t="shared" si="0"/>
        <v>43749</v>
      </c>
      <c r="U2" s="78">
        <f t="shared" si="0"/>
        <v>43756</v>
      </c>
      <c r="V2" s="79"/>
      <c r="W2" s="76"/>
      <c r="X2" s="76"/>
      <c r="Y2" s="76"/>
      <c r="Z2" s="317" t="s">
        <v>276</v>
      </c>
      <c r="AA2" s="318"/>
      <c r="AB2" s="318"/>
      <c r="AC2" s="318"/>
      <c r="AD2" s="318"/>
      <c r="AE2" s="319"/>
      <c r="AG2" s="76"/>
    </row>
    <row r="3" spans="1:33" x14ac:dyDescent="0.25">
      <c r="A3" s="80"/>
      <c r="B3" s="80"/>
      <c r="C3" s="80" t="s">
        <v>102</v>
      </c>
      <c r="D3" s="81" t="s">
        <v>103</v>
      </c>
      <c r="E3" s="306" t="s">
        <v>104</v>
      </c>
      <c r="F3" s="81" t="s">
        <v>105</v>
      </c>
      <c r="G3" s="81" t="s">
        <v>106</v>
      </c>
      <c r="H3" s="81" t="s">
        <v>107</v>
      </c>
      <c r="I3" s="81" t="s">
        <v>108</v>
      </c>
      <c r="J3" s="81" t="s">
        <v>109</v>
      </c>
      <c r="K3" s="81" t="s">
        <v>110</v>
      </c>
      <c r="L3" s="81" t="s">
        <v>111</v>
      </c>
      <c r="M3" s="81" t="s">
        <v>112</v>
      </c>
      <c r="N3" s="81" t="s">
        <v>113</v>
      </c>
      <c r="O3" s="81" t="s">
        <v>114</v>
      </c>
      <c r="P3" s="81" t="s">
        <v>115</v>
      </c>
      <c r="Q3" s="81" t="s">
        <v>116</v>
      </c>
      <c r="R3" s="81" t="s">
        <v>117</v>
      </c>
      <c r="S3" s="81" t="s">
        <v>118</v>
      </c>
      <c r="T3" s="81" t="s">
        <v>103</v>
      </c>
      <c r="U3" s="81" t="s">
        <v>104</v>
      </c>
      <c r="V3" s="7"/>
      <c r="W3" s="7"/>
      <c r="X3" s="7"/>
      <c r="Y3" s="7"/>
      <c r="Z3" s="320" t="s">
        <v>251</v>
      </c>
      <c r="AA3" s="321"/>
      <c r="AB3" s="321"/>
      <c r="AC3" s="321"/>
      <c r="AD3" s="321"/>
      <c r="AE3" s="322"/>
      <c r="AG3" s="7"/>
    </row>
    <row r="4" spans="1:33" ht="18.75" x14ac:dyDescent="0.3">
      <c r="A4" s="74"/>
      <c r="B4" s="82"/>
      <c r="C4" s="82" t="s">
        <v>119</v>
      </c>
      <c r="D4" s="83">
        <v>100</v>
      </c>
      <c r="E4" s="307">
        <v>100</v>
      </c>
      <c r="F4" s="83">
        <f>E4+(E11/30)</f>
        <v>140</v>
      </c>
      <c r="G4" s="83">
        <f t="shared" ref="G4:U4" si="1">F4+(F11/30)</f>
        <v>162</v>
      </c>
      <c r="H4" s="83">
        <f t="shared" si="1"/>
        <v>184</v>
      </c>
      <c r="I4" s="83">
        <f t="shared" si="1"/>
        <v>206</v>
      </c>
      <c r="J4" s="83">
        <f t="shared" si="1"/>
        <v>228</v>
      </c>
      <c r="K4" s="83">
        <f t="shared" si="1"/>
        <v>250</v>
      </c>
      <c r="L4" s="83">
        <f t="shared" si="1"/>
        <v>272</v>
      </c>
      <c r="M4" s="83">
        <f t="shared" si="1"/>
        <v>294</v>
      </c>
      <c r="N4" s="83">
        <f t="shared" si="1"/>
        <v>316</v>
      </c>
      <c r="O4" s="83">
        <f t="shared" si="1"/>
        <v>338</v>
      </c>
      <c r="P4" s="83">
        <f t="shared" si="1"/>
        <v>360</v>
      </c>
      <c r="Q4" s="83">
        <f t="shared" si="1"/>
        <v>382</v>
      </c>
      <c r="R4" s="83">
        <f t="shared" si="1"/>
        <v>404</v>
      </c>
      <c r="S4" s="83">
        <f t="shared" si="1"/>
        <v>426</v>
      </c>
      <c r="T4" s="83">
        <f t="shared" si="1"/>
        <v>448</v>
      </c>
      <c r="U4" s="83">
        <f t="shared" si="1"/>
        <v>470</v>
      </c>
      <c r="V4" s="61"/>
      <c r="W4" s="61"/>
      <c r="X4" s="61"/>
      <c r="Y4" s="61"/>
      <c r="Z4" s="323" t="s">
        <v>252</v>
      </c>
      <c r="AA4" s="324"/>
      <c r="AB4" s="233"/>
      <c r="AC4" s="325" t="s">
        <v>253</v>
      </c>
      <c r="AD4" s="326"/>
      <c r="AE4" s="233"/>
      <c r="AG4" s="61"/>
    </row>
    <row r="5" spans="1:33" ht="18.75" x14ac:dyDescent="0.3">
      <c r="A5" s="84" t="s">
        <v>120</v>
      </c>
      <c r="B5" s="84"/>
      <c r="C5" s="85">
        <v>300000</v>
      </c>
      <c r="D5" s="86">
        <f>C5</f>
        <v>300000</v>
      </c>
      <c r="E5" s="86">
        <f t="shared" ref="E5:U5" si="2">D24</f>
        <v>185000</v>
      </c>
      <c r="F5" s="86">
        <f t="shared" si="2"/>
        <v>925753</v>
      </c>
      <c r="G5" s="86">
        <f t="shared" si="2"/>
        <v>851853</v>
      </c>
      <c r="H5" s="86">
        <f t="shared" si="2"/>
        <v>778853</v>
      </c>
      <c r="I5" s="86">
        <f t="shared" si="2"/>
        <v>803253</v>
      </c>
      <c r="J5" s="86">
        <f t="shared" si="2"/>
        <v>732053</v>
      </c>
      <c r="K5" s="86">
        <f t="shared" si="2"/>
        <v>758253</v>
      </c>
      <c r="L5" s="86">
        <f t="shared" si="2"/>
        <v>688853</v>
      </c>
      <c r="M5" s="86">
        <f t="shared" si="2"/>
        <v>716853</v>
      </c>
      <c r="N5" s="86">
        <f t="shared" si="2"/>
        <v>649253</v>
      </c>
      <c r="O5" s="86">
        <f t="shared" si="2"/>
        <v>679053</v>
      </c>
      <c r="P5" s="86">
        <f t="shared" si="2"/>
        <v>613253</v>
      </c>
      <c r="Q5" s="86">
        <f t="shared" si="2"/>
        <v>644853</v>
      </c>
      <c r="R5" s="86">
        <f t="shared" si="2"/>
        <v>580853</v>
      </c>
      <c r="S5" s="86">
        <f t="shared" si="2"/>
        <v>614253</v>
      </c>
      <c r="T5" s="86">
        <f t="shared" si="2"/>
        <v>648554</v>
      </c>
      <c r="U5" s="86">
        <f t="shared" si="2"/>
        <v>587254</v>
      </c>
      <c r="V5" s="87"/>
      <c r="W5" s="87"/>
      <c r="X5" s="87"/>
      <c r="Y5" s="87"/>
      <c r="Z5" s="234"/>
      <c r="AA5" s="235"/>
      <c r="AB5" s="236"/>
      <c r="AC5" s="234"/>
      <c r="AD5" s="235"/>
      <c r="AE5" s="237"/>
      <c r="AG5" s="87"/>
    </row>
    <row r="6" spans="1:33" x14ac:dyDescent="0.25">
      <c r="A6" s="295" t="s">
        <v>121</v>
      </c>
      <c r="B6" s="295" t="s">
        <v>121</v>
      </c>
      <c r="C6" s="89">
        <f t="shared" ref="C6:C23" si="3">SUM(D6:U6)</f>
        <v>874189</v>
      </c>
      <c r="D6" s="291">
        <v>0</v>
      </c>
      <c r="E6" s="291">
        <f>140449+2239</f>
        <v>142688</v>
      </c>
      <c r="F6" s="291">
        <v>3500</v>
      </c>
      <c r="G6" s="291">
        <v>3500</v>
      </c>
      <c r="H6" s="291">
        <v>100000</v>
      </c>
      <c r="I6" s="291">
        <v>3500</v>
      </c>
      <c r="J6" s="291">
        <v>100000</v>
      </c>
      <c r="K6" s="291">
        <v>3500</v>
      </c>
      <c r="L6" s="291">
        <v>100000</v>
      </c>
      <c r="M6" s="291">
        <v>3500</v>
      </c>
      <c r="N6" s="291">
        <v>100000</v>
      </c>
      <c r="O6" s="291">
        <v>3500</v>
      </c>
      <c r="P6" s="291">
        <v>100000</v>
      </c>
      <c r="Q6" s="291">
        <v>3500</v>
      </c>
      <c r="R6" s="292">
        <v>100000</v>
      </c>
      <c r="S6" s="292">
        <v>100001</v>
      </c>
      <c r="T6" s="292">
        <v>3500</v>
      </c>
      <c r="U6" s="292">
        <v>3500</v>
      </c>
      <c r="W6" s="88" t="s">
        <v>121</v>
      </c>
      <c r="X6" s="90">
        <f t="shared" ref="X6:X12" si="4">C6/$C$13</f>
        <v>0.40113403698629008</v>
      </c>
      <c r="Z6" s="238" t="s">
        <v>254</v>
      </c>
      <c r="AA6" s="239">
        <f>SUM(AA7:AA9)</f>
        <v>356700</v>
      </c>
      <c r="AB6" s="240">
        <f>AA6/AA34</f>
        <v>0.12577600657829319</v>
      </c>
      <c r="AC6" s="238" t="s">
        <v>255</v>
      </c>
      <c r="AD6" s="239">
        <f>AD7+AD8+AD9</f>
        <v>300000</v>
      </c>
      <c r="AE6" s="241">
        <f>AD6/$AD$34</f>
        <v>0.10578301646618435</v>
      </c>
    </row>
    <row r="7" spans="1:33" x14ac:dyDescent="0.25">
      <c r="A7" s="295" t="s">
        <v>122</v>
      </c>
      <c r="B7" s="295" t="s">
        <v>122</v>
      </c>
      <c r="C7" s="89">
        <f t="shared" si="3"/>
        <v>390345</v>
      </c>
      <c r="D7" s="293">
        <v>0</v>
      </c>
      <c r="E7" s="293">
        <v>30345</v>
      </c>
      <c r="F7" s="293">
        <v>15000</v>
      </c>
      <c r="G7" s="293">
        <f t="shared" ref="G7:U7" si="5">F7+1000</f>
        <v>16000</v>
      </c>
      <c r="H7" s="293">
        <f t="shared" si="5"/>
        <v>17000</v>
      </c>
      <c r="I7" s="293">
        <f t="shared" si="5"/>
        <v>18000</v>
      </c>
      <c r="J7" s="293">
        <f t="shared" si="5"/>
        <v>19000</v>
      </c>
      <c r="K7" s="293">
        <f t="shared" si="5"/>
        <v>20000</v>
      </c>
      <c r="L7" s="293">
        <f t="shared" si="5"/>
        <v>21000</v>
      </c>
      <c r="M7" s="293">
        <f t="shared" si="5"/>
        <v>22000</v>
      </c>
      <c r="N7" s="293">
        <f t="shared" si="5"/>
        <v>23000</v>
      </c>
      <c r="O7" s="293">
        <f t="shared" si="5"/>
        <v>24000</v>
      </c>
      <c r="P7" s="293">
        <f t="shared" si="5"/>
        <v>25000</v>
      </c>
      <c r="Q7" s="293">
        <f t="shared" si="5"/>
        <v>26000</v>
      </c>
      <c r="R7" s="293">
        <f t="shared" si="5"/>
        <v>27000</v>
      </c>
      <c r="S7" s="293">
        <f t="shared" si="5"/>
        <v>28000</v>
      </c>
      <c r="T7" s="293">
        <f t="shared" si="5"/>
        <v>29000</v>
      </c>
      <c r="U7" s="293">
        <f t="shared" si="5"/>
        <v>30000</v>
      </c>
      <c r="W7" s="88" t="s">
        <v>122</v>
      </c>
      <c r="X7" s="90">
        <f t="shared" si="4"/>
        <v>0.17911534652965594</v>
      </c>
      <c r="Z7" s="242" t="s">
        <v>134</v>
      </c>
      <c r="AA7" s="243">
        <f>C16</f>
        <v>88000</v>
      </c>
      <c r="AB7" s="244">
        <f>AA7/AA34</f>
        <v>3.1029684830080742E-2</v>
      </c>
      <c r="AC7" s="245" t="s">
        <v>256</v>
      </c>
      <c r="AD7" s="246">
        <v>300000</v>
      </c>
      <c r="AE7" s="247">
        <f t="shared" ref="AE7:AE9" si="6">AD7/$AD$34</f>
        <v>0.10578301646618435</v>
      </c>
    </row>
    <row r="8" spans="1:33" x14ac:dyDescent="0.25">
      <c r="A8" s="295" t="s">
        <v>123</v>
      </c>
      <c r="B8" s="295" t="s">
        <v>124</v>
      </c>
      <c r="C8" s="89">
        <f t="shared" si="3"/>
        <v>0</v>
      </c>
      <c r="D8" s="291">
        <v>0</v>
      </c>
      <c r="E8" s="291">
        <v>0</v>
      </c>
      <c r="F8" s="291">
        <v>0</v>
      </c>
      <c r="G8" s="291">
        <v>0</v>
      </c>
      <c r="H8" s="291">
        <v>0</v>
      </c>
      <c r="I8" s="291">
        <v>0</v>
      </c>
      <c r="J8" s="291">
        <v>0</v>
      </c>
      <c r="K8" s="291">
        <v>0</v>
      </c>
      <c r="L8" s="291">
        <v>0</v>
      </c>
      <c r="M8" s="291">
        <v>0</v>
      </c>
      <c r="N8" s="291">
        <v>0</v>
      </c>
      <c r="O8" s="291">
        <v>0</v>
      </c>
      <c r="P8" s="291">
        <v>0</v>
      </c>
      <c r="Q8" s="291">
        <v>0</v>
      </c>
      <c r="R8" s="291">
        <v>0</v>
      </c>
      <c r="S8" s="291">
        <v>0</v>
      </c>
      <c r="T8" s="291">
        <v>0</v>
      </c>
      <c r="U8" s="291">
        <v>0</v>
      </c>
      <c r="W8" s="88" t="s">
        <v>124</v>
      </c>
      <c r="X8" s="90">
        <f t="shared" si="4"/>
        <v>0</v>
      </c>
      <c r="Z8" s="242" t="s">
        <v>139</v>
      </c>
      <c r="AA8" s="243">
        <f>C20</f>
        <v>268700</v>
      </c>
      <c r="AB8" s="244">
        <f>AA8/AA34</f>
        <v>9.4746321748212445E-2</v>
      </c>
      <c r="AC8" s="245" t="s">
        <v>257</v>
      </c>
      <c r="AD8" s="246">
        <v>0</v>
      </c>
      <c r="AE8" s="247">
        <f t="shared" si="6"/>
        <v>0</v>
      </c>
    </row>
    <row r="9" spans="1:33" x14ac:dyDescent="0.25">
      <c r="A9" s="295"/>
      <c r="B9" s="295" t="s">
        <v>125</v>
      </c>
      <c r="C9" s="89">
        <f t="shared" si="3"/>
        <v>0</v>
      </c>
      <c r="D9" s="291">
        <v>0</v>
      </c>
      <c r="E9" s="291">
        <v>0</v>
      </c>
      <c r="F9" s="291">
        <v>0</v>
      </c>
      <c r="G9" s="291">
        <v>0</v>
      </c>
      <c r="H9" s="291">
        <v>0</v>
      </c>
      <c r="I9" s="291">
        <v>0</v>
      </c>
      <c r="J9" s="291">
        <v>0</v>
      </c>
      <c r="K9" s="291">
        <v>0</v>
      </c>
      <c r="L9" s="291">
        <v>0</v>
      </c>
      <c r="M9" s="291">
        <v>0</v>
      </c>
      <c r="N9" s="291">
        <v>0</v>
      </c>
      <c r="O9" s="291">
        <v>0</v>
      </c>
      <c r="P9" s="291">
        <v>0</v>
      </c>
      <c r="Q9" s="291">
        <v>0</v>
      </c>
      <c r="R9" s="291">
        <v>0</v>
      </c>
      <c r="S9" s="291">
        <v>0</v>
      </c>
      <c r="T9" s="291">
        <v>0</v>
      </c>
      <c r="U9" s="291">
        <v>0</v>
      </c>
      <c r="W9" s="88" t="s">
        <v>125</v>
      </c>
      <c r="X9" s="90">
        <f t="shared" si="4"/>
        <v>0</v>
      </c>
      <c r="Z9" s="248" t="s">
        <v>258</v>
      </c>
      <c r="AA9" s="249">
        <v>0</v>
      </c>
      <c r="AB9" s="244">
        <f>AA9/AA34</f>
        <v>0</v>
      </c>
      <c r="AC9" s="245" t="s">
        <v>277</v>
      </c>
      <c r="AD9" s="246">
        <v>0</v>
      </c>
      <c r="AE9" s="247">
        <f t="shared" si="6"/>
        <v>0</v>
      </c>
    </row>
    <row r="10" spans="1:33" x14ac:dyDescent="0.25">
      <c r="A10" s="295" t="s">
        <v>126</v>
      </c>
      <c r="B10" s="295" t="s">
        <v>126</v>
      </c>
      <c r="C10" s="89">
        <f t="shared" si="3"/>
        <v>0</v>
      </c>
      <c r="D10" s="293">
        <v>0</v>
      </c>
      <c r="E10" s="293">
        <v>0</v>
      </c>
      <c r="F10" s="293">
        <v>0</v>
      </c>
      <c r="G10" s="293">
        <v>0</v>
      </c>
      <c r="H10" s="293">
        <v>0</v>
      </c>
      <c r="I10" s="293">
        <v>0</v>
      </c>
      <c r="J10" s="293">
        <v>0</v>
      </c>
      <c r="K10" s="293">
        <v>0</v>
      </c>
      <c r="L10" s="293">
        <v>0</v>
      </c>
      <c r="M10" s="293">
        <v>0</v>
      </c>
      <c r="N10" s="293">
        <v>0</v>
      </c>
      <c r="O10" s="293">
        <v>0</v>
      </c>
      <c r="P10" s="293">
        <v>0</v>
      </c>
      <c r="Q10" s="293">
        <v>0</v>
      </c>
      <c r="R10" s="293">
        <v>0</v>
      </c>
      <c r="S10" s="291">
        <v>0</v>
      </c>
      <c r="T10" s="291">
        <v>0</v>
      </c>
      <c r="U10" s="291">
        <v>0</v>
      </c>
      <c r="W10" s="88" t="s">
        <v>126</v>
      </c>
      <c r="X10" s="90">
        <f t="shared" si="4"/>
        <v>0</v>
      </c>
      <c r="Z10" s="250"/>
      <c r="AA10" s="251"/>
      <c r="AB10" s="240"/>
      <c r="AC10" s="252"/>
      <c r="AD10" s="251"/>
      <c r="AE10" s="241"/>
    </row>
    <row r="11" spans="1:33" x14ac:dyDescent="0.25">
      <c r="A11" s="315" t="s">
        <v>127</v>
      </c>
      <c r="B11" s="295" t="s">
        <v>128</v>
      </c>
      <c r="C11" s="89">
        <f t="shared" si="3"/>
        <v>11760</v>
      </c>
      <c r="D11" s="293">
        <v>0</v>
      </c>
      <c r="E11" s="293">
        <f>600+600</f>
        <v>1200</v>
      </c>
      <c r="F11" s="293">
        <v>660</v>
      </c>
      <c r="G11" s="293">
        <f>F11</f>
        <v>660</v>
      </c>
      <c r="H11" s="293">
        <f t="shared" ref="H11:U11" si="7">G11</f>
        <v>660</v>
      </c>
      <c r="I11" s="293">
        <f t="shared" si="7"/>
        <v>660</v>
      </c>
      <c r="J11" s="293">
        <f t="shared" si="7"/>
        <v>660</v>
      </c>
      <c r="K11" s="293">
        <f t="shared" si="7"/>
        <v>660</v>
      </c>
      <c r="L11" s="293">
        <f t="shared" si="7"/>
        <v>660</v>
      </c>
      <c r="M11" s="293">
        <f t="shared" si="7"/>
        <v>660</v>
      </c>
      <c r="N11" s="293">
        <f t="shared" si="7"/>
        <v>660</v>
      </c>
      <c r="O11" s="293">
        <f t="shared" si="7"/>
        <v>660</v>
      </c>
      <c r="P11" s="293">
        <f t="shared" si="7"/>
        <v>660</v>
      </c>
      <c r="Q11" s="293">
        <f t="shared" si="7"/>
        <v>660</v>
      </c>
      <c r="R11" s="293">
        <f t="shared" si="7"/>
        <v>660</v>
      </c>
      <c r="S11" s="293">
        <f t="shared" si="7"/>
        <v>660</v>
      </c>
      <c r="T11" s="293">
        <f t="shared" si="7"/>
        <v>660</v>
      </c>
      <c r="U11" s="293">
        <f t="shared" si="7"/>
        <v>660</v>
      </c>
      <c r="W11" s="88" t="s">
        <v>128</v>
      </c>
      <c r="X11" s="90">
        <f t="shared" si="4"/>
        <v>5.3962430034680958E-3</v>
      </c>
      <c r="Z11" s="238" t="s">
        <v>144</v>
      </c>
      <c r="AA11" s="239">
        <f>SUM(AA12:AA15)</f>
        <v>0</v>
      </c>
      <c r="AB11" s="240">
        <f>AA11/AA34</f>
        <v>0</v>
      </c>
      <c r="AC11" s="238" t="s">
        <v>259</v>
      </c>
      <c r="AD11" s="239">
        <f>SUM(AD12:AD17)</f>
        <v>583554</v>
      </c>
      <c r="AE11" s="241">
        <f t="shared" ref="AE11:AE17" si="8">AD11/$AD$34</f>
        <v>0.20576700796969247</v>
      </c>
    </row>
    <row r="12" spans="1:33" x14ac:dyDescent="0.25">
      <c r="A12" s="315"/>
      <c r="B12" s="295" t="s">
        <v>129</v>
      </c>
      <c r="C12" s="89">
        <f t="shared" si="3"/>
        <v>903000</v>
      </c>
      <c r="D12" s="293">
        <v>0</v>
      </c>
      <c r="E12" s="293">
        <v>903000</v>
      </c>
      <c r="F12" s="293">
        <v>0</v>
      </c>
      <c r="G12" s="293">
        <v>0</v>
      </c>
      <c r="H12" s="293">
        <v>0</v>
      </c>
      <c r="I12" s="293">
        <v>0</v>
      </c>
      <c r="J12" s="293">
        <v>0</v>
      </c>
      <c r="K12" s="293">
        <v>0</v>
      </c>
      <c r="L12" s="293">
        <v>0</v>
      </c>
      <c r="M12" s="293">
        <v>0</v>
      </c>
      <c r="N12" s="293">
        <v>0</v>
      </c>
      <c r="O12" s="293">
        <v>0</v>
      </c>
      <c r="P12" s="293">
        <v>0</v>
      </c>
      <c r="Q12" s="293">
        <v>0</v>
      </c>
      <c r="R12" s="293">
        <v>0</v>
      </c>
      <c r="S12" s="293">
        <v>0</v>
      </c>
      <c r="T12" s="293">
        <v>0</v>
      </c>
      <c r="U12" s="293">
        <v>0</v>
      </c>
      <c r="W12" s="88" t="s">
        <v>129</v>
      </c>
      <c r="X12" s="90">
        <f t="shared" si="4"/>
        <v>0.4143543734805859</v>
      </c>
      <c r="Z12" s="253" t="s">
        <v>260</v>
      </c>
      <c r="AA12" s="254">
        <v>0</v>
      </c>
      <c r="AB12" s="244">
        <f>AA12/AA34</f>
        <v>0</v>
      </c>
      <c r="AC12" s="255" t="s">
        <v>261</v>
      </c>
      <c r="AD12" s="256">
        <v>0</v>
      </c>
      <c r="AE12" s="247">
        <f t="shared" si="8"/>
        <v>0</v>
      </c>
    </row>
    <row r="13" spans="1:33" ht="18.75" x14ac:dyDescent="0.3">
      <c r="A13" s="296" t="s">
        <v>130</v>
      </c>
      <c r="B13" s="297"/>
      <c r="C13" s="91">
        <f t="shared" si="3"/>
        <v>2179294</v>
      </c>
      <c r="D13" s="294">
        <f>SUM(D6:D12)</f>
        <v>0</v>
      </c>
      <c r="E13" s="294">
        <f>SUM(E6:E12)</f>
        <v>1077233</v>
      </c>
      <c r="F13" s="294">
        <f>F12+F11+F10+F9+F8+F7+F6</f>
        <v>19160</v>
      </c>
      <c r="G13" s="294">
        <f t="shared" ref="G13:U13" si="9">SUM(G6:G12)</f>
        <v>20160</v>
      </c>
      <c r="H13" s="294">
        <f t="shared" si="9"/>
        <v>117660</v>
      </c>
      <c r="I13" s="294">
        <f t="shared" si="9"/>
        <v>22160</v>
      </c>
      <c r="J13" s="294">
        <f t="shared" si="9"/>
        <v>119660</v>
      </c>
      <c r="K13" s="294">
        <f t="shared" si="9"/>
        <v>24160</v>
      </c>
      <c r="L13" s="294">
        <f t="shared" si="9"/>
        <v>121660</v>
      </c>
      <c r="M13" s="294">
        <f t="shared" si="9"/>
        <v>26160</v>
      </c>
      <c r="N13" s="294">
        <f t="shared" si="9"/>
        <v>123660</v>
      </c>
      <c r="O13" s="294">
        <f t="shared" si="9"/>
        <v>28160</v>
      </c>
      <c r="P13" s="294">
        <f t="shared" si="9"/>
        <v>125660</v>
      </c>
      <c r="Q13" s="294">
        <f t="shared" si="9"/>
        <v>30160</v>
      </c>
      <c r="R13" s="294">
        <f t="shared" si="9"/>
        <v>127660</v>
      </c>
      <c r="S13" s="294">
        <f t="shared" si="9"/>
        <v>128661</v>
      </c>
      <c r="T13" s="294">
        <f t="shared" si="9"/>
        <v>33160</v>
      </c>
      <c r="U13" s="294">
        <f t="shared" si="9"/>
        <v>34160</v>
      </c>
      <c r="V13" s="92"/>
      <c r="W13" s="92"/>
      <c r="X13" s="93">
        <f>SUM(X6:X12)</f>
        <v>1</v>
      </c>
      <c r="Y13" s="92"/>
      <c r="Z13" s="253" t="s">
        <v>144</v>
      </c>
      <c r="AA13" s="254">
        <v>0</v>
      </c>
      <c r="AB13" s="244">
        <f>AA13/AA34</f>
        <v>0</v>
      </c>
      <c r="AC13" s="255" t="s">
        <v>262</v>
      </c>
      <c r="AD13" s="256">
        <v>0</v>
      </c>
      <c r="AE13" s="247">
        <f t="shared" si="8"/>
        <v>0</v>
      </c>
      <c r="AG13" s="92"/>
    </row>
    <row r="14" spans="1:33" ht="18.75" x14ac:dyDescent="0.3">
      <c r="A14" s="298" t="s">
        <v>131</v>
      </c>
      <c r="B14" s="299" t="str">
        <f>A14</f>
        <v>Sueldos</v>
      </c>
      <c r="C14" s="95">
        <f t="shared" si="3"/>
        <v>150280</v>
      </c>
      <c r="D14" s="303">
        <v>0</v>
      </c>
      <c r="E14" s="303">
        <v>8040</v>
      </c>
      <c r="F14" s="303">
        <f t="shared" ref="F14:U14" si="10">E14+100</f>
        <v>8140</v>
      </c>
      <c r="G14" s="303">
        <f t="shared" si="10"/>
        <v>8240</v>
      </c>
      <c r="H14" s="303">
        <f t="shared" si="10"/>
        <v>8340</v>
      </c>
      <c r="I14" s="303">
        <f t="shared" si="10"/>
        <v>8440</v>
      </c>
      <c r="J14" s="303">
        <f t="shared" si="10"/>
        <v>8540</v>
      </c>
      <c r="K14" s="303">
        <f t="shared" si="10"/>
        <v>8640</v>
      </c>
      <c r="L14" s="303">
        <f t="shared" si="10"/>
        <v>8740</v>
      </c>
      <c r="M14" s="303">
        <f t="shared" si="10"/>
        <v>8840</v>
      </c>
      <c r="N14" s="303">
        <f t="shared" si="10"/>
        <v>8940</v>
      </c>
      <c r="O14" s="303">
        <f t="shared" si="10"/>
        <v>9040</v>
      </c>
      <c r="P14" s="303">
        <f t="shared" si="10"/>
        <v>9140</v>
      </c>
      <c r="Q14" s="303">
        <f t="shared" si="10"/>
        <v>9240</v>
      </c>
      <c r="R14" s="303">
        <f t="shared" si="10"/>
        <v>9340</v>
      </c>
      <c r="S14" s="303">
        <f t="shared" si="10"/>
        <v>9440</v>
      </c>
      <c r="T14" s="303">
        <f t="shared" si="10"/>
        <v>9540</v>
      </c>
      <c r="U14" s="303">
        <f t="shared" si="10"/>
        <v>9640</v>
      </c>
      <c r="W14" s="316">
        <f>C13</f>
        <v>2179294</v>
      </c>
      <c r="X14" s="316"/>
      <c r="Z14" s="253" t="s">
        <v>263</v>
      </c>
      <c r="AA14" s="254">
        <v>0</v>
      </c>
      <c r="AB14" s="244">
        <f>AA14/AA34</f>
        <v>0</v>
      </c>
      <c r="AC14" s="255" t="s">
        <v>264</v>
      </c>
      <c r="AD14" s="256">
        <v>0</v>
      </c>
      <c r="AE14" s="247">
        <f t="shared" si="8"/>
        <v>0</v>
      </c>
    </row>
    <row r="15" spans="1:33" x14ac:dyDescent="0.25">
      <c r="A15" s="298" t="s">
        <v>132</v>
      </c>
      <c r="B15" s="299" t="str">
        <f>A15</f>
        <v xml:space="preserve">Mantenimiento </v>
      </c>
      <c r="C15" s="95">
        <f t="shared" si="3"/>
        <v>131900</v>
      </c>
      <c r="D15" s="303">
        <v>0</v>
      </c>
      <c r="E15" s="303">
        <v>7100</v>
      </c>
      <c r="F15" s="303">
        <v>7800</v>
      </c>
      <c r="G15" s="303">
        <f t="shared" ref="G15:U15" si="11">F15</f>
        <v>7800</v>
      </c>
      <c r="H15" s="303">
        <f t="shared" si="11"/>
        <v>7800</v>
      </c>
      <c r="I15" s="303">
        <f t="shared" si="11"/>
        <v>7800</v>
      </c>
      <c r="J15" s="303">
        <f t="shared" si="11"/>
        <v>7800</v>
      </c>
      <c r="K15" s="303">
        <f t="shared" si="11"/>
        <v>7800</v>
      </c>
      <c r="L15" s="303">
        <f t="shared" si="11"/>
        <v>7800</v>
      </c>
      <c r="M15" s="303">
        <f t="shared" si="11"/>
        <v>7800</v>
      </c>
      <c r="N15" s="303">
        <f t="shared" si="11"/>
        <v>7800</v>
      </c>
      <c r="O15" s="303">
        <f t="shared" si="11"/>
        <v>7800</v>
      </c>
      <c r="P15" s="303">
        <f t="shared" si="11"/>
        <v>7800</v>
      </c>
      <c r="Q15" s="303">
        <f t="shared" si="11"/>
        <v>7800</v>
      </c>
      <c r="R15" s="303">
        <f t="shared" si="11"/>
        <v>7800</v>
      </c>
      <c r="S15" s="303">
        <f t="shared" si="11"/>
        <v>7800</v>
      </c>
      <c r="T15" s="303">
        <f t="shared" si="11"/>
        <v>7800</v>
      </c>
      <c r="U15" s="303">
        <f t="shared" si="11"/>
        <v>7800</v>
      </c>
      <c r="Z15" s="253" t="s">
        <v>265</v>
      </c>
      <c r="AA15" s="254">
        <v>0</v>
      </c>
      <c r="AB15" s="244">
        <f>AA15/AA34</f>
        <v>0</v>
      </c>
      <c r="AC15" s="255" t="s">
        <v>266</v>
      </c>
      <c r="AD15" s="256">
        <v>0</v>
      </c>
      <c r="AE15" s="247">
        <f t="shared" si="8"/>
        <v>0</v>
      </c>
    </row>
    <row r="16" spans="1:33" ht="18" customHeight="1" x14ac:dyDescent="0.25">
      <c r="A16" s="298" t="s">
        <v>133</v>
      </c>
      <c r="B16" s="299" t="s">
        <v>134</v>
      </c>
      <c r="C16" s="95">
        <f t="shared" si="3"/>
        <v>88000</v>
      </c>
      <c r="D16" s="303">
        <v>88000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303">
        <v>0</v>
      </c>
      <c r="P16" s="303">
        <v>0</v>
      </c>
      <c r="Q16" s="303">
        <v>0</v>
      </c>
      <c r="R16" s="303">
        <v>0</v>
      </c>
      <c r="S16" s="303">
        <v>0</v>
      </c>
      <c r="T16" s="303">
        <v>0</v>
      </c>
      <c r="U16" s="303">
        <v>0</v>
      </c>
      <c r="Z16" s="257"/>
      <c r="AA16" s="258"/>
      <c r="AB16" s="240"/>
      <c r="AC16" s="255" t="s">
        <v>267</v>
      </c>
      <c r="AD16" s="256">
        <v>0</v>
      </c>
      <c r="AE16" s="247">
        <f t="shared" si="8"/>
        <v>0</v>
      </c>
    </row>
    <row r="17" spans="1:33" x14ac:dyDescent="0.25">
      <c r="A17" s="298" t="s">
        <v>135</v>
      </c>
      <c r="B17" s="299" t="str">
        <f>A17</f>
        <v>Empleados</v>
      </c>
      <c r="C17" s="95">
        <f t="shared" si="3"/>
        <v>946560</v>
      </c>
      <c r="D17" s="303">
        <v>0</v>
      </c>
      <c r="E17" s="303">
        <v>32640</v>
      </c>
      <c r="F17" s="303">
        <v>57120</v>
      </c>
      <c r="G17" s="303">
        <f t="shared" ref="G17:U17" si="12">F17</f>
        <v>57120</v>
      </c>
      <c r="H17" s="303">
        <f t="shared" si="12"/>
        <v>57120</v>
      </c>
      <c r="I17" s="303">
        <f t="shared" si="12"/>
        <v>57120</v>
      </c>
      <c r="J17" s="303">
        <f t="shared" si="12"/>
        <v>57120</v>
      </c>
      <c r="K17" s="303">
        <f t="shared" si="12"/>
        <v>57120</v>
      </c>
      <c r="L17" s="303">
        <f t="shared" si="12"/>
        <v>57120</v>
      </c>
      <c r="M17" s="303">
        <f t="shared" si="12"/>
        <v>57120</v>
      </c>
      <c r="N17" s="303">
        <f t="shared" si="12"/>
        <v>57120</v>
      </c>
      <c r="O17" s="303">
        <f t="shared" si="12"/>
        <v>57120</v>
      </c>
      <c r="P17" s="303">
        <f t="shared" si="12"/>
        <v>57120</v>
      </c>
      <c r="Q17" s="303">
        <f t="shared" si="12"/>
        <v>57120</v>
      </c>
      <c r="R17" s="303">
        <f t="shared" si="12"/>
        <v>57120</v>
      </c>
      <c r="S17" s="303">
        <f t="shared" si="12"/>
        <v>57120</v>
      </c>
      <c r="T17" s="303">
        <f t="shared" si="12"/>
        <v>57120</v>
      </c>
      <c r="U17" s="303">
        <f t="shared" si="12"/>
        <v>57120</v>
      </c>
      <c r="Z17" s="238" t="s">
        <v>124</v>
      </c>
      <c r="AA17" s="259">
        <f>AA18+AA19</f>
        <v>0</v>
      </c>
      <c r="AB17" s="240">
        <f>AA17/AA34</f>
        <v>0</v>
      </c>
      <c r="AC17" s="260" t="s">
        <v>268</v>
      </c>
      <c r="AD17" s="261">
        <f>AA27-AD27</f>
        <v>583554</v>
      </c>
      <c r="AE17" s="247">
        <f t="shared" si="8"/>
        <v>0.20576700796969247</v>
      </c>
    </row>
    <row r="18" spans="1:33" x14ac:dyDescent="0.25">
      <c r="A18" s="298" t="s">
        <v>136</v>
      </c>
      <c r="B18" s="299" t="str">
        <f>A18</f>
        <v>Juveniles</v>
      </c>
      <c r="C18" s="95">
        <f t="shared" si="3"/>
        <v>360000</v>
      </c>
      <c r="D18" s="303">
        <v>20000</v>
      </c>
      <c r="E18" s="303">
        <f>D18</f>
        <v>20000</v>
      </c>
      <c r="F18" s="303">
        <f>E18</f>
        <v>20000</v>
      </c>
      <c r="G18" s="303">
        <f t="shared" ref="G18:U18" si="13">F18</f>
        <v>20000</v>
      </c>
      <c r="H18" s="303">
        <f t="shared" si="13"/>
        <v>20000</v>
      </c>
      <c r="I18" s="303">
        <f t="shared" si="13"/>
        <v>20000</v>
      </c>
      <c r="J18" s="303">
        <f t="shared" si="13"/>
        <v>20000</v>
      </c>
      <c r="K18" s="303">
        <f t="shared" si="13"/>
        <v>20000</v>
      </c>
      <c r="L18" s="303">
        <f t="shared" si="13"/>
        <v>20000</v>
      </c>
      <c r="M18" s="303">
        <f t="shared" si="13"/>
        <v>20000</v>
      </c>
      <c r="N18" s="303">
        <f t="shared" si="13"/>
        <v>20000</v>
      </c>
      <c r="O18" s="303">
        <f t="shared" si="13"/>
        <v>20000</v>
      </c>
      <c r="P18" s="303">
        <f t="shared" si="13"/>
        <v>20000</v>
      </c>
      <c r="Q18" s="303">
        <f t="shared" si="13"/>
        <v>20000</v>
      </c>
      <c r="R18" s="303">
        <f t="shared" si="13"/>
        <v>20000</v>
      </c>
      <c r="S18" s="303">
        <f t="shared" si="13"/>
        <v>20000</v>
      </c>
      <c r="T18" s="303">
        <f t="shared" si="13"/>
        <v>20000</v>
      </c>
      <c r="U18" s="303">
        <f t="shared" si="13"/>
        <v>20000</v>
      </c>
      <c r="Z18" s="253" t="s">
        <v>124</v>
      </c>
      <c r="AA18" s="254">
        <f>C8+C9</f>
        <v>0</v>
      </c>
      <c r="AB18" s="244">
        <f>AA18/AA34</f>
        <v>0</v>
      </c>
      <c r="AC18" s="250"/>
      <c r="AD18" s="251"/>
      <c r="AE18" s="262"/>
    </row>
    <row r="19" spans="1:33" x14ac:dyDescent="0.25">
      <c r="A19" s="298" t="s">
        <v>137</v>
      </c>
      <c r="B19" s="299" t="s">
        <v>138</v>
      </c>
      <c r="C19" s="95">
        <f t="shared" si="3"/>
        <v>0</v>
      </c>
      <c r="D19" s="303">
        <v>0</v>
      </c>
      <c r="E19" s="303">
        <f>D19</f>
        <v>0</v>
      </c>
      <c r="F19" s="303">
        <f>E19</f>
        <v>0</v>
      </c>
      <c r="G19" s="303">
        <f t="shared" ref="G19:U19" si="14">F19</f>
        <v>0</v>
      </c>
      <c r="H19" s="303">
        <f t="shared" si="14"/>
        <v>0</v>
      </c>
      <c r="I19" s="303">
        <f t="shared" si="14"/>
        <v>0</v>
      </c>
      <c r="J19" s="303">
        <f t="shared" si="14"/>
        <v>0</v>
      </c>
      <c r="K19" s="303">
        <f t="shared" si="14"/>
        <v>0</v>
      </c>
      <c r="L19" s="303">
        <f t="shared" si="14"/>
        <v>0</v>
      </c>
      <c r="M19" s="303">
        <f t="shared" si="14"/>
        <v>0</v>
      </c>
      <c r="N19" s="303">
        <f t="shared" si="14"/>
        <v>0</v>
      </c>
      <c r="O19" s="303">
        <f t="shared" si="14"/>
        <v>0</v>
      </c>
      <c r="P19" s="303">
        <f t="shared" si="14"/>
        <v>0</v>
      </c>
      <c r="Q19" s="303">
        <f t="shared" si="14"/>
        <v>0</v>
      </c>
      <c r="R19" s="303">
        <f t="shared" si="14"/>
        <v>0</v>
      </c>
      <c r="S19" s="303">
        <f t="shared" si="14"/>
        <v>0</v>
      </c>
      <c r="T19" s="303">
        <f t="shared" si="14"/>
        <v>0</v>
      </c>
      <c r="U19" s="303">
        <f t="shared" si="14"/>
        <v>0</v>
      </c>
      <c r="Z19" s="248" t="s">
        <v>126</v>
      </c>
      <c r="AA19" s="249">
        <f>AA18*-0.01</f>
        <v>0</v>
      </c>
      <c r="AB19" s="244">
        <f>AA19/AA34</f>
        <v>0</v>
      </c>
      <c r="AC19" s="238" t="s">
        <v>269</v>
      </c>
      <c r="AD19" s="259">
        <f>AD20+AD21</f>
        <v>0</v>
      </c>
      <c r="AE19" s="241">
        <f t="shared" ref="AE19:AE21" si="15">AD19/$AD$34</f>
        <v>0</v>
      </c>
    </row>
    <row r="20" spans="1:33" x14ac:dyDescent="0.25">
      <c r="A20" s="300" t="s">
        <v>127</v>
      </c>
      <c r="B20" s="299" t="s">
        <v>139</v>
      </c>
      <c r="C20" s="95">
        <f t="shared" si="3"/>
        <v>268700</v>
      </c>
      <c r="D20" s="303">
        <v>0</v>
      </c>
      <c r="E20" s="303">
        <v>268700</v>
      </c>
      <c r="F20" s="303">
        <v>0</v>
      </c>
      <c r="G20" s="303">
        <f t="shared" ref="G20:U20" si="16">F20</f>
        <v>0</v>
      </c>
      <c r="H20" s="303">
        <f t="shared" si="16"/>
        <v>0</v>
      </c>
      <c r="I20" s="303">
        <f t="shared" si="16"/>
        <v>0</v>
      </c>
      <c r="J20" s="303">
        <f t="shared" si="16"/>
        <v>0</v>
      </c>
      <c r="K20" s="303">
        <f t="shared" si="16"/>
        <v>0</v>
      </c>
      <c r="L20" s="303">
        <f t="shared" si="16"/>
        <v>0</v>
      </c>
      <c r="M20" s="303">
        <f t="shared" si="16"/>
        <v>0</v>
      </c>
      <c r="N20" s="303">
        <f t="shared" si="16"/>
        <v>0</v>
      </c>
      <c r="O20" s="303">
        <f t="shared" si="16"/>
        <v>0</v>
      </c>
      <c r="P20" s="303">
        <f t="shared" si="16"/>
        <v>0</v>
      </c>
      <c r="Q20" s="303">
        <f t="shared" si="16"/>
        <v>0</v>
      </c>
      <c r="R20" s="303">
        <f t="shared" si="16"/>
        <v>0</v>
      </c>
      <c r="S20" s="303">
        <f t="shared" si="16"/>
        <v>0</v>
      </c>
      <c r="T20" s="303">
        <f t="shared" si="16"/>
        <v>0</v>
      </c>
      <c r="U20" s="303">
        <f t="shared" si="16"/>
        <v>0</v>
      </c>
      <c r="Z20" s="257"/>
      <c r="AA20" s="258"/>
      <c r="AB20" s="244"/>
      <c r="AC20" s="263" t="s">
        <v>138</v>
      </c>
      <c r="AD20" s="264">
        <f>C19</f>
        <v>0</v>
      </c>
      <c r="AE20" s="247">
        <f t="shared" si="15"/>
        <v>0</v>
      </c>
    </row>
    <row r="21" spans="1:33" x14ac:dyDescent="0.25">
      <c r="A21" s="300"/>
      <c r="B21" s="299" t="s">
        <v>140</v>
      </c>
      <c r="C21" s="95">
        <f t="shared" si="3"/>
        <v>7000</v>
      </c>
      <c r="D21" s="303">
        <v>7000</v>
      </c>
      <c r="E21" s="303">
        <v>0</v>
      </c>
      <c r="F21" s="303">
        <v>0</v>
      </c>
      <c r="G21" s="303">
        <v>0</v>
      </c>
      <c r="H21" s="303">
        <v>0</v>
      </c>
      <c r="I21" s="303">
        <v>0</v>
      </c>
      <c r="J21" s="303">
        <v>0</v>
      </c>
      <c r="K21" s="303">
        <v>0</v>
      </c>
      <c r="L21" s="303">
        <v>0</v>
      </c>
      <c r="M21" s="303">
        <v>0</v>
      </c>
      <c r="N21" s="303">
        <v>0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  <c r="U21" s="303">
        <v>0</v>
      </c>
      <c r="Z21" s="238" t="s">
        <v>270</v>
      </c>
      <c r="AA21" s="239">
        <v>300000</v>
      </c>
      <c r="AB21" s="240">
        <f>AA21/AA34</f>
        <v>0.10578301646618435</v>
      </c>
      <c r="AC21" s="248" t="s">
        <v>271</v>
      </c>
      <c r="AD21" s="265">
        <v>0</v>
      </c>
      <c r="AE21" s="247">
        <f t="shared" si="15"/>
        <v>0</v>
      </c>
    </row>
    <row r="22" spans="1:33" x14ac:dyDescent="0.25">
      <c r="A22" s="298" t="s">
        <v>141</v>
      </c>
      <c r="B22" s="299" t="str">
        <f>A22</f>
        <v>Intereses</v>
      </c>
      <c r="C22" s="95">
        <f t="shared" si="3"/>
        <v>0</v>
      </c>
      <c r="D22" s="303">
        <v>0</v>
      </c>
      <c r="E22" s="303">
        <f t="shared" ref="E22:U22" si="17">D22</f>
        <v>0</v>
      </c>
      <c r="F22" s="303">
        <f t="shared" si="17"/>
        <v>0</v>
      </c>
      <c r="G22" s="303">
        <f t="shared" si="17"/>
        <v>0</v>
      </c>
      <c r="H22" s="303">
        <f t="shared" si="17"/>
        <v>0</v>
      </c>
      <c r="I22" s="303">
        <f t="shared" si="17"/>
        <v>0</v>
      </c>
      <c r="J22" s="303">
        <f t="shared" si="17"/>
        <v>0</v>
      </c>
      <c r="K22" s="303">
        <f t="shared" si="17"/>
        <v>0</v>
      </c>
      <c r="L22" s="303">
        <f t="shared" si="17"/>
        <v>0</v>
      </c>
      <c r="M22" s="303">
        <f t="shared" si="17"/>
        <v>0</v>
      </c>
      <c r="N22" s="303">
        <f t="shared" si="17"/>
        <v>0</v>
      </c>
      <c r="O22" s="303">
        <f t="shared" si="17"/>
        <v>0</v>
      </c>
      <c r="P22" s="303">
        <f t="shared" si="17"/>
        <v>0</v>
      </c>
      <c r="Q22" s="303">
        <f t="shared" si="17"/>
        <v>0</v>
      </c>
      <c r="R22" s="303">
        <f t="shared" si="17"/>
        <v>0</v>
      </c>
      <c r="S22" s="303">
        <f t="shared" si="17"/>
        <v>0</v>
      </c>
      <c r="T22" s="303">
        <f t="shared" si="17"/>
        <v>0</v>
      </c>
      <c r="U22" s="303">
        <f t="shared" si="17"/>
        <v>0</v>
      </c>
      <c r="Z22" s="238"/>
      <c r="AA22" s="239"/>
      <c r="AB22" s="240"/>
      <c r="AC22" s="257"/>
      <c r="AD22" s="266"/>
      <c r="AE22" s="267"/>
    </row>
    <row r="23" spans="1:33" ht="18.75" x14ac:dyDescent="0.3">
      <c r="A23" s="301" t="s">
        <v>142</v>
      </c>
      <c r="B23" s="302"/>
      <c r="C23" s="96">
        <f t="shared" si="3"/>
        <v>1952440</v>
      </c>
      <c r="D23" s="304">
        <f t="shared" ref="D23:U23" si="18">SUM(D14:D22)</f>
        <v>115000</v>
      </c>
      <c r="E23" s="304">
        <f t="shared" si="18"/>
        <v>336480</v>
      </c>
      <c r="F23" s="304">
        <f t="shared" si="18"/>
        <v>93060</v>
      </c>
      <c r="G23" s="304">
        <f t="shared" si="18"/>
        <v>93160</v>
      </c>
      <c r="H23" s="304">
        <f t="shared" si="18"/>
        <v>93260</v>
      </c>
      <c r="I23" s="304">
        <f t="shared" si="18"/>
        <v>93360</v>
      </c>
      <c r="J23" s="304">
        <f t="shared" si="18"/>
        <v>93460</v>
      </c>
      <c r="K23" s="304">
        <f t="shared" si="18"/>
        <v>93560</v>
      </c>
      <c r="L23" s="304">
        <f t="shared" si="18"/>
        <v>93660</v>
      </c>
      <c r="M23" s="304">
        <f t="shared" si="18"/>
        <v>93760</v>
      </c>
      <c r="N23" s="304">
        <f t="shared" si="18"/>
        <v>93860</v>
      </c>
      <c r="O23" s="304">
        <f t="shared" si="18"/>
        <v>93960</v>
      </c>
      <c r="P23" s="304">
        <f t="shared" si="18"/>
        <v>94060</v>
      </c>
      <c r="Q23" s="304">
        <f t="shared" si="18"/>
        <v>94160</v>
      </c>
      <c r="R23" s="304">
        <f t="shared" si="18"/>
        <v>94260</v>
      </c>
      <c r="S23" s="304">
        <f t="shared" si="18"/>
        <v>94360</v>
      </c>
      <c r="T23" s="304">
        <f t="shared" si="18"/>
        <v>94460</v>
      </c>
      <c r="U23" s="304">
        <f t="shared" si="18"/>
        <v>94560</v>
      </c>
      <c r="V23" s="97"/>
      <c r="W23" s="94" t="str">
        <f>B14</f>
        <v>Sueldos</v>
      </c>
      <c r="X23" s="98">
        <f>C14/$C$23</f>
        <v>7.6970355042920657E-2</v>
      </c>
      <c r="Y23" s="97"/>
      <c r="Z23" s="238"/>
      <c r="AA23" s="239"/>
      <c r="AB23" s="240"/>
      <c r="AC23" s="238" t="s">
        <v>272</v>
      </c>
      <c r="AD23" s="239">
        <f>SUM(AD24:AD25)</f>
        <v>356700</v>
      </c>
      <c r="AE23" s="241">
        <f t="shared" ref="AE23:AE25" si="19">AD23/$AD$34</f>
        <v>0.12577600657829319</v>
      </c>
      <c r="AG23" s="97"/>
    </row>
    <row r="24" spans="1:33" ht="18.75" x14ac:dyDescent="0.3">
      <c r="A24" s="99" t="s">
        <v>143</v>
      </c>
      <c r="B24" s="99"/>
      <c r="C24" s="86">
        <f t="shared" ref="C24:U24" si="20">C5+C13-C23</f>
        <v>526854</v>
      </c>
      <c r="D24" s="86">
        <f t="shared" si="20"/>
        <v>185000</v>
      </c>
      <c r="E24" s="86">
        <f t="shared" si="20"/>
        <v>925753</v>
      </c>
      <c r="F24" s="86">
        <f t="shared" si="20"/>
        <v>851853</v>
      </c>
      <c r="G24" s="86">
        <f t="shared" si="20"/>
        <v>778853</v>
      </c>
      <c r="H24" s="86">
        <f t="shared" si="20"/>
        <v>803253</v>
      </c>
      <c r="I24" s="86">
        <f t="shared" si="20"/>
        <v>732053</v>
      </c>
      <c r="J24" s="86">
        <f t="shared" si="20"/>
        <v>758253</v>
      </c>
      <c r="K24" s="86">
        <f t="shared" si="20"/>
        <v>688853</v>
      </c>
      <c r="L24" s="86">
        <f t="shared" si="20"/>
        <v>716853</v>
      </c>
      <c r="M24" s="86">
        <f t="shared" si="20"/>
        <v>649253</v>
      </c>
      <c r="N24" s="86">
        <f t="shared" si="20"/>
        <v>679053</v>
      </c>
      <c r="O24" s="86">
        <f t="shared" si="20"/>
        <v>613253</v>
      </c>
      <c r="P24" s="86">
        <f t="shared" si="20"/>
        <v>644853</v>
      </c>
      <c r="Q24" s="86">
        <f t="shared" si="20"/>
        <v>580853</v>
      </c>
      <c r="R24" s="86">
        <f t="shared" si="20"/>
        <v>614253</v>
      </c>
      <c r="S24" s="86">
        <f t="shared" si="20"/>
        <v>648554</v>
      </c>
      <c r="T24" s="86">
        <f t="shared" si="20"/>
        <v>587254</v>
      </c>
      <c r="U24" s="86">
        <f t="shared" si="20"/>
        <v>526854</v>
      </c>
      <c r="V24" s="87"/>
      <c r="W24" s="94" t="str">
        <f t="shared" ref="W24:W31" si="21">B15</f>
        <v xml:space="preserve">Mantenimiento </v>
      </c>
      <c r="X24" s="98">
        <f>C15/$C$23</f>
        <v>6.7556493413369931E-2</v>
      </c>
      <c r="Y24" s="87"/>
      <c r="Z24" s="238"/>
      <c r="AA24" s="239"/>
      <c r="AB24" s="240"/>
      <c r="AC24" s="263" t="s">
        <v>134</v>
      </c>
      <c r="AD24" s="268">
        <f>C16</f>
        <v>88000</v>
      </c>
      <c r="AE24" s="247">
        <f t="shared" si="19"/>
        <v>3.1029684830080742E-2</v>
      </c>
      <c r="AG24" s="87"/>
    </row>
    <row r="25" spans="1:33" x14ac:dyDescent="0.25">
      <c r="A25" s="100"/>
      <c r="B25" s="100"/>
      <c r="C25" s="100"/>
      <c r="D25" s="101">
        <f>D2+7</f>
        <v>43644</v>
      </c>
      <c r="E25" s="101">
        <f>D25+7</f>
        <v>43651</v>
      </c>
      <c r="F25" s="101">
        <f t="shared" ref="F25:U25" si="22">E25+7</f>
        <v>43658</v>
      </c>
      <c r="G25" s="101">
        <f t="shared" si="22"/>
        <v>43665</v>
      </c>
      <c r="H25" s="101">
        <f t="shared" si="22"/>
        <v>43672</v>
      </c>
      <c r="I25" s="101">
        <f t="shared" si="22"/>
        <v>43679</v>
      </c>
      <c r="J25" s="101">
        <f t="shared" si="22"/>
        <v>43686</v>
      </c>
      <c r="K25" s="101">
        <f t="shared" si="22"/>
        <v>43693</v>
      </c>
      <c r="L25" s="101">
        <f t="shared" si="22"/>
        <v>43700</v>
      </c>
      <c r="M25" s="101">
        <f t="shared" si="22"/>
        <v>43707</v>
      </c>
      <c r="N25" s="101">
        <f t="shared" si="22"/>
        <v>43714</v>
      </c>
      <c r="O25" s="101">
        <f t="shared" si="22"/>
        <v>43721</v>
      </c>
      <c r="P25" s="101">
        <f t="shared" si="22"/>
        <v>43728</v>
      </c>
      <c r="Q25" s="101">
        <f t="shared" si="22"/>
        <v>43735</v>
      </c>
      <c r="R25" s="101">
        <f t="shared" si="22"/>
        <v>43742</v>
      </c>
      <c r="S25" s="101">
        <f t="shared" si="22"/>
        <v>43749</v>
      </c>
      <c r="T25" s="101">
        <f t="shared" si="22"/>
        <v>43756</v>
      </c>
      <c r="U25" s="101">
        <f t="shared" si="22"/>
        <v>43763</v>
      </c>
      <c r="V25" s="76"/>
      <c r="W25" s="94" t="str">
        <f t="shared" si="21"/>
        <v>Estadio</v>
      </c>
      <c r="X25" s="98">
        <f>C16/$C$23</f>
        <v>4.5071807584355986E-2</v>
      </c>
      <c r="Y25" s="76"/>
      <c r="Z25" s="238"/>
      <c r="AA25" s="239"/>
      <c r="AB25" s="240"/>
      <c r="AC25" s="263" t="s">
        <v>139</v>
      </c>
      <c r="AD25" s="268">
        <f>C20</f>
        <v>268700</v>
      </c>
      <c r="AE25" s="247">
        <f t="shared" si="19"/>
        <v>9.4746321748212445E-2</v>
      </c>
      <c r="AG25" s="76"/>
    </row>
    <row r="26" spans="1:33" x14ac:dyDescent="0.25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61"/>
      <c r="W26" s="94" t="str">
        <f t="shared" si="21"/>
        <v>Empleados</v>
      </c>
      <c r="X26" s="98">
        <f t="shared" ref="X26:X31" si="23">C17/$C$23</f>
        <v>0.48480875212554547</v>
      </c>
      <c r="Y26" s="61"/>
      <c r="Z26" s="269"/>
      <c r="AA26" s="270"/>
      <c r="AB26" s="271"/>
      <c r="AC26" s="272"/>
      <c r="AD26" s="273"/>
      <c r="AE26" s="274"/>
      <c r="AG26" s="61"/>
    </row>
    <row r="27" spans="1:33" x14ac:dyDescent="0.25">
      <c r="A27" s="104"/>
      <c r="B27" s="104"/>
      <c r="C27" s="105" t="s">
        <v>144</v>
      </c>
      <c r="D27" s="106">
        <v>19</v>
      </c>
      <c r="E27" s="106">
        <v>19</v>
      </c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7"/>
      <c r="W27" s="94" t="str">
        <f t="shared" si="21"/>
        <v>Juveniles</v>
      </c>
      <c r="X27" s="98">
        <f t="shared" si="23"/>
        <v>0.18438466739054721</v>
      </c>
      <c r="Y27" s="7"/>
      <c r="Z27" s="238" t="s">
        <v>273</v>
      </c>
      <c r="AA27" s="239">
        <f>SUM(AA28:AA32)</f>
        <v>2179294</v>
      </c>
      <c r="AB27" s="240">
        <f>AA27/AA34</f>
        <v>0.76844097695552249</v>
      </c>
      <c r="AC27" s="238" t="s">
        <v>274</v>
      </c>
      <c r="AD27" s="239">
        <f>SUM(AD28:AD33)</f>
        <v>1595740</v>
      </c>
      <c r="AE27" s="241">
        <f t="shared" ref="AE27:AE34" si="24">AD27/$AD$34</f>
        <v>0.56267396898583</v>
      </c>
      <c r="AG27" s="7"/>
    </row>
    <row r="28" spans="1:33" ht="17.45" customHeight="1" x14ac:dyDescent="0.25">
      <c r="A28" s="74"/>
      <c r="B28" s="313" t="s">
        <v>145</v>
      </c>
      <c r="C28" s="108" t="s">
        <v>21</v>
      </c>
      <c r="D28" s="106">
        <v>19270</v>
      </c>
      <c r="E28" s="106">
        <v>19090</v>
      </c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61"/>
      <c r="W28" s="94" t="str">
        <f t="shared" si="21"/>
        <v>Compra</v>
      </c>
      <c r="X28" s="98">
        <f t="shared" si="23"/>
        <v>0</v>
      </c>
      <c r="Y28" s="61"/>
      <c r="Z28" s="275" t="s">
        <v>119</v>
      </c>
      <c r="AA28" s="276">
        <f>C11</f>
        <v>11760</v>
      </c>
      <c r="AB28" s="244">
        <f>AA28/AA34</f>
        <v>4.1466942454744266E-3</v>
      </c>
      <c r="AC28" s="263" t="s">
        <v>275</v>
      </c>
      <c r="AD28" s="268">
        <f>C14</f>
        <v>150280</v>
      </c>
      <c r="AE28" s="247">
        <f t="shared" si="24"/>
        <v>5.2990239048460612E-2</v>
      </c>
      <c r="AG28" s="61"/>
    </row>
    <row r="29" spans="1:33" x14ac:dyDescent="0.25">
      <c r="A29" s="74"/>
      <c r="B29" s="313"/>
      <c r="C29" s="108" t="s">
        <v>146</v>
      </c>
      <c r="D29" s="106">
        <v>7790</v>
      </c>
      <c r="E29" s="106">
        <v>7790</v>
      </c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W29" s="94" t="str">
        <f t="shared" si="21"/>
        <v>Entrenador</v>
      </c>
      <c r="X29" s="98">
        <f t="shared" si="23"/>
        <v>0.13762266702177789</v>
      </c>
      <c r="Z29" s="275" t="s">
        <v>129</v>
      </c>
      <c r="AA29" s="276">
        <f>C12</f>
        <v>903000</v>
      </c>
      <c r="AB29" s="244">
        <f>AA29/AA34</f>
        <v>0.3184068795632149</v>
      </c>
      <c r="AC29" s="263" t="s">
        <v>132</v>
      </c>
      <c r="AD29" s="268">
        <f>C15</f>
        <v>131900</v>
      </c>
      <c r="AE29" s="247">
        <f t="shared" si="24"/>
        <v>4.6509266239632384E-2</v>
      </c>
    </row>
    <row r="30" spans="1:33" x14ac:dyDescent="0.25">
      <c r="A30" s="74"/>
      <c r="B30" s="313"/>
      <c r="C30" s="108" t="s">
        <v>147</v>
      </c>
      <c r="D30" s="106">
        <v>14830</v>
      </c>
      <c r="E30" s="106">
        <v>14830</v>
      </c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W30" s="94" t="str">
        <f t="shared" si="21"/>
        <v>Viajes+Venta</v>
      </c>
      <c r="X30" s="98">
        <f t="shared" si="23"/>
        <v>3.5852574214828626E-3</v>
      </c>
      <c r="Z30" s="275" t="s">
        <v>121</v>
      </c>
      <c r="AA30" s="276">
        <f>C6</f>
        <v>874189</v>
      </c>
      <c r="AB30" s="244">
        <f>AA30/AA34</f>
        <v>0.3082478312718574</v>
      </c>
      <c r="AC30" s="263" t="s">
        <v>135</v>
      </c>
      <c r="AD30" s="268">
        <f>C17</f>
        <v>946560</v>
      </c>
      <c r="AE30" s="247">
        <f t="shared" si="24"/>
        <v>0.33376657355410483</v>
      </c>
    </row>
    <row r="31" spans="1:33" x14ac:dyDescent="0.25">
      <c r="A31" s="74"/>
      <c r="B31" s="313"/>
      <c r="C31" s="108" t="s">
        <v>148</v>
      </c>
      <c r="D31" s="106">
        <v>5250</v>
      </c>
      <c r="E31" s="106">
        <v>5250</v>
      </c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W31" s="94" t="str">
        <f t="shared" si="21"/>
        <v>Intereses</v>
      </c>
      <c r="X31" s="98">
        <f t="shared" si="23"/>
        <v>0</v>
      </c>
      <c r="Z31" s="275" t="s">
        <v>122</v>
      </c>
      <c r="AA31" s="276">
        <f>C7</f>
        <v>390345</v>
      </c>
      <c r="AB31" s="244">
        <f>AA31/AA34</f>
        <v>0.13763957187497575</v>
      </c>
      <c r="AC31" s="263" t="s">
        <v>136</v>
      </c>
      <c r="AD31" s="268">
        <f>C18</f>
        <v>360000</v>
      </c>
      <c r="AE31" s="247">
        <f t="shared" si="24"/>
        <v>0.12693961975942122</v>
      </c>
    </row>
    <row r="32" spans="1:33" ht="18.75" x14ac:dyDescent="0.3">
      <c r="A32" s="74"/>
      <c r="B32" s="313"/>
      <c r="C32" s="108" t="s">
        <v>149</v>
      </c>
      <c r="D32" s="109" t="s">
        <v>150</v>
      </c>
      <c r="E32" s="109" t="s">
        <v>250</v>
      </c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W32" s="61"/>
      <c r="X32" s="103">
        <f>SUM(X23:X31)</f>
        <v>1.0000000000000002</v>
      </c>
      <c r="Z32" s="275" t="s">
        <v>126</v>
      </c>
      <c r="AA32" s="276">
        <f>C10</f>
        <v>0</v>
      </c>
      <c r="AB32" s="244">
        <f>AA32/AA34</f>
        <v>0</v>
      </c>
      <c r="AC32" s="263" t="s">
        <v>140</v>
      </c>
      <c r="AD32" s="268">
        <f>C21</f>
        <v>7000</v>
      </c>
      <c r="AE32" s="247">
        <f t="shared" si="24"/>
        <v>2.468270384210968E-3</v>
      </c>
    </row>
    <row r="33" spans="1:32" ht="18.75" x14ac:dyDescent="0.3">
      <c r="A33" s="74"/>
      <c r="B33" s="313"/>
      <c r="C33" s="108" t="s">
        <v>151</v>
      </c>
      <c r="D33" s="110">
        <v>5.25</v>
      </c>
      <c r="E33" s="110">
        <v>5.25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W33" s="7"/>
      <c r="X33" s="107"/>
      <c r="Z33" s="238"/>
      <c r="AA33" s="239"/>
      <c r="AB33" s="240"/>
      <c r="AC33" s="277" t="s">
        <v>141</v>
      </c>
      <c r="AD33" s="278">
        <f>C22</f>
        <v>0</v>
      </c>
      <c r="AE33" s="279">
        <f t="shared" si="24"/>
        <v>0</v>
      </c>
    </row>
    <row r="34" spans="1:32" ht="18.75" x14ac:dyDescent="0.3">
      <c r="A34" s="61"/>
      <c r="B34" s="313"/>
      <c r="C34" s="108" t="s">
        <v>152</v>
      </c>
      <c r="D34" s="110">
        <v>4.75</v>
      </c>
      <c r="E34" s="110">
        <v>4.75</v>
      </c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W34" s="314">
        <f>C23</f>
        <v>1952440</v>
      </c>
      <c r="X34" s="314"/>
      <c r="Z34" s="280" t="s">
        <v>229</v>
      </c>
      <c r="AA34" s="281">
        <f>AA27+AA21+AA17+AA11+AA6</f>
        <v>2835994</v>
      </c>
      <c r="AB34" s="282">
        <f>AA34/AA34</f>
        <v>1</v>
      </c>
      <c r="AC34" s="280" t="s">
        <v>229</v>
      </c>
      <c r="AD34" s="281">
        <f>AD27+AD19+AD11+AD6+AD23</f>
        <v>2835994</v>
      </c>
      <c r="AE34" s="283">
        <f t="shared" si="24"/>
        <v>1</v>
      </c>
    </row>
    <row r="35" spans="1:32" x14ac:dyDescent="0.25">
      <c r="A35" s="61"/>
      <c r="B35" s="313"/>
      <c r="C35" s="108" t="s">
        <v>153</v>
      </c>
      <c r="D35" s="110">
        <v>2.25</v>
      </c>
      <c r="E35" s="110">
        <v>2.5</v>
      </c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AA35" s="232"/>
      <c r="AB35" s="284"/>
      <c r="AC35" s="285"/>
      <c r="AD35" s="286"/>
      <c r="AE35" s="232"/>
    </row>
    <row r="36" spans="1:32" x14ac:dyDescent="0.25">
      <c r="A36" s="61"/>
      <c r="B36" s="61"/>
      <c r="C36" s="111" t="s">
        <v>154</v>
      </c>
      <c r="D36" s="112">
        <f t="shared" ref="D36:R36" si="25">D28/D29</f>
        <v>2.4736842105263159</v>
      </c>
      <c r="E36" s="112">
        <f t="shared" si="25"/>
        <v>2.4505776636713734</v>
      </c>
      <c r="F36" s="112" t="e">
        <f t="shared" si="25"/>
        <v>#DIV/0!</v>
      </c>
      <c r="G36" s="112" t="e">
        <f t="shared" si="25"/>
        <v>#DIV/0!</v>
      </c>
      <c r="H36" s="112" t="e">
        <f t="shared" si="25"/>
        <v>#DIV/0!</v>
      </c>
      <c r="I36" s="112" t="e">
        <f t="shared" si="25"/>
        <v>#DIV/0!</v>
      </c>
      <c r="J36" s="112" t="e">
        <f t="shared" si="25"/>
        <v>#DIV/0!</v>
      </c>
      <c r="K36" s="112" t="e">
        <f t="shared" si="25"/>
        <v>#DIV/0!</v>
      </c>
      <c r="L36" s="112" t="e">
        <f t="shared" si="25"/>
        <v>#DIV/0!</v>
      </c>
      <c r="M36" s="112" t="e">
        <f t="shared" si="25"/>
        <v>#DIV/0!</v>
      </c>
      <c r="N36" s="112" t="e">
        <f t="shared" si="25"/>
        <v>#DIV/0!</v>
      </c>
      <c r="O36" s="112" t="e">
        <f t="shared" si="25"/>
        <v>#DIV/0!</v>
      </c>
      <c r="P36" s="112" t="e">
        <f t="shared" si="25"/>
        <v>#DIV/0!</v>
      </c>
      <c r="Q36" s="112" t="e">
        <f t="shared" si="25"/>
        <v>#DIV/0!</v>
      </c>
      <c r="R36" s="112" t="e">
        <f t="shared" si="25"/>
        <v>#DIV/0!</v>
      </c>
      <c r="S36" s="112"/>
      <c r="T36" s="112"/>
      <c r="U36" s="112" t="e">
        <f>U28/U29</f>
        <v>#DIV/0!</v>
      </c>
      <c r="AA36" s="232"/>
      <c r="AB36" s="232"/>
      <c r="AD36" s="232"/>
      <c r="AE36" s="232"/>
      <c r="AF36" s="232"/>
    </row>
    <row r="37" spans="1:32" ht="15.75" x14ac:dyDescent="0.25">
      <c r="A37" s="61"/>
      <c r="B37" s="61"/>
      <c r="C37" s="61"/>
      <c r="E37" s="62"/>
      <c r="F37" s="75"/>
      <c r="G37" s="327"/>
      <c r="H37" s="327"/>
      <c r="I37" s="327"/>
      <c r="J37" s="327"/>
      <c r="Z37" s="287"/>
      <c r="AA37" s="288"/>
      <c r="AB37" s="232"/>
      <c r="AC37" s="289"/>
      <c r="AD37" s="290"/>
      <c r="AE37" s="290"/>
    </row>
    <row r="38" spans="1:32" x14ac:dyDescent="0.25">
      <c r="A38" s="61"/>
      <c r="B38" s="61"/>
      <c r="C38" s="61"/>
      <c r="D38" s="62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AA38" s="290"/>
      <c r="AB38" s="232"/>
      <c r="AD38" s="232"/>
      <c r="AE38" s="232"/>
    </row>
    <row r="39" spans="1:32" x14ac:dyDescent="0.25">
      <c r="A39" s="61"/>
      <c r="B39" s="61"/>
      <c r="C39" s="61"/>
      <c r="D39" s="114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AA39" s="232"/>
      <c r="AB39" s="232"/>
      <c r="AD39" s="232"/>
      <c r="AE39" s="232"/>
    </row>
    <row r="40" spans="1:32" x14ac:dyDescent="0.25">
      <c r="A40" s="61"/>
      <c r="B40" s="61"/>
      <c r="C40" s="61"/>
      <c r="D40" s="62"/>
      <c r="F40" s="75"/>
      <c r="G40" s="328"/>
      <c r="H40" s="328"/>
      <c r="I40" s="328"/>
      <c r="J40" s="328"/>
      <c r="M40" s="115"/>
    </row>
    <row r="41" spans="1:32" x14ac:dyDescent="0.25">
      <c r="A41" s="61"/>
      <c r="B41" s="61"/>
      <c r="C41" s="61"/>
      <c r="D41" s="62"/>
      <c r="E41" s="115"/>
      <c r="F41" s="75"/>
      <c r="G41" s="116"/>
      <c r="H41" s="116"/>
      <c r="I41" s="116"/>
      <c r="J41" s="116"/>
    </row>
    <row r="42" spans="1:32" x14ac:dyDescent="0.25">
      <c r="A42" s="61"/>
      <c r="B42" s="61"/>
      <c r="C42" s="61"/>
      <c r="D42" s="62"/>
      <c r="F42" s="75"/>
      <c r="G42" s="328"/>
      <c r="H42" s="328"/>
      <c r="I42" s="328"/>
      <c r="J42" s="328"/>
      <c r="P42" s="115"/>
    </row>
    <row r="43" spans="1:32" x14ac:dyDescent="0.25">
      <c r="A43" s="61"/>
      <c r="B43" s="61"/>
      <c r="C43" s="61"/>
      <c r="D43" s="62"/>
      <c r="F43" s="75"/>
      <c r="G43" s="328"/>
      <c r="H43" s="328"/>
      <c r="I43" s="328"/>
      <c r="J43" s="117"/>
    </row>
    <row r="44" spans="1:32" x14ac:dyDescent="0.25">
      <c r="A44" s="61"/>
      <c r="B44" s="61"/>
      <c r="C44" s="61"/>
      <c r="D44" s="62"/>
      <c r="F44" s="75"/>
    </row>
    <row r="45" spans="1:32" x14ac:dyDescent="0.25">
      <c r="A45" s="61"/>
      <c r="B45" s="61"/>
      <c r="C45" s="61"/>
      <c r="D45" s="62"/>
      <c r="F45" s="75"/>
    </row>
    <row r="46" spans="1:32" x14ac:dyDescent="0.25">
      <c r="A46" s="61"/>
      <c r="B46" s="61"/>
      <c r="C46" s="61"/>
      <c r="D46" s="62"/>
      <c r="F46" s="75"/>
    </row>
    <row r="47" spans="1:32" x14ac:dyDescent="0.25">
      <c r="A47" s="61"/>
      <c r="B47" s="61"/>
      <c r="C47" s="61"/>
      <c r="D47" s="62"/>
      <c r="F47" s="75"/>
    </row>
    <row r="48" spans="1:32" x14ac:dyDescent="0.25">
      <c r="A48" s="61"/>
      <c r="B48" s="61"/>
      <c r="C48" s="61"/>
      <c r="D48" s="62"/>
      <c r="F48" s="75"/>
    </row>
    <row r="49" spans="1:6" x14ac:dyDescent="0.25">
      <c r="A49" s="61"/>
      <c r="B49" s="61"/>
      <c r="C49" s="61"/>
      <c r="D49" s="62"/>
      <c r="F49" s="75"/>
    </row>
    <row r="50" spans="1:6" x14ac:dyDescent="0.25">
      <c r="A50" s="61"/>
      <c r="B50" s="61"/>
      <c r="C50" s="61"/>
      <c r="D50" s="62"/>
      <c r="F50" s="75"/>
    </row>
    <row r="51" spans="1:6" x14ac:dyDescent="0.25">
      <c r="A51" s="61"/>
      <c r="B51" s="61"/>
      <c r="C51" s="61"/>
      <c r="D51" s="62"/>
      <c r="F51" s="75"/>
    </row>
    <row r="52" spans="1:6" x14ac:dyDescent="0.25">
      <c r="A52" s="61"/>
      <c r="B52" s="61"/>
      <c r="C52" s="61"/>
      <c r="D52" s="62"/>
      <c r="F52" s="75"/>
    </row>
    <row r="53" spans="1:6" x14ac:dyDescent="0.25">
      <c r="A53" s="61"/>
      <c r="B53" s="61"/>
      <c r="C53" s="61"/>
      <c r="D53" s="62"/>
      <c r="F53" s="75"/>
    </row>
    <row r="54" spans="1:6" x14ac:dyDescent="0.25">
      <c r="A54" s="61"/>
      <c r="B54" s="61"/>
      <c r="C54" s="61"/>
      <c r="D54" s="62"/>
      <c r="F54" s="75"/>
    </row>
    <row r="55" spans="1:6" x14ac:dyDescent="0.25">
      <c r="A55" s="61"/>
      <c r="B55" s="61"/>
      <c r="C55" s="61"/>
      <c r="D55" s="62"/>
      <c r="F55" s="75"/>
    </row>
    <row r="56" spans="1:6" x14ac:dyDescent="0.25">
      <c r="A56" s="61"/>
      <c r="B56" s="61"/>
      <c r="C56" s="61"/>
      <c r="D56" s="62"/>
      <c r="F56" s="75"/>
    </row>
    <row r="57" spans="1:6" x14ac:dyDescent="0.25">
      <c r="A57" s="61"/>
      <c r="B57" s="61"/>
      <c r="C57" s="61"/>
      <c r="D57" s="62"/>
      <c r="F57" s="75"/>
    </row>
    <row r="58" spans="1:6" x14ac:dyDescent="0.25">
      <c r="A58" s="61"/>
      <c r="B58" s="61"/>
      <c r="C58" s="61"/>
      <c r="D58" s="62"/>
      <c r="F58" s="75"/>
    </row>
    <row r="59" spans="1:6" x14ac:dyDescent="0.25">
      <c r="A59" s="61"/>
      <c r="B59" s="61"/>
      <c r="C59" s="61"/>
      <c r="D59" s="62"/>
      <c r="F59" s="75"/>
    </row>
    <row r="60" spans="1:6" x14ac:dyDescent="0.25">
      <c r="A60" s="61"/>
      <c r="B60" s="61"/>
      <c r="C60" s="61"/>
      <c r="D60" s="62"/>
      <c r="F60" s="75"/>
    </row>
    <row r="61" spans="1:6" x14ac:dyDescent="0.25">
      <c r="A61" s="61"/>
      <c r="B61" s="61"/>
      <c r="C61" s="61"/>
      <c r="D61" s="62"/>
      <c r="F61" s="75"/>
    </row>
    <row r="62" spans="1:6" x14ac:dyDescent="0.25">
      <c r="A62" s="61"/>
      <c r="B62" s="61"/>
      <c r="C62" s="61"/>
      <c r="D62" s="62"/>
      <c r="F62" s="75"/>
    </row>
    <row r="63" spans="1:6" x14ac:dyDescent="0.25">
      <c r="A63" s="61"/>
      <c r="B63" s="61"/>
      <c r="C63" s="61"/>
      <c r="D63" s="62"/>
      <c r="F63" s="75"/>
    </row>
    <row r="64" spans="1:6" x14ac:dyDescent="0.25">
      <c r="A64" s="61"/>
      <c r="B64" s="61"/>
      <c r="C64" s="61"/>
      <c r="D64" s="62"/>
      <c r="F64" s="75"/>
    </row>
    <row r="65" spans="1:6" x14ac:dyDescent="0.25">
      <c r="A65" s="61"/>
      <c r="B65" s="61"/>
      <c r="C65" s="61"/>
      <c r="D65" s="62"/>
      <c r="F65" s="75"/>
    </row>
    <row r="66" spans="1:6" x14ac:dyDescent="0.25">
      <c r="A66" s="61"/>
      <c r="B66" s="61"/>
      <c r="C66" s="61"/>
      <c r="D66" s="62"/>
      <c r="F66" s="75"/>
    </row>
    <row r="67" spans="1:6" x14ac:dyDescent="0.25">
      <c r="A67" s="61"/>
      <c r="B67" s="61"/>
      <c r="C67" s="61"/>
      <c r="D67" s="62"/>
      <c r="F67" s="75"/>
    </row>
    <row r="68" spans="1:6" x14ac:dyDescent="0.25">
      <c r="A68" s="61"/>
      <c r="B68" s="61"/>
      <c r="C68" s="61"/>
      <c r="D68" s="62"/>
      <c r="F68" s="75"/>
    </row>
    <row r="69" spans="1:6" x14ac:dyDescent="0.25">
      <c r="A69" s="61"/>
      <c r="B69" s="61"/>
      <c r="C69" s="61"/>
      <c r="D69" s="62"/>
      <c r="F69" s="75"/>
    </row>
    <row r="70" spans="1:6" x14ac:dyDescent="0.25">
      <c r="A70" s="61"/>
      <c r="B70" s="61"/>
      <c r="C70" s="61"/>
      <c r="D70" s="62"/>
      <c r="F70" s="75"/>
    </row>
    <row r="71" spans="1:6" x14ac:dyDescent="0.25">
      <c r="A71" s="61"/>
      <c r="B71" s="61"/>
      <c r="C71" s="61"/>
      <c r="D71" s="62"/>
      <c r="F71" s="75"/>
    </row>
    <row r="72" spans="1:6" x14ac:dyDescent="0.25">
      <c r="A72" s="61"/>
      <c r="B72" s="61"/>
      <c r="C72" s="61"/>
      <c r="D72" s="62"/>
      <c r="F72" s="75"/>
    </row>
    <row r="73" spans="1:6" x14ac:dyDescent="0.25">
      <c r="A73" s="61"/>
      <c r="B73" s="61"/>
      <c r="C73" s="61"/>
      <c r="D73" s="62"/>
      <c r="F73" s="75"/>
    </row>
    <row r="74" spans="1:6" x14ac:dyDescent="0.25">
      <c r="A74" s="61"/>
      <c r="B74" s="61"/>
      <c r="C74" s="61"/>
      <c r="D74" s="62"/>
      <c r="F74" s="75"/>
    </row>
    <row r="75" spans="1:6" x14ac:dyDescent="0.25">
      <c r="A75" s="61"/>
      <c r="B75" s="61"/>
      <c r="C75" s="61"/>
      <c r="D75" s="62"/>
      <c r="F75" s="75"/>
    </row>
    <row r="76" spans="1:6" x14ac:dyDescent="0.25">
      <c r="A76" s="61"/>
      <c r="B76" s="61"/>
      <c r="C76" s="61"/>
      <c r="D76" s="62"/>
      <c r="F76" s="75"/>
    </row>
    <row r="77" spans="1:6" x14ac:dyDescent="0.25">
      <c r="A77" s="61"/>
      <c r="B77" s="61"/>
      <c r="C77" s="61"/>
      <c r="D77" s="62"/>
      <c r="F77" s="75"/>
    </row>
    <row r="78" spans="1:6" x14ac:dyDescent="0.25">
      <c r="A78" s="61"/>
      <c r="B78" s="61"/>
      <c r="C78" s="61"/>
      <c r="D78" s="62"/>
      <c r="F78" s="75"/>
    </row>
    <row r="79" spans="1:6" x14ac:dyDescent="0.25">
      <c r="A79" s="61"/>
      <c r="B79" s="61"/>
      <c r="C79" s="61"/>
      <c r="D79" s="62"/>
      <c r="F79" s="75"/>
    </row>
  </sheetData>
  <mergeCells count="13">
    <mergeCell ref="G37:H37"/>
    <mergeCell ref="I37:J37"/>
    <mergeCell ref="G40:J40"/>
    <mergeCell ref="G42:J42"/>
    <mergeCell ref="G43:I43"/>
    <mergeCell ref="B28:B35"/>
    <mergeCell ref="W34:X34"/>
    <mergeCell ref="A11:A12"/>
    <mergeCell ref="W14:X14"/>
    <mergeCell ref="Z2:AE2"/>
    <mergeCell ref="Z3:AE3"/>
    <mergeCell ref="Z4:AA4"/>
    <mergeCell ref="AC4:AD4"/>
  </mergeCells>
  <conditionalFormatting sqref="AD12:AD17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AD37">
    <cfRule type="cellIs" dxfId="4" priority="3" operator="lessThan">
      <formula>0</formula>
    </cfRule>
  </conditionalFormatting>
  <conditionalFormatting sqref="AA38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V39"/>
  <sheetViews>
    <sheetView zoomScaleNormal="100" workbookViewId="0">
      <selection activeCell="Q21" sqref="Q21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66" t="s">
        <v>204</v>
      </c>
      <c r="N1" s="166" t="s">
        <v>205</v>
      </c>
      <c r="O1" s="166" t="s">
        <v>206</v>
      </c>
      <c r="P1" s="166" t="s">
        <v>207</v>
      </c>
      <c r="Q1" s="166" t="s">
        <v>208</v>
      </c>
      <c r="R1" s="166" t="s">
        <v>209</v>
      </c>
      <c r="S1" s="166" t="s">
        <v>210</v>
      </c>
      <c r="U1" s="166" t="s">
        <v>211</v>
      </c>
    </row>
    <row r="2" spans="1:35" x14ac:dyDescent="0.25">
      <c r="C2" s="167" t="s">
        <v>212</v>
      </c>
      <c r="D2" s="329" t="s">
        <v>213</v>
      </c>
      <c r="E2" s="329"/>
      <c r="F2" s="330" t="s">
        <v>214</v>
      </c>
      <c r="G2" s="330"/>
      <c r="H2" s="331" t="s">
        <v>215</v>
      </c>
      <c r="I2" s="331"/>
      <c r="K2" s="60"/>
      <c r="M2" s="168">
        <v>11</v>
      </c>
      <c r="N2" s="169">
        <v>14.98</v>
      </c>
      <c r="O2" s="169">
        <v>5.95</v>
      </c>
      <c r="P2" s="170">
        <f t="shared" ref="P2:P12" si="0">U2*0.97</f>
        <v>5.3253000000000004</v>
      </c>
      <c r="Q2" s="169">
        <v>0.68</v>
      </c>
      <c r="R2" s="171">
        <v>27.09</v>
      </c>
      <c r="U2" s="169">
        <v>5.49</v>
      </c>
    </row>
    <row r="3" spans="1:35" x14ac:dyDescent="0.25">
      <c r="A3" s="172" t="s">
        <v>216</v>
      </c>
      <c r="B3" s="173">
        <f>B4+B5+B6+B7</f>
        <v>12000</v>
      </c>
      <c r="C3" s="174">
        <f>C4+C5+C6+C7</f>
        <v>12400</v>
      </c>
      <c r="D3" s="25" t="s">
        <v>217</v>
      </c>
      <c r="E3" s="25" t="s">
        <v>218</v>
      </c>
      <c r="F3" s="25" t="s">
        <v>217</v>
      </c>
      <c r="G3" s="25" t="s">
        <v>219</v>
      </c>
      <c r="H3" s="25" t="s">
        <v>217</v>
      </c>
      <c r="I3" s="175" t="s">
        <v>220</v>
      </c>
      <c r="J3" s="25" t="s">
        <v>221</v>
      </c>
      <c r="K3" s="25" t="s">
        <v>222</v>
      </c>
      <c r="M3" s="168">
        <v>10</v>
      </c>
      <c r="N3" s="176">
        <v>14.23</v>
      </c>
      <c r="O3" s="176">
        <v>5.59</v>
      </c>
      <c r="P3" s="170">
        <f t="shared" si="0"/>
        <v>4.9179000000000004</v>
      </c>
      <c r="Q3" s="176">
        <v>0.62</v>
      </c>
      <c r="R3" s="177">
        <v>25.52</v>
      </c>
      <c r="U3" s="176">
        <v>5.07</v>
      </c>
    </row>
    <row r="4" spans="1:35" x14ac:dyDescent="0.25">
      <c r="A4" s="172" t="s">
        <v>223</v>
      </c>
      <c r="B4" s="173">
        <v>8000</v>
      </c>
      <c r="C4" s="178">
        <v>8000</v>
      </c>
      <c r="D4" s="179">
        <v>45</v>
      </c>
      <c r="E4" s="180">
        <f>D4*(C4-B4)</f>
        <v>0</v>
      </c>
      <c r="F4" s="181">
        <v>0.5</v>
      </c>
      <c r="G4" s="180">
        <f>(C4-B4)*F4</f>
        <v>0</v>
      </c>
      <c r="H4" s="181">
        <v>7</v>
      </c>
      <c r="I4" s="182">
        <f>(C4-B4)*H4</f>
        <v>0</v>
      </c>
      <c r="J4" s="180">
        <f>H4*C4</f>
        <v>56000</v>
      </c>
      <c r="K4" s="25">
        <f>B4*F4</f>
        <v>4000</v>
      </c>
      <c r="L4" s="68">
        <f>5000*N13*F4</f>
        <v>1382.4289405684756</v>
      </c>
      <c r="M4" s="168">
        <v>9</v>
      </c>
      <c r="N4" s="169">
        <v>13.49</v>
      </c>
      <c r="O4" s="169">
        <v>5.24</v>
      </c>
      <c r="P4" s="170">
        <f t="shared" si="0"/>
        <v>4.5202</v>
      </c>
      <c r="Q4" s="169">
        <v>0.56999999999999995</v>
      </c>
      <c r="R4" s="171">
        <v>23.95</v>
      </c>
      <c r="U4" s="169">
        <v>4.66</v>
      </c>
    </row>
    <row r="5" spans="1:35" x14ac:dyDescent="0.25">
      <c r="A5" s="172" t="s">
        <v>224</v>
      </c>
      <c r="B5" s="173">
        <v>3000</v>
      </c>
      <c r="C5" s="183">
        <v>3000</v>
      </c>
      <c r="D5" s="184">
        <v>75</v>
      </c>
      <c r="E5" s="180">
        <f>D5*(C5-B5)</f>
        <v>0</v>
      </c>
      <c r="F5" s="185">
        <v>0.7</v>
      </c>
      <c r="G5" s="180">
        <f>(C5-B5)*F5</f>
        <v>0</v>
      </c>
      <c r="H5" s="185">
        <v>10</v>
      </c>
      <c r="I5" s="182">
        <f>(C5-B5)*H5</f>
        <v>0</v>
      </c>
      <c r="J5" s="180">
        <f>H5*C5</f>
        <v>30000</v>
      </c>
      <c r="K5" s="25">
        <f>B5*F5</f>
        <v>2100</v>
      </c>
      <c r="L5" s="68">
        <f>5000*O13*F5</f>
        <v>768.73385012919903</v>
      </c>
      <c r="M5" s="168">
        <v>8</v>
      </c>
      <c r="N5" s="176">
        <v>12.74</v>
      </c>
      <c r="O5" s="176">
        <v>4.8899999999999997</v>
      </c>
      <c r="P5" s="170">
        <f t="shared" si="0"/>
        <v>4.1224999999999996</v>
      </c>
      <c r="Q5" s="176">
        <v>0.51</v>
      </c>
      <c r="R5" s="177">
        <v>22.39</v>
      </c>
      <c r="U5" s="176">
        <v>4.25</v>
      </c>
    </row>
    <row r="6" spans="1:35" x14ac:dyDescent="0.25">
      <c r="A6" s="172" t="s">
        <v>225</v>
      </c>
      <c r="B6" s="173">
        <v>1000</v>
      </c>
      <c r="C6" s="183">
        <v>1200</v>
      </c>
      <c r="D6" s="179">
        <v>90</v>
      </c>
      <c r="E6" s="180">
        <f>D6*(C6-B6)</f>
        <v>18000</v>
      </c>
      <c r="F6" s="181">
        <v>1</v>
      </c>
      <c r="G6" s="180">
        <f>(C6-B6)*F6</f>
        <v>200</v>
      </c>
      <c r="H6" s="181">
        <v>19</v>
      </c>
      <c r="I6" s="182">
        <f>(C6-B6)*H6</f>
        <v>3800</v>
      </c>
      <c r="J6" s="180">
        <f>H6*C6</f>
        <v>22800</v>
      </c>
      <c r="K6" s="25">
        <f>B6*F6</f>
        <v>1000</v>
      </c>
      <c r="L6" s="68">
        <f>5000*P13*F6</f>
        <v>982.89036544850512</v>
      </c>
      <c r="M6" s="168">
        <v>7</v>
      </c>
      <c r="N6" s="169">
        <v>12</v>
      </c>
      <c r="O6" s="169">
        <v>4.53</v>
      </c>
      <c r="P6" s="170">
        <f t="shared" si="0"/>
        <v>3.7247999999999997</v>
      </c>
      <c r="Q6" s="169">
        <v>0.46</v>
      </c>
      <c r="R6" s="171">
        <v>20.83</v>
      </c>
      <c r="U6" s="169">
        <v>3.84</v>
      </c>
    </row>
    <row r="7" spans="1:35" x14ac:dyDescent="0.25">
      <c r="A7" s="172" t="s">
        <v>226</v>
      </c>
      <c r="B7" s="173">
        <v>0</v>
      </c>
      <c r="C7" s="186">
        <v>200</v>
      </c>
      <c r="D7" s="184">
        <v>300</v>
      </c>
      <c r="E7" s="180">
        <f>D7*(C7-B7)</f>
        <v>60000</v>
      </c>
      <c r="F7" s="185">
        <v>2.5</v>
      </c>
      <c r="G7" s="180">
        <f>(C7-B7)*F7</f>
        <v>500</v>
      </c>
      <c r="H7" s="185">
        <v>35</v>
      </c>
      <c r="I7" s="182">
        <f>(C7-B7)*H7</f>
        <v>7000</v>
      </c>
      <c r="J7" s="180">
        <f>H7*C7</f>
        <v>7000</v>
      </c>
      <c r="K7" s="25">
        <f>B7*F7</f>
        <v>0</v>
      </c>
      <c r="L7" s="68">
        <f>5000*Q13*F7</f>
        <v>313.76891842008126</v>
      </c>
      <c r="M7" s="168">
        <v>6</v>
      </c>
      <c r="N7" s="176">
        <v>11.26</v>
      </c>
      <c r="O7" s="176">
        <v>4.17</v>
      </c>
      <c r="P7" s="170">
        <f t="shared" si="0"/>
        <v>3.3367999999999998</v>
      </c>
      <c r="Q7" s="176">
        <v>0.41</v>
      </c>
      <c r="R7" s="177">
        <v>19.27</v>
      </c>
      <c r="U7" s="176">
        <v>3.44</v>
      </c>
    </row>
    <row r="8" spans="1:35" x14ac:dyDescent="0.25">
      <c r="C8" s="187">
        <f>C4/$C$3</f>
        <v>0.64516129032258063</v>
      </c>
      <c r="J8" s="180">
        <f>J7+J6+J5+J4</f>
        <v>115800</v>
      </c>
      <c r="K8" s="25">
        <f>K7+K6+K5+K4</f>
        <v>7100</v>
      </c>
      <c r="L8" s="25">
        <f>L7+L6+L5+L4</f>
        <v>3447.8220745662611</v>
      </c>
      <c r="M8" s="168">
        <v>5</v>
      </c>
      <c r="N8" s="169">
        <v>10.52</v>
      </c>
      <c r="O8" s="169">
        <v>3.81</v>
      </c>
      <c r="P8" s="170">
        <f t="shared" si="0"/>
        <v>2.9390999999999998</v>
      </c>
      <c r="Q8" s="169">
        <v>0.35</v>
      </c>
      <c r="R8" s="171">
        <v>17.72</v>
      </c>
      <c r="U8" s="169">
        <v>3.03</v>
      </c>
    </row>
    <row r="9" spans="1:35" x14ac:dyDescent="0.25">
      <c r="C9" s="188">
        <f>C5/$C$3</f>
        <v>0.24193548387096775</v>
      </c>
      <c r="E9" s="189">
        <f>C4-B4</f>
        <v>0</v>
      </c>
      <c r="H9">
        <f>H10+H11+H12+H13</f>
        <v>71304</v>
      </c>
      <c r="M9" s="168">
        <v>4</v>
      </c>
      <c r="N9" s="176">
        <v>9.8000000000000007</v>
      </c>
      <c r="O9" s="176">
        <v>3.46</v>
      </c>
      <c r="P9" s="170">
        <f t="shared" si="0"/>
        <v>2.5510999999999999</v>
      </c>
      <c r="Q9" s="176">
        <v>0.3</v>
      </c>
      <c r="R9" s="177">
        <v>16.170000000000002</v>
      </c>
      <c r="U9" s="176">
        <v>2.63</v>
      </c>
    </row>
    <row r="10" spans="1:35" x14ac:dyDescent="0.25">
      <c r="B10" s="190">
        <f>B11/B13</f>
        <v>0.11363636363636363</v>
      </c>
      <c r="C10" s="188">
        <f>C6/$C$3</f>
        <v>9.6774193548387094E-2</v>
      </c>
      <c r="E10" s="189">
        <f>C5-B5</f>
        <v>0</v>
      </c>
      <c r="H10">
        <v>40146</v>
      </c>
      <c r="I10" s="191">
        <f>H10/$H$9</f>
        <v>0.56302591719959605</v>
      </c>
      <c r="M10" s="168">
        <v>3</v>
      </c>
      <c r="N10" s="169">
        <v>9.09</v>
      </c>
      <c r="O10" s="169">
        <v>3.1</v>
      </c>
      <c r="P10" s="170">
        <f t="shared" si="0"/>
        <v>2.1436999999999999</v>
      </c>
      <c r="Q10" s="169">
        <v>0.24</v>
      </c>
      <c r="R10" s="171">
        <v>14.63</v>
      </c>
      <c r="U10" s="169">
        <v>2.21</v>
      </c>
    </row>
    <row r="11" spans="1:35" x14ac:dyDescent="0.25">
      <c r="A11" s="192" t="s">
        <v>227</v>
      </c>
      <c r="B11" s="193">
        <v>10000</v>
      </c>
      <c r="C11" s="188">
        <f>C7/$C$3</f>
        <v>1.6129032258064516E-2</v>
      </c>
      <c r="E11" s="189">
        <f>C6-B6</f>
        <v>200</v>
      </c>
      <c r="H11">
        <v>15594</v>
      </c>
      <c r="I11" s="191">
        <f>H11/$H$9</f>
        <v>0.21869740828004039</v>
      </c>
      <c r="M11" s="168">
        <v>2</v>
      </c>
      <c r="N11" s="176">
        <v>8.42</v>
      </c>
      <c r="O11" s="176">
        <v>2.73</v>
      </c>
      <c r="P11" s="170">
        <f t="shared" si="0"/>
        <v>1.7168999999999999</v>
      </c>
      <c r="Q11" s="176">
        <v>0.18</v>
      </c>
      <c r="R11" s="177">
        <v>13.09</v>
      </c>
      <c r="U11" s="176">
        <v>1.77</v>
      </c>
    </row>
    <row r="12" spans="1:35" x14ac:dyDescent="0.25">
      <c r="A12" s="192" t="s">
        <v>228</v>
      </c>
      <c r="B12" s="194">
        <f>E7+E6+E5+E4</f>
        <v>78000</v>
      </c>
      <c r="E12" s="189">
        <f>C7-B7</f>
        <v>200</v>
      </c>
      <c r="H12">
        <v>13868</v>
      </c>
      <c r="I12" s="191">
        <f>H12/$H$9</f>
        <v>0.19449119263996409</v>
      </c>
      <c r="M12" s="168">
        <v>1</v>
      </c>
      <c r="N12" s="169">
        <v>7.85</v>
      </c>
      <c r="O12" s="169">
        <v>2.34</v>
      </c>
      <c r="P12" s="170">
        <f t="shared" si="0"/>
        <v>1.1931</v>
      </c>
      <c r="Q12" s="169">
        <v>0.1</v>
      </c>
      <c r="R12" s="171">
        <v>11.53</v>
      </c>
      <c r="U12" s="169">
        <v>1.23</v>
      </c>
    </row>
    <row r="13" spans="1:35" x14ac:dyDescent="0.25">
      <c r="A13" s="195" t="s">
        <v>229</v>
      </c>
      <c r="B13" s="196">
        <f>B11+B12</f>
        <v>88000</v>
      </c>
      <c r="H13">
        <v>1696</v>
      </c>
      <c r="I13" s="191">
        <f>H13/$H$9</f>
        <v>2.3785481880399417E-2</v>
      </c>
      <c r="N13">
        <f>N2/R2</f>
        <v>0.55297157622739024</v>
      </c>
      <c r="O13">
        <f>O2/R2</f>
        <v>0.21963824289405687</v>
      </c>
      <c r="P13" s="170">
        <f>P2/R2</f>
        <v>0.19657807308970102</v>
      </c>
      <c r="Q13">
        <f>Q2/R2</f>
        <v>2.51015134736065E-2</v>
      </c>
    </row>
    <row r="15" spans="1:35" x14ac:dyDescent="0.25">
      <c r="A15" s="7"/>
      <c r="B15" s="197" t="s">
        <v>105</v>
      </c>
      <c r="C15" s="197" t="s">
        <v>106</v>
      </c>
      <c r="D15" s="197" t="s">
        <v>107</v>
      </c>
      <c r="E15" s="197" t="s">
        <v>108</v>
      </c>
      <c r="F15" s="197" t="s">
        <v>109</v>
      </c>
      <c r="G15" s="197" t="s">
        <v>110</v>
      </c>
      <c r="H15" s="197" t="s">
        <v>111</v>
      </c>
      <c r="I15" s="197" t="s">
        <v>112</v>
      </c>
      <c r="J15" s="197" t="s">
        <v>113</v>
      </c>
      <c r="K15" s="197" t="s">
        <v>114</v>
      </c>
      <c r="L15" s="197" t="s">
        <v>115</v>
      </c>
      <c r="M15" s="197" t="s">
        <v>116</v>
      </c>
      <c r="N15" s="197" t="s">
        <v>117</v>
      </c>
      <c r="O15" s="197" t="s">
        <v>118</v>
      </c>
      <c r="P15" s="197" t="s">
        <v>103</v>
      </c>
      <c r="Q15" s="197" t="s">
        <v>104</v>
      </c>
      <c r="R15" s="197" t="s">
        <v>105</v>
      </c>
      <c r="S15" s="197" t="s">
        <v>106</v>
      </c>
      <c r="T15" s="197" t="s">
        <v>107</v>
      </c>
      <c r="U15" s="197" t="s">
        <v>108</v>
      </c>
      <c r="V15" s="197" t="s">
        <v>109</v>
      </c>
      <c r="W15" s="197" t="s">
        <v>110</v>
      </c>
      <c r="X15" s="197" t="s">
        <v>111</v>
      </c>
      <c r="Y15" s="197" t="s">
        <v>112</v>
      </c>
      <c r="Z15" s="197" t="s">
        <v>113</v>
      </c>
      <c r="AA15" s="197" t="s">
        <v>114</v>
      </c>
      <c r="AB15" s="197" t="s">
        <v>115</v>
      </c>
      <c r="AC15" s="197" t="s">
        <v>116</v>
      </c>
      <c r="AD15" s="197" t="s">
        <v>117</v>
      </c>
      <c r="AE15" s="197" t="s">
        <v>118</v>
      </c>
      <c r="AF15" s="197" t="s">
        <v>103</v>
      </c>
      <c r="AG15" s="197" t="s">
        <v>104</v>
      </c>
      <c r="AH15" s="197"/>
      <c r="AI15" s="197"/>
    </row>
    <row r="16" spans="1:35" x14ac:dyDescent="0.25">
      <c r="A16" s="198" t="s">
        <v>230</v>
      </c>
      <c r="B16" s="199">
        <v>100</v>
      </c>
      <c r="C16" s="199">
        <f>B16+35</f>
        <v>135</v>
      </c>
      <c r="D16" s="199">
        <f t="shared" ref="D16:AD16" si="1">C16+35</f>
        <v>170</v>
      </c>
      <c r="E16" s="199">
        <f t="shared" si="1"/>
        <v>205</v>
      </c>
      <c r="F16" s="199">
        <f t="shared" si="1"/>
        <v>240</v>
      </c>
      <c r="G16" s="199">
        <f t="shared" si="1"/>
        <v>275</v>
      </c>
      <c r="H16" s="199">
        <f t="shared" si="1"/>
        <v>310</v>
      </c>
      <c r="I16" s="199">
        <f t="shared" si="1"/>
        <v>345</v>
      </c>
      <c r="J16" s="199">
        <f t="shared" si="1"/>
        <v>380</v>
      </c>
      <c r="K16" s="199">
        <f t="shared" si="1"/>
        <v>415</v>
      </c>
      <c r="L16" s="199">
        <f t="shared" si="1"/>
        <v>450</v>
      </c>
      <c r="M16" s="199">
        <f t="shared" si="1"/>
        <v>485</v>
      </c>
      <c r="N16" s="199">
        <f t="shared" si="1"/>
        <v>520</v>
      </c>
      <c r="O16" s="199">
        <f t="shared" si="1"/>
        <v>555</v>
      </c>
      <c r="P16" s="199">
        <f t="shared" si="1"/>
        <v>590</v>
      </c>
      <c r="Q16" s="199">
        <f t="shared" si="1"/>
        <v>625</v>
      </c>
      <c r="R16" s="199">
        <f t="shared" si="1"/>
        <v>660</v>
      </c>
      <c r="S16" s="199">
        <f t="shared" si="1"/>
        <v>695</v>
      </c>
      <c r="T16" s="199">
        <f t="shared" si="1"/>
        <v>730</v>
      </c>
      <c r="U16" s="199">
        <f t="shared" si="1"/>
        <v>765</v>
      </c>
      <c r="V16" s="199">
        <f t="shared" si="1"/>
        <v>800</v>
      </c>
      <c r="W16" s="199">
        <f t="shared" si="1"/>
        <v>835</v>
      </c>
      <c r="X16" s="199">
        <f t="shared" si="1"/>
        <v>870</v>
      </c>
      <c r="Y16" s="199">
        <f t="shared" si="1"/>
        <v>905</v>
      </c>
      <c r="Z16" s="199">
        <f t="shared" si="1"/>
        <v>940</v>
      </c>
      <c r="AA16" s="199">
        <f t="shared" si="1"/>
        <v>975</v>
      </c>
      <c r="AB16" s="199">
        <f t="shared" si="1"/>
        <v>1010</v>
      </c>
      <c r="AC16" s="199">
        <f t="shared" si="1"/>
        <v>1045</v>
      </c>
      <c r="AD16" s="199">
        <f t="shared" si="1"/>
        <v>1080</v>
      </c>
      <c r="AE16" s="199"/>
      <c r="AF16" s="198"/>
      <c r="AG16" s="198"/>
      <c r="AH16" s="198"/>
      <c r="AI16" s="198"/>
    </row>
    <row r="17" spans="1:48" x14ac:dyDescent="0.25">
      <c r="A17" s="198"/>
      <c r="B17" s="199">
        <f t="shared" ref="B17:AD17" si="2">B18+B19+B20+B21</f>
        <v>2226.25</v>
      </c>
      <c r="C17" s="199">
        <f t="shared" si="2"/>
        <v>3005.4375</v>
      </c>
      <c r="D17" s="199">
        <f t="shared" si="2"/>
        <v>3784.625</v>
      </c>
      <c r="E17" s="199">
        <f t="shared" si="2"/>
        <v>4563.8125</v>
      </c>
      <c r="F17" s="199">
        <f t="shared" si="2"/>
        <v>5342.9999999999991</v>
      </c>
      <c r="G17" s="199">
        <f t="shared" si="2"/>
        <v>6122.1875</v>
      </c>
      <c r="H17" s="199">
        <f t="shared" si="2"/>
        <v>6901.375</v>
      </c>
      <c r="I17" s="199">
        <f t="shared" si="2"/>
        <v>7680.5625</v>
      </c>
      <c r="J17" s="199">
        <f t="shared" si="2"/>
        <v>8459.7499999999982</v>
      </c>
      <c r="K17" s="199">
        <f t="shared" si="2"/>
        <v>9238.9375</v>
      </c>
      <c r="L17" s="199">
        <f t="shared" si="2"/>
        <v>10018.125</v>
      </c>
      <c r="M17" s="199">
        <f t="shared" si="2"/>
        <v>10797.3125</v>
      </c>
      <c r="N17" s="199">
        <f t="shared" si="2"/>
        <v>11576.5</v>
      </c>
      <c r="O17" s="199">
        <f t="shared" si="2"/>
        <v>12355.687499999998</v>
      </c>
      <c r="P17" s="199">
        <f t="shared" si="2"/>
        <v>13134.875</v>
      </c>
      <c r="Q17" s="199">
        <f t="shared" si="2"/>
        <v>13914.0625</v>
      </c>
      <c r="R17" s="199">
        <f t="shared" si="2"/>
        <v>14693.25</v>
      </c>
      <c r="S17" s="199">
        <f t="shared" si="2"/>
        <v>15472.4375</v>
      </c>
      <c r="T17" s="199">
        <f t="shared" si="2"/>
        <v>16251.625</v>
      </c>
      <c r="U17" s="199">
        <f t="shared" si="2"/>
        <v>17030.8125</v>
      </c>
      <c r="V17" s="199">
        <f t="shared" si="2"/>
        <v>17810</v>
      </c>
      <c r="W17" s="199">
        <f t="shared" si="2"/>
        <v>18589.187499999996</v>
      </c>
      <c r="X17" s="199">
        <f t="shared" si="2"/>
        <v>19368.375</v>
      </c>
      <c r="Y17" s="199">
        <f t="shared" si="2"/>
        <v>20147.5625</v>
      </c>
      <c r="Z17" s="199">
        <f t="shared" si="2"/>
        <v>20926.75</v>
      </c>
      <c r="AA17" s="199">
        <f t="shared" si="2"/>
        <v>21705.9375</v>
      </c>
      <c r="AB17" s="199">
        <f t="shared" si="2"/>
        <v>22485.124999999996</v>
      </c>
      <c r="AC17" s="199">
        <f t="shared" si="2"/>
        <v>23264.3125</v>
      </c>
      <c r="AD17" s="199">
        <f t="shared" si="2"/>
        <v>24043.5</v>
      </c>
      <c r="AE17" s="199"/>
      <c r="AF17" s="199"/>
      <c r="AG17" s="199"/>
      <c r="AH17" s="199"/>
      <c r="AI17" s="199"/>
    </row>
    <row r="18" spans="1:48" x14ac:dyDescent="0.25">
      <c r="A18" s="200" t="s">
        <v>231</v>
      </c>
      <c r="B18" s="201">
        <f t="shared" ref="B18:AD18" si="3">B16*$N$5</f>
        <v>1274</v>
      </c>
      <c r="C18" s="201">
        <f t="shared" si="3"/>
        <v>1719.9</v>
      </c>
      <c r="D18" s="201">
        <f t="shared" si="3"/>
        <v>2165.8000000000002</v>
      </c>
      <c r="E18" s="201">
        <f t="shared" si="3"/>
        <v>2611.6999999999998</v>
      </c>
      <c r="F18" s="201">
        <f t="shared" si="3"/>
        <v>3057.6</v>
      </c>
      <c r="G18" s="201">
        <f t="shared" si="3"/>
        <v>3503.5</v>
      </c>
      <c r="H18" s="201">
        <f t="shared" si="3"/>
        <v>3949.4</v>
      </c>
      <c r="I18" s="201">
        <f t="shared" si="3"/>
        <v>4395.3</v>
      </c>
      <c r="J18" s="201">
        <f t="shared" si="3"/>
        <v>4841.2</v>
      </c>
      <c r="K18" s="201">
        <f t="shared" si="3"/>
        <v>5287.1</v>
      </c>
      <c r="L18" s="201">
        <f t="shared" si="3"/>
        <v>5733</v>
      </c>
      <c r="M18" s="201">
        <f t="shared" si="3"/>
        <v>6178.9000000000005</v>
      </c>
      <c r="N18" s="201">
        <f t="shared" si="3"/>
        <v>6624.8</v>
      </c>
      <c r="O18" s="201">
        <f t="shared" si="3"/>
        <v>7070.7</v>
      </c>
      <c r="P18" s="201">
        <f t="shared" si="3"/>
        <v>7516.6</v>
      </c>
      <c r="Q18" s="201">
        <f t="shared" si="3"/>
        <v>7962.5</v>
      </c>
      <c r="R18" s="201">
        <f t="shared" si="3"/>
        <v>8408.4</v>
      </c>
      <c r="S18" s="201">
        <f t="shared" si="3"/>
        <v>8854.2999999999993</v>
      </c>
      <c r="T18" s="201">
        <f t="shared" si="3"/>
        <v>9300.2000000000007</v>
      </c>
      <c r="U18" s="201">
        <f t="shared" si="3"/>
        <v>9746.1</v>
      </c>
      <c r="V18" s="201">
        <f t="shared" si="3"/>
        <v>10192</v>
      </c>
      <c r="W18" s="201">
        <f t="shared" si="3"/>
        <v>10637.9</v>
      </c>
      <c r="X18" s="201">
        <f t="shared" si="3"/>
        <v>11083.800000000001</v>
      </c>
      <c r="Y18" s="201">
        <f t="shared" si="3"/>
        <v>11529.7</v>
      </c>
      <c r="Z18" s="201">
        <f t="shared" si="3"/>
        <v>11975.6</v>
      </c>
      <c r="AA18" s="201">
        <f t="shared" si="3"/>
        <v>12421.5</v>
      </c>
      <c r="AB18" s="201">
        <f t="shared" si="3"/>
        <v>12867.4</v>
      </c>
      <c r="AC18" s="201">
        <f t="shared" si="3"/>
        <v>13313.300000000001</v>
      </c>
      <c r="AD18" s="201">
        <f t="shared" si="3"/>
        <v>13759.2</v>
      </c>
      <c r="AE18" s="201"/>
      <c r="AF18" s="201"/>
      <c r="AG18" s="201"/>
      <c r="AH18" s="201"/>
      <c r="AI18" s="201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200" t="s">
        <v>232</v>
      </c>
      <c r="B19" s="201">
        <f t="shared" ref="B19:AD19" si="4">B16*$O$5</f>
        <v>488.99999999999994</v>
      </c>
      <c r="C19" s="201">
        <f t="shared" si="4"/>
        <v>660.15</v>
      </c>
      <c r="D19" s="201">
        <f t="shared" si="4"/>
        <v>831.3</v>
      </c>
      <c r="E19" s="201">
        <f t="shared" si="4"/>
        <v>1002.4499999999999</v>
      </c>
      <c r="F19" s="201">
        <f t="shared" si="4"/>
        <v>1173.5999999999999</v>
      </c>
      <c r="G19" s="201">
        <f t="shared" si="4"/>
        <v>1344.75</v>
      </c>
      <c r="H19" s="201">
        <f t="shared" si="4"/>
        <v>1515.8999999999999</v>
      </c>
      <c r="I19" s="201">
        <f t="shared" si="4"/>
        <v>1687.05</v>
      </c>
      <c r="J19" s="201">
        <f t="shared" si="4"/>
        <v>1858.1999999999998</v>
      </c>
      <c r="K19" s="201">
        <f t="shared" si="4"/>
        <v>2029.35</v>
      </c>
      <c r="L19" s="201">
        <f t="shared" si="4"/>
        <v>2200.5</v>
      </c>
      <c r="M19" s="201">
        <f t="shared" si="4"/>
        <v>2371.6499999999996</v>
      </c>
      <c r="N19" s="201">
        <f t="shared" si="4"/>
        <v>2542.7999999999997</v>
      </c>
      <c r="O19" s="201">
        <f t="shared" si="4"/>
        <v>2713.95</v>
      </c>
      <c r="P19" s="201">
        <f t="shared" si="4"/>
        <v>2885.1</v>
      </c>
      <c r="Q19" s="201">
        <f t="shared" si="4"/>
        <v>3056.25</v>
      </c>
      <c r="R19" s="201">
        <f t="shared" si="4"/>
        <v>3227.3999999999996</v>
      </c>
      <c r="S19" s="201">
        <f t="shared" si="4"/>
        <v>3398.5499999999997</v>
      </c>
      <c r="T19" s="201">
        <f t="shared" si="4"/>
        <v>3569.7</v>
      </c>
      <c r="U19" s="201">
        <f t="shared" si="4"/>
        <v>3740.85</v>
      </c>
      <c r="V19" s="201">
        <f t="shared" si="4"/>
        <v>3911.9999999999995</v>
      </c>
      <c r="W19" s="201">
        <f t="shared" si="4"/>
        <v>4083.1499999999996</v>
      </c>
      <c r="X19" s="201">
        <f t="shared" si="4"/>
        <v>4254.2999999999993</v>
      </c>
      <c r="Y19" s="201">
        <f t="shared" si="4"/>
        <v>4425.45</v>
      </c>
      <c r="Z19" s="201">
        <f t="shared" si="4"/>
        <v>4596.5999999999995</v>
      </c>
      <c r="AA19" s="201">
        <f t="shared" si="4"/>
        <v>4767.75</v>
      </c>
      <c r="AB19" s="201">
        <f t="shared" si="4"/>
        <v>4938.8999999999996</v>
      </c>
      <c r="AC19" s="201">
        <f t="shared" si="4"/>
        <v>5110.0499999999993</v>
      </c>
      <c r="AD19" s="201">
        <f t="shared" si="4"/>
        <v>5281.2</v>
      </c>
      <c r="AE19" s="201"/>
      <c r="AF19" s="201"/>
      <c r="AG19" s="201"/>
      <c r="AH19" s="201"/>
      <c r="AI19" s="201"/>
    </row>
    <row r="20" spans="1:48" x14ac:dyDescent="0.25">
      <c r="A20" s="200" t="s">
        <v>233</v>
      </c>
      <c r="B20" s="201">
        <f t="shared" ref="B20:AD20" si="5">B16*$P$5</f>
        <v>412.24999999999994</v>
      </c>
      <c r="C20" s="201">
        <f t="shared" si="5"/>
        <v>556.53749999999991</v>
      </c>
      <c r="D20" s="201">
        <f t="shared" si="5"/>
        <v>700.82499999999993</v>
      </c>
      <c r="E20" s="201">
        <f t="shared" si="5"/>
        <v>845.11249999999995</v>
      </c>
      <c r="F20" s="201">
        <f t="shared" si="5"/>
        <v>989.39999999999986</v>
      </c>
      <c r="G20" s="201">
        <f t="shared" si="5"/>
        <v>1133.6875</v>
      </c>
      <c r="H20" s="201">
        <f t="shared" si="5"/>
        <v>1277.9749999999999</v>
      </c>
      <c r="I20" s="201">
        <f t="shared" si="5"/>
        <v>1422.2624999999998</v>
      </c>
      <c r="J20" s="201">
        <f t="shared" si="5"/>
        <v>1566.55</v>
      </c>
      <c r="K20" s="201">
        <f t="shared" si="5"/>
        <v>1710.8374999999999</v>
      </c>
      <c r="L20" s="201">
        <f t="shared" si="5"/>
        <v>1855.1249999999998</v>
      </c>
      <c r="M20" s="201">
        <f t="shared" si="5"/>
        <v>1999.4124999999999</v>
      </c>
      <c r="N20" s="201">
        <f t="shared" si="5"/>
        <v>2143.6999999999998</v>
      </c>
      <c r="O20" s="201">
        <f t="shared" si="5"/>
        <v>2287.9874999999997</v>
      </c>
      <c r="P20" s="201">
        <f t="shared" si="5"/>
        <v>2432.2749999999996</v>
      </c>
      <c r="Q20" s="201">
        <f t="shared" si="5"/>
        <v>2576.5624999999995</v>
      </c>
      <c r="R20" s="201">
        <f t="shared" si="5"/>
        <v>2720.85</v>
      </c>
      <c r="S20" s="201">
        <f t="shared" si="5"/>
        <v>2865.1374999999998</v>
      </c>
      <c r="T20" s="201">
        <f t="shared" si="5"/>
        <v>3009.4249999999997</v>
      </c>
      <c r="U20" s="201">
        <f t="shared" si="5"/>
        <v>3153.7124999999996</v>
      </c>
      <c r="V20" s="201">
        <f t="shared" si="5"/>
        <v>3297.9999999999995</v>
      </c>
      <c r="W20" s="201">
        <f t="shared" si="5"/>
        <v>3442.2874999999995</v>
      </c>
      <c r="X20" s="201">
        <f t="shared" si="5"/>
        <v>3586.5749999999998</v>
      </c>
      <c r="Y20" s="201">
        <f t="shared" si="5"/>
        <v>3730.8624999999997</v>
      </c>
      <c r="Z20" s="201">
        <f t="shared" si="5"/>
        <v>3875.1499999999996</v>
      </c>
      <c r="AA20" s="201">
        <f t="shared" si="5"/>
        <v>4019.4374999999995</v>
      </c>
      <c r="AB20" s="201">
        <f t="shared" si="5"/>
        <v>4163.7249999999995</v>
      </c>
      <c r="AC20" s="201">
        <f t="shared" si="5"/>
        <v>4308.0124999999998</v>
      </c>
      <c r="AD20" s="201">
        <f t="shared" si="5"/>
        <v>4452.2999999999993</v>
      </c>
      <c r="AE20" s="201"/>
      <c r="AF20" s="201"/>
      <c r="AG20" s="201"/>
      <c r="AH20" s="201"/>
      <c r="AI20" s="201"/>
    </row>
    <row r="21" spans="1:48" x14ac:dyDescent="0.25">
      <c r="A21" s="200" t="s">
        <v>234</v>
      </c>
      <c r="B21" s="201">
        <f t="shared" ref="B21:AD21" si="6">B16*$Q$5</f>
        <v>51</v>
      </c>
      <c r="C21" s="201">
        <f t="shared" si="6"/>
        <v>68.849999999999994</v>
      </c>
      <c r="D21" s="201">
        <f t="shared" si="6"/>
        <v>86.7</v>
      </c>
      <c r="E21" s="201">
        <f t="shared" si="6"/>
        <v>104.55</v>
      </c>
      <c r="F21" s="201">
        <f t="shared" si="6"/>
        <v>122.4</v>
      </c>
      <c r="G21" s="201">
        <f t="shared" si="6"/>
        <v>140.25</v>
      </c>
      <c r="H21" s="201">
        <f t="shared" si="6"/>
        <v>158.1</v>
      </c>
      <c r="I21" s="201">
        <f t="shared" si="6"/>
        <v>175.95000000000002</v>
      </c>
      <c r="J21" s="201">
        <f t="shared" si="6"/>
        <v>193.8</v>
      </c>
      <c r="K21" s="201">
        <f t="shared" si="6"/>
        <v>211.65</v>
      </c>
      <c r="L21" s="201">
        <f t="shared" si="6"/>
        <v>229.5</v>
      </c>
      <c r="M21" s="201">
        <f t="shared" si="6"/>
        <v>247.35</v>
      </c>
      <c r="N21" s="201">
        <f t="shared" si="6"/>
        <v>265.2</v>
      </c>
      <c r="O21" s="201">
        <f t="shared" si="6"/>
        <v>283.05</v>
      </c>
      <c r="P21" s="201">
        <f t="shared" si="6"/>
        <v>300.89999999999998</v>
      </c>
      <c r="Q21" s="201">
        <f t="shared" si="6"/>
        <v>318.75</v>
      </c>
      <c r="R21" s="201">
        <f t="shared" si="6"/>
        <v>336.6</v>
      </c>
      <c r="S21" s="201">
        <f t="shared" si="6"/>
        <v>354.45</v>
      </c>
      <c r="T21" s="201">
        <f t="shared" si="6"/>
        <v>372.3</v>
      </c>
      <c r="U21" s="201">
        <f t="shared" si="6"/>
        <v>390.15000000000003</v>
      </c>
      <c r="V21" s="201">
        <f t="shared" si="6"/>
        <v>408</v>
      </c>
      <c r="W21" s="201">
        <f t="shared" si="6"/>
        <v>425.85</v>
      </c>
      <c r="X21" s="201">
        <f t="shared" si="6"/>
        <v>443.7</v>
      </c>
      <c r="Y21" s="201">
        <f t="shared" si="6"/>
        <v>461.55</v>
      </c>
      <c r="Z21" s="201">
        <f t="shared" si="6"/>
        <v>479.40000000000003</v>
      </c>
      <c r="AA21" s="201">
        <f t="shared" si="6"/>
        <v>497.25</v>
      </c>
      <c r="AB21" s="201">
        <f t="shared" si="6"/>
        <v>515.1</v>
      </c>
      <c r="AC21" s="201">
        <f t="shared" si="6"/>
        <v>532.95000000000005</v>
      </c>
      <c r="AD21" s="201">
        <f t="shared" si="6"/>
        <v>550.79999999999995</v>
      </c>
      <c r="AE21" s="201"/>
      <c r="AF21" s="201"/>
      <c r="AG21" s="201"/>
      <c r="AH21" s="201"/>
      <c r="AI21" s="201"/>
    </row>
    <row r="22" spans="1:48" x14ac:dyDescent="0.25">
      <c r="A22" s="200" t="s">
        <v>235</v>
      </c>
      <c r="B22" s="201">
        <f t="shared" ref="B22:AD22" si="7">MIN(B$18,$C$4)</f>
        <v>1274</v>
      </c>
      <c r="C22" s="201">
        <f t="shared" si="7"/>
        <v>1719.9</v>
      </c>
      <c r="D22" s="201">
        <f t="shared" si="7"/>
        <v>2165.8000000000002</v>
      </c>
      <c r="E22" s="201">
        <f t="shared" si="7"/>
        <v>2611.6999999999998</v>
      </c>
      <c r="F22" s="201">
        <f t="shared" si="7"/>
        <v>3057.6</v>
      </c>
      <c r="G22" s="201">
        <f t="shared" si="7"/>
        <v>3503.5</v>
      </c>
      <c r="H22" s="201">
        <f t="shared" si="7"/>
        <v>3949.4</v>
      </c>
      <c r="I22" s="201">
        <f t="shared" si="7"/>
        <v>4395.3</v>
      </c>
      <c r="J22" s="201">
        <f t="shared" si="7"/>
        <v>4841.2</v>
      </c>
      <c r="K22" s="201">
        <f t="shared" si="7"/>
        <v>5287.1</v>
      </c>
      <c r="L22" s="201">
        <f t="shared" si="7"/>
        <v>5733</v>
      </c>
      <c r="M22" s="201">
        <f t="shared" si="7"/>
        <v>6178.9000000000005</v>
      </c>
      <c r="N22" s="201">
        <f t="shared" si="7"/>
        <v>6624.8</v>
      </c>
      <c r="O22" s="201">
        <f t="shared" si="7"/>
        <v>7070.7</v>
      </c>
      <c r="P22" s="201">
        <f t="shared" si="7"/>
        <v>7516.6</v>
      </c>
      <c r="Q22" s="201">
        <f t="shared" si="7"/>
        <v>7962.5</v>
      </c>
      <c r="R22" s="201">
        <f t="shared" si="7"/>
        <v>8000</v>
      </c>
      <c r="S22" s="201">
        <f t="shared" si="7"/>
        <v>8000</v>
      </c>
      <c r="T22" s="201">
        <f t="shared" si="7"/>
        <v>8000</v>
      </c>
      <c r="U22" s="201">
        <f t="shared" si="7"/>
        <v>8000</v>
      </c>
      <c r="V22" s="201">
        <f t="shared" si="7"/>
        <v>8000</v>
      </c>
      <c r="W22" s="201">
        <f t="shared" si="7"/>
        <v>8000</v>
      </c>
      <c r="X22" s="201">
        <f t="shared" si="7"/>
        <v>8000</v>
      </c>
      <c r="Y22" s="201">
        <f t="shared" si="7"/>
        <v>8000</v>
      </c>
      <c r="Z22" s="201">
        <f t="shared" si="7"/>
        <v>8000</v>
      </c>
      <c r="AA22" s="201">
        <f t="shared" si="7"/>
        <v>8000</v>
      </c>
      <c r="AB22" s="201">
        <f t="shared" si="7"/>
        <v>8000</v>
      </c>
      <c r="AC22" s="201">
        <f t="shared" si="7"/>
        <v>8000</v>
      </c>
      <c r="AD22" s="201">
        <f t="shared" si="7"/>
        <v>8000</v>
      </c>
      <c r="AE22" s="201"/>
      <c r="AF22" s="201"/>
      <c r="AG22" s="201"/>
      <c r="AH22" s="201"/>
      <c r="AI22" s="201"/>
    </row>
    <row r="23" spans="1:48" x14ac:dyDescent="0.25">
      <c r="A23" s="200" t="s">
        <v>236</v>
      </c>
      <c r="B23" s="201">
        <f t="shared" ref="B23:AD23" si="8">MIN(B$19,$C$5)</f>
        <v>488.99999999999994</v>
      </c>
      <c r="C23" s="201">
        <f t="shared" si="8"/>
        <v>660.15</v>
      </c>
      <c r="D23" s="201">
        <f t="shared" si="8"/>
        <v>831.3</v>
      </c>
      <c r="E23" s="201">
        <f t="shared" si="8"/>
        <v>1002.4499999999999</v>
      </c>
      <c r="F23" s="201">
        <f t="shared" si="8"/>
        <v>1173.5999999999999</v>
      </c>
      <c r="G23" s="201">
        <f t="shared" si="8"/>
        <v>1344.75</v>
      </c>
      <c r="H23" s="201">
        <f t="shared" si="8"/>
        <v>1515.8999999999999</v>
      </c>
      <c r="I23" s="201">
        <f t="shared" si="8"/>
        <v>1687.05</v>
      </c>
      <c r="J23" s="201">
        <f t="shared" si="8"/>
        <v>1858.1999999999998</v>
      </c>
      <c r="K23" s="201">
        <f t="shared" si="8"/>
        <v>2029.35</v>
      </c>
      <c r="L23" s="201">
        <f t="shared" si="8"/>
        <v>2200.5</v>
      </c>
      <c r="M23" s="201">
        <f t="shared" si="8"/>
        <v>2371.6499999999996</v>
      </c>
      <c r="N23" s="201">
        <f t="shared" si="8"/>
        <v>2542.7999999999997</v>
      </c>
      <c r="O23" s="201">
        <f t="shared" si="8"/>
        <v>2713.95</v>
      </c>
      <c r="P23" s="201">
        <f t="shared" si="8"/>
        <v>2885.1</v>
      </c>
      <c r="Q23" s="201">
        <f t="shared" si="8"/>
        <v>3000</v>
      </c>
      <c r="R23" s="201">
        <f t="shared" si="8"/>
        <v>3000</v>
      </c>
      <c r="S23" s="201">
        <f t="shared" si="8"/>
        <v>3000</v>
      </c>
      <c r="T23" s="201">
        <f t="shared" si="8"/>
        <v>3000</v>
      </c>
      <c r="U23" s="201">
        <f t="shared" si="8"/>
        <v>3000</v>
      </c>
      <c r="V23" s="201">
        <f t="shared" si="8"/>
        <v>3000</v>
      </c>
      <c r="W23" s="201">
        <f t="shared" si="8"/>
        <v>3000</v>
      </c>
      <c r="X23" s="201">
        <f t="shared" si="8"/>
        <v>3000</v>
      </c>
      <c r="Y23" s="201">
        <f t="shared" si="8"/>
        <v>3000</v>
      </c>
      <c r="Z23" s="201">
        <f t="shared" si="8"/>
        <v>3000</v>
      </c>
      <c r="AA23" s="201">
        <f t="shared" si="8"/>
        <v>3000</v>
      </c>
      <c r="AB23" s="201">
        <f t="shared" si="8"/>
        <v>3000</v>
      </c>
      <c r="AC23" s="201">
        <f t="shared" si="8"/>
        <v>3000</v>
      </c>
      <c r="AD23" s="201">
        <f t="shared" si="8"/>
        <v>3000</v>
      </c>
      <c r="AE23" s="201"/>
      <c r="AF23" s="201"/>
      <c r="AG23" s="201"/>
      <c r="AH23" s="201"/>
      <c r="AI23" s="201"/>
    </row>
    <row r="24" spans="1:48" x14ac:dyDescent="0.25">
      <c r="A24" s="200" t="s">
        <v>237</v>
      </c>
      <c r="B24" s="201">
        <f t="shared" ref="B24:AD24" si="9">MIN(B$20,$C$6)</f>
        <v>412.24999999999994</v>
      </c>
      <c r="C24" s="201">
        <f t="shared" si="9"/>
        <v>556.53749999999991</v>
      </c>
      <c r="D24" s="201">
        <f t="shared" si="9"/>
        <v>700.82499999999993</v>
      </c>
      <c r="E24" s="201">
        <f t="shared" si="9"/>
        <v>845.11249999999995</v>
      </c>
      <c r="F24" s="201">
        <f t="shared" si="9"/>
        <v>989.39999999999986</v>
      </c>
      <c r="G24" s="201">
        <f t="shared" si="9"/>
        <v>1133.6875</v>
      </c>
      <c r="H24" s="201">
        <f t="shared" si="9"/>
        <v>1200</v>
      </c>
      <c r="I24" s="201">
        <f t="shared" si="9"/>
        <v>1200</v>
      </c>
      <c r="J24" s="201">
        <f t="shared" si="9"/>
        <v>1200</v>
      </c>
      <c r="K24" s="201">
        <f t="shared" si="9"/>
        <v>1200</v>
      </c>
      <c r="L24" s="201">
        <f t="shared" si="9"/>
        <v>1200</v>
      </c>
      <c r="M24" s="201">
        <f t="shared" si="9"/>
        <v>1200</v>
      </c>
      <c r="N24" s="201">
        <f t="shared" si="9"/>
        <v>1200</v>
      </c>
      <c r="O24" s="201">
        <f t="shared" si="9"/>
        <v>1200</v>
      </c>
      <c r="P24" s="201">
        <f t="shared" si="9"/>
        <v>1200</v>
      </c>
      <c r="Q24" s="201">
        <f t="shared" si="9"/>
        <v>1200</v>
      </c>
      <c r="R24" s="201">
        <f t="shared" si="9"/>
        <v>1200</v>
      </c>
      <c r="S24" s="201">
        <f t="shared" si="9"/>
        <v>1200</v>
      </c>
      <c r="T24" s="201">
        <f t="shared" si="9"/>
        <v>1200</v>
      </c>
      <c r="U24" s="201">
        <f t="shared" si="9"/>
        <v>1200</v>
      </c>
      <c r="V24" s="201">
        <f t="shared" si="9"/>
        <v>1200</v>
      </c>
      <c r="W24" s="201">
        <f t="shared" si="9"/>
        <v>1200</v>
      </c>
      <c r="X24" s="201">
        <f t="shared" si="9"/>
        <v>1200</v>
      </c>
      <c r="Y24" s="201">
        <f t="shared" si="9"/>
        <v>1200</v>
      </c>
      <c r="Z24" s="201">
        <f t="shared" si="9"/>
        <v>1200</v>
      </c>
      <c r="AA24" s="201">
        <f t="shared" si="9"/>
        <v>1200</v>
      </c>
      <c r="AB24" s="201">
        <f t="shared" si="9"/>
        <v>1200</v>
      </c>
      <c r="AC24" s="201">
        <f t="shared" si="9"/>
        <v>1200</v>
      </c>
      <c r="AD24" s="201">
        <f t="shared" si="9"/>
        <v>1200</v>
      </c>
      <c r="AE24" s="201"/>
      <c r="AF24" s="201"/>
      <c r="AG24" s="201"/>
      <c r="AH24" s="201"/>
      <c r="AI24" s="201"/>
    </row>
    <row r="25" spans="1:48" x14ac:dyDescent="0.25">
      <c r="A25" s="200" t="s">
        <v>238</v>
      </c>
      <c r="B25" s="201">
        <f t="shared" ref="B25:AD25" si="10">MIN(B$21,$C$7)</f>
        <v>51</v>
      </c>
      <c r="C25" s="201">
        <f t="shared" si="10"/>
        <v>68.849999999999994</v>
      </c>
      <c r="D25" s="201">
        <f t="shared" si="10"/>
        <v>86.7</v>
      </c>
      <c r="E25" s="201">
        <f t="shared" si="10"/>
        <v>104.55</v>
      </c>
      <c r="F25" s="201">
        <f t="shared" si="10"/>
        <v>122.4</v>
      </c>
      <c r="G25" s="201">
        <f t="shared" si="10"/>
        <v>140.25</v>
      </c>
      <c r="H25" s="201">
        <f t="shared" si="10"/>
        <v>158.1</v>
      </c>
      <c r="I25" s="201">
        <f t="shared" si="10"/>
        <v>175.95000000000002</v>
      </c>
      <c r="J25" s="201">
        <f t="shared" si="10"/>
        <v>193.8</v>
      </c>
      <c r="K25" s="201">
        <f t="shared" si="10"/>
        <v>200</v>
      </c>
      <c r="L25" s="201">
        <f t="shared" si="10"/>
        <v>200</v>
      </c>
      <c r="M25" s="201">
        <f t="shared" si="10"/>
        <v>200</v>
      </c>
      <c r="N25" s="201">
        <f t="shared" si="10"/>
        <v>200</v>
      </c>
      <c r="O25" s="201">
        <f t="shared" si="10"/>
        <v>200</v>
      </c>
      <c r="P25" s="201">
        <f t="shared" si="10"/>
        <v>200</v>
      </c>
      <c r="Q25" s="201">
        <f t="shared" si="10"/>
        <v>200</v>
      </c>
      <c r="R25" s="201">
        <f t="shared" si="10"/>
        <v>200</v>
      </c>
      <c r="S25" s="201">
        <f t="shared" si="10"/>
        <v>200</v>
      </c>
      <c r="T25" s="201">
        <f t="shared" si="10"/>
        <v>200</v>
      </c>
      <c r="U25" s="201">
        <f t="shared" si="10"/>
        <v>200</v>
      </c>
      <c r="V25" s="201">
        <f t="shared" si="10"/>
        <v>200</v>
      </c>
      <c r="W25" s="201">
        <f t="shared" si="10"/>
        <v>200</v>
      </c>
      <c r="X25" s="201">
        <f t="shared" si="10"/>
        <v>200</v>
      </c>
      <c r="Y25" s="201">
        <f t="shared" si="10"/>
        <v>200</v>
      </c>
      <c r="Z25" s="201">
        <f t="shared" si="10"/>
        <v>200</v>
      </c>
      <c r="AA25" s="201">
        <f t="shared" si="10"/>
        <v>200</v>
      </c>
      <c r="AB25" s="201">
        <f t="shared" si="10"/>
        <v>200</v>
      </c>
      <c r="AC25" s="201">
        <f t="shared" si="10"/>
        <v>200</v>
      </c>
      <c r="AD25" s="201">
        <f t="shared" si="10"/>
        <v>200</v>
      </c>
      <c r="AE25" s="201"/>
      <c r="AF25" s="201"/>
      <c r="AG25" s="201"/>
      <c r="AH25" s="201"/>
      <c r="AI25" s="201"/>
    </row>
    <row r="26" spans="1:48" x14ac:dyDescent="0.25">
      <c r="A26" s="202" t="s">
        <v>239</v>
      </c>
      <c r="B26" s="203">
        <f>IF(B22&gt;$B$4,(B22-$B$4)*$H$4,0)</f>
        <v>0</v>
      </c>
      <c r="C26" s="203">
        <v>0</v>
      </c>
      <c r="D26" s="203">
        <f>IF(D22&gt;$B$4,(D22-$B$4)*$H$4,0)</f>
        <v>0</v>
      </c>
      <c r="E26" s="203">
        <v>0</v>
      </c>
      <c r="F26" s="203">
        <f>IF(F22&gt;$B$4,(F22-$B$4)*$H$4,0)</f>
        <v>0</v>
      </c>
      <c r="G26" s="203">
        <v>0</v>
      </c>
      <c r="H26" s="203">
        <f>IF(H22&gt;$B$4,(H22-$B$4)*$H$4,0)</f>
        <v>0</v>
      </c>
      <c r="I26" s="203">
        <v>0</v>
      </c>
      <c r="J26" s="203">
        <f>IF(J22&gt;$B$4,(J22-$B$4)*$H$4,0)</f>
        <v>0</v>
      </c>
      <c r="K26" s="203">
        <v>0</v>
      </c>
      <c r="L26" s="203">
        <f>IF(L22&gt;$B$4,(L22-$B$4)*$H$4,0)</f>
        <v>0</v>
      </c>
      <c r="M26" s="203">
        <v>0</v>
      </c>
      <c r="N26" s="203">
        <f>IF(N22&gt;$B$4,(N22-$B$4)*$H$4,0)</f>
        <v>0</v>
      </c>
      <c r="O26" s="203">
        <v>0</v>
      </c>
      <c r="P26" s="203">
        <f>IF(P22&gt;$B$4,(P22-$B$4)*$H$4,0)</f>
        <v>0</v>
      </c>
      <c r="Q26" s="203">
        <v>0</v>
      </c>
      <c r="R26" s="203">
        <f>IF(R22&gt;$B$4,(R22-$B$4)*$H$4,0)</f>
        <v>0</v>
      </c>
      <c r="S26" s="203">
        <v>0</v>
      </c>
      <c r="T26" s="203">
        <f>IF(T22&gt;$B$4,(T22-$B$4)*$H$4,0)</f>
        <v>0</v>
      </c>
      <c r="U26" s="203">
        <v>0</v>
      </c>
      <c r="V26" s="203">
        <f>IF(V22&gt;$B$4,(V22-$B$4)*$H$4,0)</f>
        <v>0</v>
      </c>
      <c r="W26" s="203">
        <v>0</v>
      </c>
      <c r="X26" s="203">
        <f>IF(X22&gt;$B$4,(X22-$B$4)*$H$4,0)</f>
        <v>0</v>
      </c>
      <c r="Y26" s="203">
        <v>0</v>
      </c>
      <c r="Z26" s="203">
        <f>IF(Z22&gt;$B$4,(Z22-$B$4)*$H$4,0)</f>
        <v>0</v>
      </c>
      <c r="AA26" s="203">
        <v>0</v>
      </c>
      <c r="AB26" s="203">
        <f>IF(AB22&gt;$B$4,(AB22-$B$4)*$H$4,0)</f>
        <v>0</v>
      </c>
      <c r="AC26" s="203">
        <v>0</v>
      </c>
      <c r="AD26" s="203">
        <f>IF(AD22&gt;$B$4,(AD22-$B$4)*$H$4,0)</f>
        <v>0</v>
      </c>
      <c r="AE26" s="203">
        <v>0</v>
      </c>
      <c r="AF26" s="203">
        <f>IF(AF22&gt;$B$4,(AF22-$B$4)*$H$4,0)</f>
        <v>0</v>
      </c>
      <c r="AG26" s="203">
        <v>0</v>
      </c>
      <c r="AH26" s="203">
        <f>IF(AH22&gt;$B$4,(AH22-$B$4)*$H$4,0)</f>
        <v>0</v>
      </c>
      <c r="AI26" s="203">
        <v>0</v>
      </c>
      <c r="AJ26" s="203">
        <f>IF(AJ22&gt;$B$4,(AJ22-$B$4)*$H$4,0)</f>
        <v>0</v>
      </c>
      <c r="AK26" s="203">
        <v>0</v>
      </c>
    </row>
    <row r="27" spans="1:48" x14ac:dyDescent="0.25">
      <c r="A27" s="202" t="s">
        <v>240</v>
      </c>
      <c r="B27" s="203">
        <f>IF(B23&gt;$B$5,(B23-$B$5)*$H$5,0)</f>
        <v>0</v>
      </c>
      <c r="C27" s="203">
        <v>0</v>
      </c>
      <c r="D27" s="203">
        <f>IF(D23&gt;$B$5,(D23-$B$5)*$H$5,0)</f>
        <v>0</v>
      </c>
      <c r="E27" s="203">
        <v>0</v>
      </c>
      <c r="F27" s="203">
        <f>IF(F23&gt;$B$5,(F23-$B$5)*$H$5,0)</f>
        <v>0</v>
      </c>
      <c r="G27" s="203">
        <v>0</v>
      </c>
      <c r="H27" s="203">
        <f>IF(H23&gt;$B$5,(H23-$B$5)*$H$5,0)</f>
        <v>0</v>
      </c>
      <c r="I27" s="203">
        <v>0</v>
      </c>
      <c r="J27" s="203">
        <f>IF(J23&gt;$B$5,(J23-$B$5)*$H$5,0)</f>
        <v>0</v>
      </c>
      <c r="K27" s="203">
        <v>0</v>
      </c>
      <c r="L27" s="203">
        <f>IF(L23&gt;$B$5,(L23-$B$5)*$H$5,0)</f>
        <v>0</v>
      </c>
      <c r="M27" s="203">
        <v>0</v>
      </c>
      <c r="N27" s="203">
        <f>IF(N23&gt;$B$5,(N23-$B$5)*$H$5,0)</f>
        <v>0</v>
      </c>
      <c r="O27" s="203">
        <v>0</v>
      </c>
      <c r="P27" s="203">
        <f>IF(P23&gt;$B$5,(P23-$B$5)*$H$5,0)</f>
        <v>0</v>
      </c>
      <c r="Q27" s="203">
        <v>0</v>
      </c>
      <c r="R27" s="203">
        <f>IF(R23&gt;$B$5,(R23-$B$5)*$H$5,0)</f>
        <v>0</v>
      </c>
      <c r="S27" s="203">
        <v>0</v>
      </c>
      <c r="T27" s="203">
        <f>IF(T23&gt;$B$5,(T23-$B$5)*$H$5,0)</f>
        <v>0</v>
      </c>
      <c r="U27" s="203">
        <v>0</v>
      </c>
      <c r="V27" s="203">
        <f>IF(V23&gt;$B$5,(V23-$B$5)*$H$5,0)</f>
        <v>0</v>
      </c>
      <c r="W27" s="203">
        <v>0</v>
      </c>
      <c r="X27" s="203">
        <f>IF(X23&gt;$B$5,(X23-$B$5)*$H$5,0)</f>
        <v>0</v>
      </c>
      <c r="Y27" s="203">
        <v>0</v>
      </c>
      <c r="Z27" s="203">
        <f>IF(Z23&gt;$B$5,(Z23-$B$5)*$H$5,0)</f>
        <v>0</v>
      </c>
      <c r="AA27" s="203">
        <v>0</v>
      </c>
      <c r="AB27" s="203">
        <f>IF(AB23&gt;$B$5,(AB23-$B$5)*$H$5,0)</f>
        <v>0</v>
      </c>
      <c r="AC27" s="203">
        <v>0</v>
      </c>
      <c r="AD27" s="203">
        <f>IF(AD23&gt;$B$5,(AD23-$B$5)*$H$5,0)</f>
        <v>0</v>
      </c>
      <c r="AE27" s="203">
        <v>0</v>
      </c>
      <c r="AF27" s="203">
        <f>IF(AF23&gt;$B$5,(AF23-$B$5)*$H$5,0)</f>
        <v>0</v>
      </c>
      <c r="AG27" s="203">
        <v>0</v>
      </c>
      <c r="AH27" s="203">
        <f>IF(AH23&gt;$B$5,(AH23-$B$5)*$H$5,0)</f>
        <v>0</v>
      </c>
      <c r="AI27" s="203">
        <v>0</v>
      </c>
      <c r="AJ27" s="203">
        <f>IF(AJ23&gt;$B$5,(AJ23-$B$5)*$H$5,0)</f>
        <v>0</v>
      </c>
      <c r="AK27" s="203">
        <v>0</v>
      </c>
    </row>
    <row r="28" spans="1:48" x14ac:dyDescent="0.25">
      <c r="A28" s="202" t="s">
        <v>241</v>
      </c>
      <c r="B28" s="203">
        <f>IF(B24&gt;$B$6,(B24-$B$6)*$H$6,0)</f>
        <v>0</v>
      </c>
      <c r="C28" s="203">
        <v>0</v>
      </c>
      <c r="D28" s="203">
        <f>IF(D24&gt;$B$6,(D24-$B$6)*$H$6,0)</f>
        <v>0</v>
      </c>
      <c r="E28" s="203">
        <v>0</v>
      </c>
      <c r="F28" s="203">
        <f>IF(F24&gt;$B$6,(F24-$B$6)*$H$6,0)</f>
        <v>0</v>
      </c>
      <c r="G28" s="203">
        <v>0</v>
      </c>
      <c r="H28" s="203">
        <f>IF(H24&gt;$B$6,(H24-$B$6)*$H$6,0)</f>
        <v>3800</v>
      </c>
      <c r="I28" s="203">
        <v>0</v>
      </c>
      <c r="J28" s="203">
        <f>IF(J24&gt;$B$6,(J24-$B$6)*$H$6,0)</f>
        <v>3800</v>
      </c>
      <c r="K28" s="203">
        <v>0</v>
      </c>
      <c r="L28" s="203">
        <f>IF(L24&gt;$B$6,(L24-$B$6)*$H$6,0)</f>
        <v>3800</v>
      </c>
      <c r="M28" s="203">
        <v>0</v>
      </c>
      <c r="N28" s="203">
        <f>IF(N24&gt;$B$6,(N24-$B$6)*$H$6,0)</f>
        <v>3800</v>
      </c>
      <c r="O28" s="203">
        <v>0</v>
      </c>
      <c r="P28" s="203">
        <f>IF(P24&gt;$B$6,(P24-$B$6)*$H$6,0)</f>
        <v>3800</v>
      </c>
      <c r="Q28" s="203">
        <v>0</v>
      </c>
      <c r="R28" s="203">
        <f>IF(R24&gt;$B$6,(R24-$B$6)*$H$6,0)</f>
        <v>3800</v>
      </c>
      <c r="S28" s="203">
        <v>0</v>
      </c>
      <c r="T28" s="203">
        <f>IF(T24&gt;$B$6,(T24-$B$6)*$H$6,0)</f>
        <v>3800</v>
      </c>
      <c r="U28" s="203">
        <v>0</v>
      </c>
      <c r="V28" s="203">
        <f>IF(V24&gt;$B$6,(V24-$B$6)*$H$6,0)</f>
        <v>3800</v>
      </c>
      <c r="W28" s="203">
        <v>0</v>
      </c>
      <c r="X28" s="203">
        <f>IF(X24&gt;$B$6,(X24-$B$6)*$H$6,0)</f>
        <v>3800</v>
      </c>
      <c r="Y28" s="203">
        <v>0</v>
      </c>
      <c r="Z28" s="203">
        <f>IF(Z24&gt;$B$6,(Z24-$B$6)*$H$6,0)</f>
        <v>3800</v>
      </c>
      <c r="AA28" s="203">
        <v>0</v>
      </c>
      <c r="AB28" s="203">
        <f>IF(AB24&gt;$B$6,(AB24-$B$6)*$H$6,0)</f>
        <v>3800</v>
      </c>
      <c r="AC28" s="203">
        <v>0</v>
      </c>
      <c r="AD28" s="203">
        <f>IF(AD24&gt;$B$6,(AD24-$B$6)*$H$6,0)</f>
        <v>3800</v>
      </c>
      <c r="AE28" s="203">
        <v>0</v>
      </c>
      <c r="AF28" s="203">
        <f>IF(AF24&gt;$B$6,(AF24-$B$6)*$H$6,0)</f>
        <v>0</v>
      </c>
      <c r="AG28" s="203">
        <v>0</v>
      </c>
      <c r="AH28" s="203">
        <f>IF(AH24&gt;$B$6,(AH24-$B$6)*$H$6,0)</f>
        <v>0</v>
      </c>
      <c r="AI28" s="203">
        <v>0</v>
      </c>
      <c r="AJ28" s="203">
        <f>IF(AJ24&gt;$B$6,(AJ24-$B$6)*$H$6,0)</f>
        <v>0</v>
      </c>
      <c r="AK28" s="203">
        <v>0</v>
      </c>
    </row>
    <row r="29" spans="1:48" x14ac:dyDescent="0.25">
      <c r="A29" s="202" t="s">
        <v>242</v>
      </c>
      <c r="B29" s="203">
        <f>IF(B25&gt;$B$7,(B25-$B$7)*$H$7,0)</f>
        <v>1785</v>
      </c>
      <c r="C29" s="203">
        <v>0</v>
      </c>
      <c r="D29" s="203">
        <f>IF(D25&gt;$B$7,(D25-$B$7)*$H$7,0)</f>
        <v>3034.5</v>
      </c>
      <c r="E29" s="203">
        <v>0</v>
      </c>
      <c r="F29" s="203">
        <f>IF(F25&gt;$B$7,(F25-$B$7)*$H$7,0)</f>
        <v>4284</v>
      </c>
      <c r="G29" s="203">
        <v>0</v>
      </c>
      <c r="H29" s="203">
        <f>IF(H25&gt;$B$7,(H25-$B$7)*$H$7,0)</f>
        <v>5533.5</v>
      </c>
      <c r="I29" s="203">
        <v>0</v>
      </c>
      <c r="J29" s="203">
        <f>IF(J25&gt;$B$7,(J25-$B$7)*$H$7,0)</f>
        <v>6783</v>
      </c>
      <c r="K29" s="203">
        <v>0</v>
      </c>
      <c r="L29" s="203">
        <f>IF(L25&gt;$B$7,(L25-$B$7)*$H$7,0)</f>
        <v>7000</v>
      </c>
      <c r="M29" s="203">
        <v>0</v>
      </c>
      <c r="N29" s="203">
        <f>IF(N25&gt;$B$7,(N25-$B$7)*$H$7,0)</f>
        <v>7000</v>
      </c>
      <c r="O29" s="203">
        <v>0</v>
      </c>
      <c r="P29" s="203">
        <f>IF(P25&gt;$B$7,(P25-$B$7)*$H$7,0)</f>
        <v>7000</v>
      </c>
      <c r="Q29" s="203">
        <v>0</v>
      </c>
      <c r="R29" s="203">
        <f>IF(R25&gt;$B$7,(R25-$B$7)*$H$7,0)</f>
        <v>7000</v>
      </c>
      <c r="S29" s="203">
        <v>0</v>
      </c>
      <c r="T29" s="203">
        <f>IF(T25&gt;$B$7,(T25-$B$7)*$H$7,0)</f>
        <v>7000</v>
      </c>
      <c r="U29" s="203">
        <v>0</v>
      </c>
      <c r="V29" s="203">
        <f>IF(V25&gt;$B$7,(V25-$B$7)*$H$7,0)</f>
        <v>7000</v>
      </c>
      <c r="W29" s="203">
        <v>0</v>
      </c>
      <c r="X29" s="203">
        <f>IF(X25&gt;$B$7,(X25-$B$7)*$H$7,0)</f>
        <v>7000</v>
      </c>
      <c r="Y29" s="203">
        <v>0</v>
      </c>
      <c r="Z29" s="203">
        <f>IF(Z25&gt;$B$7,(Z25-$B$7)*$H$7,0)</f>
        <v>7000</v>
      </c>
      <c r="AA29" s="203">
        <v>0</v>
      </c>
      <c r="AB29" s="203">
        <f>IF(AB25&gt;$B$7,(AB25-$B$7)*$H$7,0)</f>
        <v>7000</v>
      </c>
      <c r="AC29" s="203">
        <v>0</v>
      </c>
      <c r="AD29" s="203">
        <f>IF(AD25&gt;$B$7,(AD25-$B$7)*$H$7,0)</f>
        <v>7000</v>
      </c>
      <c r="AE29" s="203">
        <v>0</v>
      </c>
      <c r="AF29" s="203">
        <f>IF(AF25&gt;$B$7,(AF25-$B$7)*$H$7,0)</f>
        <v>0</v>
      </c>
      <c r="AG29" s="203">
        <v>0</v>
      </c>
      <c r="AH29" s="203">
        <f>IF(AH25&gt;$B$7,(AH25-$B$7)*$H$7,0)</f>
        <v>0</v>
      </c>
      <c r="AI29" s="203">
        <v>0</v>
      </c>
      <c r="AJ29" s="203">
        <f>IF(AJ25&gt;$B$7,(AJ25-$B$7)*$H$7,0)</f>
        <v>0</v>
      </c>
      <c r="AK29" s="203">
        <v>0</v>
      </c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</row>
    <row r="30" spans="1:48" x14ac:dyDescent="0.25">
      <c r="A30" s="205" t="s">
        <v>243</v>
      </c>
      <c r="B30" s="206">
        <f>G4+G5+G6+G7</f>
        <v>700</v>
      </c>
      <c r="C30" s="206">
        <f t="shared" ref="C30:AD30" si="11">B30</f>
        <v>700</v>
      </c>
      <c r="D30" s="206">
        <f t="shared" si="11"/>
        <v>700</v>
      </c>
      <c r="E30" s="206">
        <f t="shared" si="11"/>
        <v>700</v>
      </c>
      <c r="F30" s="206">
        <f t="shared" si="11"/>
        <v>700</v>
      </c>
      <c r="G30" s="206">
        <f t="shared" si="11"/>
        <v>700</v>
      </c>
      <c r="H30" s="206">
        <f t="shared" si="11"/>
        <v>700</v>
      </c>
      <c r="I30" s="206">
        <f t="shared" si="11"/>
        <v>700</v>
      </c>
      <c r="J30" s="206">
        <f t="shared" si="11"/>
        <v>700</v>
      </c>
      <c r="K30" s="206">
        <f t="shared" si="11"/>
        <v>700</v>
      </c>
      <c r="L30" s="206">
        <f t="shared" si="11"/>
        <v>700</v>
      </c>
      <c r="M30" s="206">
        <f t="shared" si="11"/>
        <v>700</v>
      </c>
      <c r="N30" s="206">
        <f t="shared" si="11"/>
        <v>700</v>
      </c>
      <c r="O30" s="206">
        <f t="shared" si="11"/>
        <v>700</v>
      </c>
      <c r="P30" s="206">
        <f t="shared" si="11"/>
        <v>700</v>
      </c>
      <c r="Q30" s="206">
        <f t="shared" si="11"/>
        <v>700</v>
      </c>
      <c r="R30" s="206">
        <f t="shared" si="11"/>
        <v>700</v>
      </c>
      <c r="S30" s="206">
        <f t="shared" si="11"/>
        <v>700</v>
      </c>
      <c r="T30" s="206">
        <f t="shared" si="11"/>
        <v>700</v>
      </c>
      <c r="U30" s="206">
        <f t="shared" si="11"/>
        <v>700</v>
      </c>
      <c r="V30" s="206">
        <f t="shared" si="11"/>
        <v>700</v>
      </c>
      <c r="W30" s="206">
        <f t="shared" si="11"/>
        <v>700</v>
      </c>
      <c r="X30" s="206">
        <f t="shared" si="11"/>
        <v>700</v>
      </c>
      <c r="Y30" s="206">
        <f t="shared" si="11"/>
        <v>700</v>
      </c>
      <c r="Z30" s="206">
        <f t="shared" si="11"/>
        <v>700</v>
      </c>
      <c r="AA30" s="206">
        <f t="shared" si="11"/>
        <v>700</v>
      </c>
      <c r="AB30" s="206">
        <f t="shared" si="11"/>
        <v>700</v>
      </c>
      <c r="AC30" s="206">
        <f t="shared" si="11"/>
        <v>700</v>
      </c>
      <c r="AD30" s="206">
        <f t="shared" si="11"/>
        <v>700</v>
      </c>
      <c r="AE30" s="206"/>
      <c r="AF30" s="206"/>
      <c r="AG30" s="206"/>
      <c r="AH30" s="206"/>
      <c r="AI30" s="206"/>
      <c r="AJ30" s="204"/>
      <c r="AK30" s="204"/>
      <c r="AL30" s="204"/>
      <c r="AM30" s="204"/>
      <c r="AN30" s="204"/>
      <c r="AO30" s="204"/>
      <c r="AP30" s="204"/>
      <c r="AQ30" s="204"/>
      <c r="AR30" s="204"/>
      <c r="AS30" s="204"/>
      <c r="AT30" s="204"/>
      <c r="AU30" s="204"/>
      <c r="AV30" s="204"/>
    </row>
    <row r="31" spans="1:48" x14ac:dyDescent="0.25">
      <c r="A31" s="207" t="s">
        <v>244</v>
      </c>
      <c r="B31" s="208">
        <f t="shared" ref="B31:AD31" si="12">B26+B27+B28+B29-B30</f>
        <v>1085</v>
      </c>
      <c r="C31" s="208">
        <f t="shared" si="12"/>
        <v>-700</v>
      </c>
      <c r="D31" s="208">
        <f t="shared" si="12"/>
        <v>2334.5</v>
      </c>
      <c r="E31" s="208">
        <f t="shared" si="12"/>
        <v>-700</v>
      </c>
      <c r="F31" s="208">
        <f t="shared" si="12"/>
        <v>3584</v>
      </c>
      <c r="G31" s="208">
        <f t="shared" si="12"/>
        <v>-700</v>
      </c>
      <c r="H31" s="208">
        <f t="shared" si="12"/>
        <v>8633.5</v>
      </c>
      <c r="I31" s="208">
        <f t="shared" si="12"/>
        <v>-700</v>
      </c>
      <c r="J31" s="208">
        <f t="shared" si="12"/>
        <v>9883</v>
      </c>
      <c r="K31" s="208">
        <f t="shared" si="12"/>
        <v>-700</v>
      </c>
      <c r="L31" s="208">
        <f t="shared" si="12"/>
        <v>10100</v>
      </c>
      <c r="M31" s="208">
        <f t="shared" si="12"/>
        <v>-700</v>
      </c>
      <c r="N31" s="208">
        <f t="shared" si="12"/>
        <v>10100</v>
      </c>
      <c r="O31" s="208">
        <f t="shared" si="12"/>
        <v>-700</v>
      </c>
      <c r="P31" s="208">
        <f t="shared" si="12"/>
        <v>10100</v>
      </c>
      <c r="Q31" s="208">
        <f t="shared" si="12"/>
        <v>-700</v>
      </c>
      <c r="R31" s="208">
        <f t="shared" si="12"/>
        <v>10100</v>
      </c>
      <c r="S31" s="208">
        <f t="shared" si="12"/>
        <v>-700</v>
      </c>
      <c r="T31" s="208">
        <f t="shared" si="12"/>
        <v>10100</v>
      </c>
      <c r="U31" s="208">
        <f t="shared" si="12"/>
        <v>-700</v>
      </c>
      <c r="V31" s="208">
        <f t="shared" si="12"/>
        <v>10100</v>
      </c>
      <c r="W31" s="208">
        <f t="shared" si="12"/>
        <v>-700</v>
      </c>
      <c r="X31" s="208">
        <f t="shared" si="12"/>
        <v>10100</v>
      </c>
      <c r="Y31" s="208">
        <f t="shared" si="12"/>
        <v>-700</v>
      </c>
      <c r="Z31" s="208">
        <f t="shared" si="12"/>
        <v>10100</v>
      </c>
      <c r="AA31" s="208">
        <f t="shared" si="12"/>
        <v>-700</v>
      </c>
      <c r="AB31" s="208">
        <f t="shared" si="12"/>
        <v>10100</v>
      </c>
      <c r="AC31" s="208">
        <f t="shared" si="12"/>
        <v>-700</v>
      </c>
      <c r="AD31" s="208">
        <f t="shared" si="12"/>
        <v>10100</v>
      </c>
      <c r="AE31" s="208"/>
      <c r="AF31" s="208"/>
      <c r="AG31" s="208"/>
      <c r="AH31" s="208"/>
      <c r="AI31" s="208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</row>
    <row r="32" spans="1:48" x14ac:dyDescent="0.25">
      <c r="A32" s="210" t="s">
        <v>245</v>
      </c>
      <c r="B32" s="208">
        <f>-B12-B11+B31</f>
        <v>-86915</v>
      </c>
      <c r="C32" s="208">
        <f t="shared" ref="C32:AD32" si="13">B32+C31</f>
        <v>-87615</v>
      </c>
      <c r="D32" s="208">
        <f t="shared" si="13"/>
        <v>-85280.5</v>
      </c>
      <c r="E32" s="208">
        <f t="shared" si="13"/>
        <v>-85980.5</v>
      </c>
      <c r="F32" s="208">
        <f t="shared" si="13"/>
        <v>-82396.5</v>
      </c>
      <c r="G32" s="208">
        <f t="shared" si="13"/>
        <v>-83096.5</v>
      </c>
      <c r="H32" s="208">
        <f t="shared" si="13"/>
        <v>-74463</v>
      </c>
      <c r="I32" s="208">
        <f t="shared" si="13"/>
        <v>-75163</v>
      </c>
      <c r="J32" s="208">
        <f t="shared" si="13"/>
        <v>-65280</v>
      </c>
      <c r="K32" s="208">
        <f t="shared" si="13"/>
        <v>-65980</v>
      </c>
      <c r="L32" s="208">
        <f t="shared" si="13"/>
        <v>-55880</v>
      </c>
      <c r="M32" s="208">
        <f t="shared" si="13"/>
        <v>-56580</v>
      </c>
      <c r="N32" s="208">
        <f t="shared" si="13"/>
        <v>-46480</v>
      </c>
      <c r="O32" s="208">
        <f t="shared" si="13"/>
        <v>-47180</v>
      </c>
      <c r="P32" s="208">
        <f t="shared" si="13"/>
        <v>-37080</v>
      </c>
      <c r="Q32" s="208">
        <f t="shared" si="13"/>
        <v>-37780</v>
      </c>
      <c r="R32" s="208">
        <f t="shared" si="13"/>
        <v>-27680</v>
      </c>
      <c r="S32" s="208">
        <f t="shared" si="13"/>
        <v>-28380</v>
      </c>
      <c r="T32" s="208">
        <f t="shared" si="13"/>
        <v>-18280</v>
      </c>
      <c r="U32" s="208">
        <f t="shared" si="13"/>
        <v>-18980</v>
      </c>
      <c r="V32" s="208">
        <f t="shared" si="13"/>
        <v>-8880</v>
      </c>
      <c r="W32" s="208">
        <f t="shared" si="13"/>
        <v>-9580</v>
      </c>
      <c r="X32" s="208">
        <f t="shared" si="13"/>
        <v>520</v>
      </c>
      <c r="Y32" s="208">
        <f t="shared" si="13"/>
        <v>-180</v>
      </c>
      <c r="Z32" s="208">
        <f t="shared" si="13"/>
        <v>9920</v>
      </c>
      <c r="AA32" s="208">
        <f t="shared" si="13"/>
        <v>9220</v>
      </c>
      <c r="AB32" s="208">
        <f t="shared" si="13"/>
        <v>19320</v>
      </c>
      <c r="AC32" s="208">
        <f t="shared" si="13"/>
        <v>18620</v>
      </c>
      <c r="AD32" s="208">
        <f t="shared" si="13"/>
        <v>28720</v>
      </c>
      <c r="AE32" s="208"/>
      <c r="AF32" s="208"/>
      <c r="AG32" s="208"/>
      <c r="AH32" s="208"/>
      <c r="AI32" s="208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</row>
    <row r="33" spans="2:35" x14ac:dyDescent="0.25">
      <c r="B33" s="191">
        <f t="shared" ref="B33:AD33" si="14">B32/$B$13</f>
        <v>-0.98767045454545455</v>
      </c>
      <c r="C33" s="191">
        <f t="shared" si="14"/>
        <v>-0.99562499999999998</v>
      </c>
      <c r="D33" s="191">
        <f t="shared" si="14"/>
        <v>-0.96909659090909095</v>
      </c>
      <c r="E33" s="191">
        <f t="shared" si="14"/>
        <v>-0.97705113636363639</v>
      </c>
      <c r="F33" s="191">
        <f t="shared" si="14"/>
        <v>-0.93632386363636366</v>
      </c>
      <c r="G33" s="191">
        <f t="shared" si="14"/>
        <v>-0.9442784090909091</v>
      </c>
      <c r="H33" s="191">
        <f t="shared" si="14"/>
        <v>-0.84617045454545459</v>
      </c>
      <c r="I33" s="191">
        <f t="shared" si="14"/>
        <v>-0.85412500000000002</v>
      </c>
      <c r="J33" s="191">
        <f t="shared" si="14"/>
        <v>-0.74181818181818182</v>
      </c>
      <c r="K33" s="191">
        <f t="shared" si="14"/>
        <v>-0.74977272727272726</v>
      </c>
      <c r="L33" s="191">
        <f t="shared" si="14"/>
        <v>-0.63500000000000001</v>
      </c>
      <c r="M33" s="191">
        <f t="shared" si="14"/>
        <v>-0.64295454545454545</v>
      </c>
      <c r="N33" s="191">
        <f t="shared" si="14"/>
        <v>-0.5281818181818182</v>
      </c>
      <c r="O33" s="191">
        <f t="shared" si="14"/>
        <v>-0.53613636363636363</v>
      </c>
      <c r="P33" s="191">
        <f t="shared" si="14"/>
        <v>-0.42136363636363638</v>
      </c>
      <c r="Q33" s="191">
        <f t="shared" si="14"/>
        <v>-0.42931818181818182</v>
      </c>
      <c r="R33" s="191">
        <f t="shared" si="14"/>
        <v>-0.31454545454545457</v>
      </c>
      <c r="S33" s="191">
        <f t="shared" si="14"/>
        <v>-0.32250000000000001</v>
      </c>
      <c r="T33" s="191">
        <f t="shared" si="14"/>
        <v>-0.20772727272727273</v>
      </c>
      <c r="U33" s="191">
        <f t="shared" si="14"/>
        <v>-0.21568181818181817</v>
      </c>
      <c r="V33" s="191">
        <f t="shared" si="14"/>
        <v>-0.10090909090909091</v>
      </c>
      <c r="W33" s="191">
        <f t="shared" si="14"/>
        <v>-0.10886363636363636</v>
      </c>
      <c r="X33" s="191">
        <f t="shared" si="14"/>
        <v>5.909090909090909E-3</v>
      </c>
      <c r="Y33" s="191">
        <f t="shared" si="14"/>
        <v>-2.0454545454545456E-3</v>
      </c>
      <c r="Z33" s="191">
        <f t="shared" si="14"/>
        <v>0.11272727272727273</v>
      </c>
      <c r="AA33" s="191">
        <f t="shared" si="14"/>
        <v>0.10477272727272727</v>
      </c>
      <c r="AB33" s="191">
        <f t="shared" si="14"/>
        <v>0.21954545454545454</v>
      </c>
      <c r="AC33" s="191">
        <f t="shared" si="14"/>
        <v>0.21159090909090908</v>
      </c>
      <c r="AD33" s="191">
        <f t="shared" si="14"/>
        <v>0.32636363636363636</v>
      </c>
      <c r="AE33" s="191"/>
      <c r="AF33" s="191"/>
      <c r="AG33" s="191"/>
      <c r="AH33" s="191"/>
      <c r="AI33" s="191"/>
    </row>
    <row r="36" spans="2:35" x14ac:dyDescent="0.25">
      <c r="K36" s="191"/>
    </row>
    <row r="37" spans="2:35" x14ac:dyDescent="0.25">
      <c r="K37" s="191"/>
    </row>
    <row r="38" spans="2:35" x14ac:dyDescent="0.25">
      <c r="K38" s="191"/>
    </row>
    <row r="39" spans="2:35" x14ac:dyDescent="0.25">
      <c r="K39" s="191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Juvenils</vt:lpstr>
      <vt:lpstr>EconomiaT48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2019-06-27T10:58:55Z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